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Elda Lickollari\Desktop\Elda Doc Te Vjetra\Desktop\PBA 2022-2024\"/>
    </mc:Choice>
  </mc:AlternateContent>
  <bookViews>
    <workbookView xWindow="0" yWindow="0" windowWidth="28800" windowHeight="12330" firstSheet="18" activeTab="22"/>
  </bookViews>
  <sheets>
    <sheet name="(A1) Titulli" sheetId="54" r:id="rId1"/>
    <sheet name="(B1)Informacion i përgjithshëm " sheetId="35" r:id="rId2"/>
    <sheet name="(B2) Struktura Organizative" sheetId="30" r:id="rId3"/>
    <sheet name="(B3) Struktura Funksionale" sheetId="105" r:id="rId4"/>
    <sheet name="(C1) Shpenzimet vitet e kaluara" sheetId="60" r:id="rId5"/>
    <sheet name="(C1b)Shpenzimet vitet e kaluar " sheetId="232" r:id="rId6"/>
    <sheet name="(C2) Burimet viti kaluar" sheetId="98" r:id="rId7"/>
    <sheet name="(C3) Detyrimet e prapambetura" sheetId="191" r:id="rId8"/>
    <sheet name="(C4) Trashëgimi me destinacion" sheetId="193" r:id="rId9"/>
    <sheet name="(C5) Angazhimet" sheetId="194" r:id="rId10"/>
    <sheet name="(C6) Lista emërore e projekteve" sheetId="241" r:id="rId11"/>
    <sheet name="(D1) Tavanet buxhetore" sheetId="45" r:id="rId12"/>
    <sheet name="(D2) Llogaritjet makroekonomike" sheetId="106" r:id="rId13"/>
    <sheet name="(E1) Vlerësimi i burimeve" sheetId="192" r:id="rId14"/>
    <sheet name="(E2) Kontrolli Besueshmërisë" sheetId="234" r:id="rId15"/>
    <sheet name="KB 01" sheetId="198" r:id="rId16"/>
    <sheet name="KB 02" sheetId="199" r:id="rId17"/>
    <sheet name="KB 03" sheetId="200" r:id="rId18"/>
    <sheet name="KB 04" sheetId="201" r:id="rId19"/>
    <sheet name="KB 05" sheetId="202" r:id="rId20"/>
    <sheet name="KB 06" sheetId="203" r:id="rId21"/>
    <sheet name="KB 07" sheetId="204" r:id="rId22"/>
    <sheet name="KB 08" sheetId="205" r:id="rId23"/>
    <sheet name="KB 09" sheetId="206" r:id="rId24"/>
    <sheet name="KB 10" sheetId="207" r:id="rId25"/>
    <sheet name="KB 11" sheetId="208" r:id="rId26"/>
    <sheet name="KB 12" sheetId="209" r:id="rId27"/>
    <sheet name="KB 13" sheetId="210" r:id="rId28"/>
    <sheet name="KB 14" sheetId="211" r:id="rId29"/>
    <sheet name="KB 15" sheetId="212" r:id="rId30"/>
    <sheet name="KB 16" sheetId="213" r:id="rId31"/>
    <sheet name="KB 17" sheetId="214" r:id="rId32"/>
    <sheet name="KB 18" sheetId="215" r:id="rId33"/>
    <sheet name="KB 19" sheetId="217" r:id="rId34"/>
    <sheet name="KB 20" sheetId="218" r:id="rId35"/>
    <sheet name="KB 21" sheetId="219" r:id="rId36"/>
    <sheet name="KB 22" sheetId="220" r:id="rId37"/>
    <sheet name="KB23" sheetId="222" r:id="rId38"/>
    <sheet name="KB24" sheetId="223" r:id="rId39"/>
    <sheet name="KB25" sheetId="224" r:id="rId40"/>
    <sheet name="KB26" sheetId="216" r:id="rId41"/>
    <sheet name="KB27" sheetId="225" r:id="rId42"/>
    <sheet name="(F1) Burimet buxhetore" sheetId="2" r:id="rId43"/>
    <sheet name="(F2) Shpenzimet sipas nenfunk.b" sheetId="113" r:id="rId44"/>
    <sheet name="(F3) Grafiku shpenz.nenfunks.Br" sheetId="126" r:id="rId45"/>
    <sheet name=" (F4)Shpenzimet sipas nenf.neto" sheetId="123" r:id="rId46"/>
    <sheet name="(F5)Grafiku i shpenz.nenf.neto" sheetId="163" r:id="rId47"/>
    <sheet name="(F6) Shpenzimet sipas funks.bru" sheetId="183" r:id="rId48"/>
    <sheet name=" (F7) Grafiku shpenz.funksion b" sheetId="230" r:id="rId49"/>
    <sheet name="(F8) Shpenzimet sipas aktivitet" sheetId="122" r:id="rId50"/>
    <sheet name="(F9) Grafiku shpenz.programit" sheetId="164" r:id="rId51"/>
    <sheet name="(F10) Shpenzimet klasifik. ekon" sheetId="228" r:id="rId52"/>
    <sheet name="(F11) Grafiku shpenz.klas.ekon" sheetId="229" r:id="rId53"/>
    <sheet name="(F12) Plani i Amort. Detyrimeve" sheetId="188" r:id="rId54"/>
    <sheet name="(F13) Përmbledhja e të dhënave" sheetId="131" r:id="rId55"/>
    <sheet name="(F14) Treguesit" sheetId="135" r:id="rId56"/>
    <sheet name="(F15) Shpenzimet kapita progr" sheetId="239" r:id="rId57"/>
    <sheet name="(F16) Grafiku shpenz. kapitale" sheetId="233" r:id="rId58"/>
    <sheet name="(G1) Fjalori" sheetId="161" r:id="rId59"/>
    <sheet name="(G2) Fjalori" sheetId="189" r:id="rId60"/>
    <sheet name="(G3) Fjalori" sheetId="190" r:id="rId61"/>
    <sheet name="Sheet1" sheetId="235" r:id="rId62"/>
    <sheet name="Sheet2" sheetId="242" r:id="rId63"/>
  </sheets>
  <externalReferences>
    <externalReference r:id="rId64"/>
  </externalReferences>
  <definedNames>
    <definedName name="_xlnm._FilterDatabase" localSheetId="0" hidden="1">'(A1) Titulli'!#REF!</definedName>
    <definedName name="_xlnm._FilterDatabase" localSheetId="2" hidden="1">'(B2) Struktura Organizative'!$C$7:$E$28</definedName>
    <definedName name="_xlnm._FilterDatabase" localSheetId="3" hidden="1">'(B3) Struktura Funksionale'!$A$5:$G$146</definedName>
    <definedName name="_xlnm._FilterDatabase" localSheetId="7" hidden="1">'(C3) Detyrimet e prapambetura'!$A$1:$HA$401</definedName>
    <definedName name="_xlnm._FilterDatabase" localSheetId="10" hidden="1">'(C6) Lista emërore e projekteve'!$A$4:$J$210</definedName>
    <definedName name="_xlnm._FilterDatabase" localSheetId="11" hidden="1">'(D1) Tavanet buxhetore'!$B$7:$E$367</definedName>
    <definedName name="_xlnm._FilterDatabase" localSheetId="51" hidden="1">'(F10) Shpenzimet klasifik. ekon'!#REF!</definedName>
    <definedName name="_xlnm._FilterDatabase" localSheetId="55" hidden="1">'(F14) Treguesit'!$B$8:$B$13</definedName>
    <definedName name="_xlnm._FilterDatabase" localSheetId="49" hidden="1">'(F8) Shpenzimet sipas aktivitet'!#REF!</definedName>
    <definedName name="_xlnm._FilterDatabase" localSheetId="50" hidden="1">'(F9) Grafiku shpenz.programit'!#REF!</definedName>
    <definedName name="_xlnm._FilterDatabase" localSheetId="15" hidden="1">'KB 01'!#REF!</definedName>
    <definedName name="_xlnm._FilterDatabase" localSheetId="16" hidden="1">'KB 02'!#REF!</definedName>
    <definedName name="_xlnm._FilterDatabase" localSheetId="17" hidden="1">'KB 03'!#REF!</definedName>
    <definedName name="_xlnm._FilterDatabase" localSheetId="18" hidden="1">'KB 04'!#REF!</definedName>
    <definedName name="_xlnm._FilterDatabase" localSheetId="19" hidden="1">'KB 05'!#REF!</definedName>
    <definedName name="_xlnm._FilterDatabase" localSheetId="20" hidden="1">'KB 06'!#REF!</definedName>
    <definedName name="_xlnm._FilterDatabase" localSheetId="21" hidden="1">'KB 07'!#REF!</definedName>
    <definedName name="_xlnm._FilterDatabase" localSheetId="22" hidden="1">'KB 08'!#REF!</definedName>
    <definedName name="_xlnm._FilterDatabase" localSheetId="23" hidden="1">'KB 09'!#REF!</definedName>
    <definedName name="_xlnm._FilterDatabase" localSheetId="24" hidden="1">'KB 10'!#REF!</definedName>
    <definedName name="_xlnm._FilterDatabase" localSheetId="25" hidden="1">'KB 11'!#REF!</definedName>
    <definedName name="_xlnm._FilterDatabase" localSheetId="26" hidden="1">'KB 12'!#REF!</definedName>
    <definedName name="_xlnm._FilterDatabase" localSheetId="27" hidden="1">'KB 13'!#REF!</definedName>
    <definedName name="_xlnm._FilterDatabase" localSheetId="28" hidden="1">'KB 14'!#REF!</definedName>
    <definedName name="_xlnm._FilterDatabase" localSheetId="29" hidden="1">'KB 15'!#REF!</definedName>
    <definedName name="_xlnm._FilterDatabase" localSheetId="30" hidden="1">'KB 16'!#REF!</definedName>
    <definedName name="_xlnm._FilterDatabase" localSheetId="31" hidden="1">'KB 17'!#REF!</definedName>
    <definedName name="_xlnm._FilterDatabase" localSheetId="32" hidden="1">'KB 18'!#REF!</definedName>
    <definedName name="_xlnm._FilterDatabase" localSheetId="33" hidden="1">'KB 19'!#REF!</definedName>
    <definedName name="_xlnm._FilterDatabase" localSheetId="34" hidden="1">'KB 20'!#REF!</definedName>
    <definedName name="_xlnm._FilterDatabase" localSheetId="35" hidden="1">'KB 21'!#REF!</definedName>
    <definedName name="_xlnm._FilterDatabase" localSheetId="36" hidden="1">'KB 22'!#REF!</definedName>
    <definedName name="_xlnm._FilterDatabase" localSheetId="37" hidden="1">'KB23'!#REF!</definedName>
    <definedName name="_xlnm._FilterDatabase" localSheetId="38" hidden="1">'KB24'!#REF!</definedName>
    <definedName name="_xlnm._FilterDatabase" localSheetId="39" hidden="1">'KB25'!#REF!</definedName>
    <definedName name="_xlnm._FilterDatabase" localSheetId="40" hidden="1">'KB26'!#REF!</definedName>
    <definedName name="_xlnm._FilterDatabase" localSheetId="41" hidden="1">'KB27'!#REF!</definedName>
    <definedName name="_xlnm.Print_Area" localSheetId="3">'(B3) Struktura Funksionale'!$A$1:$F$146</definedName>
    <definedName name="_xlnm.Print_Area" localSheetId="11">'(D1) Tavanet buxhetore'!$A$1:$E$485</definedName>
    <definedName name="_xlnm.Print_Area" localSheetId="13">'(E1) Vlerësimi i burimeve'!$B$1:$AG$104</definedName>
    <definedName name="_xlnm.Print_Area" localSheetId="14">'(E2) Kontrolli Besueshmërisë'!$B$1:$AG$63</definedName>
    <definedName name="_xlnm.Print_Area" localSheetId="51">'(F10) Shpenzimet klasifik. ekon'!$A$1:$O$65</definedName>
    <definedName name="_xlnm.Print_Area" localSheetId="43">'(F2) Shpenzimet sipas nenfunk.b'!$A$1:$Q$83</definedName>
    <definedName name="_xlnm.Print_Area" localSheetId="44">'(F3) Grafiku shpenz.nenfunks.Br'!$A$1:$J$60</definedName>
    <definedName name="_xlnm.Print_Area" localSheetId="47">'(F6) Shpenzimet sipas funks.bru'!$A$1:$Q$43</definedName>
    <definedName name="_xlnm.Print_Area" localSheetId="49">'(F8) Shpenzimet sipas aktivitet'!$A$1:$M$32</definedName>
    <definedName name="_xlnm.Print_Area" localSheetId="50">'(F9) Grafiku shpenz.programit'!$A$1:$I$45</definedName>
    <definedName name="_xlnm.Print_Area" localSheetId="15">'KB 01'!$A$1:$O$260</definedName>
    <definedName name="_xlnm.Print_Area" localSheetId="16">'KB 02'!$A$1:$O$221</definedName>
    <definedName name="_xlnm.Print_Area" localSheetId="17">'KB 03'!$A$1:$O$182</definedName>
    <definedName name="_xlnm.Print_Area" localSheetId="18">'KB 04'!$A$1:$O$182</definedName>
    <definedName name="_xlnm.Print_Area" localSheetId="19">'KB 05'!$A$1:$O$182</definedName>
    <definedName name="_xlnm.Print_Area" localSheetId="20">'KB 06'!$A$1:$O$260</definedName>
    <definedName name="_xlnm.Print_Titles" localSheetId="45">' (F4)Shpenzimet sipas nenf.neto'!$A:$B</definedName>
    <definedName name="_xlnm.Print_Titles" localSheetId="3">'(B3) Struktura Funksionale'!$5:$5</definedName>
    <definedName name="_xlnm.Print_Titles" localSheetId="4">'(C1) Shpenzimet vitet e kaluara'!$5:$7</definedName>
    <definedName name="_xlnm.Print_Titles" localSheetId="5">'(C1b)Shpenzimet vitet e kaluar '!$5:$6</definedName>
    <definedName name="_xlnm.Print_Titles" localSheetId="6">'(C2) Burimet viti kaluar'!$5:$6</definedName>
    <definedName name="_xlnm.Print_Titles" localSheetId="7">'(C3) Detyrimet e prapambetura'!$5:$7</definedName>
    <definedName name="_xlnm.Print_Titles" localSheetId="8">'(C4) Trashëgimi me destinacion'!$5:$7</definedName>
    <definedName name="_xlnm.Print_Titles" localSheetId="9">'(C5) Angazhimet'!$5:$7</definedName>
    <definedName name="_xlnm.Print_Titles" localSheetId="11">'(D1) Tavanet buxhetore'!$5:$6</definedName>
    <definedName name="_xlnm.Print_Titles" localSheetId="13">'(E1) Vlerësimi i burimeve'!$B:$B,'(E1) Vlerësimi i burimeve'!$5:$6</definedName>
    <definedName name="_xlnm.Print_Titles" localSheetId="14">'(E2) Kontrolli Besueshmërisë'!$B:$B,'(E2) Kontrolli Besueshmërisë'!$5:$6</definedName>
    <definedName name="_xlnm.Print_Titles" localSheetId="43">'(F2) Shpenzimet sipas nenfunk.b'!$A:$B</definedName>
    <definedName name="Z_C9C93AD0_6FCF_44C2_A85A_AB3923492EAA_.wvu.PrintArea" localSheetId="45" hidden="1">' (F4)Shpenzimet sipas nenf.neto'!$A$1:$W$82</definedName>
    <definedName name="Z_C9C93AD0_6FCF_44C2_A85A_AB3923492EAA_.wvu.PrintArea" localSheetId="48" hidden="1">' (F7) Grafiku shpenz.funksion b'!$B$1:$H$13</definedName>
    <definedName name="Z_C9C93AD0_6FCF_44C2_A85A_AB3923492EAA_.wvu.PrintArea" localSheetId="3" hidden="1">'(B3) Struktura Funksionale'!$A$3:$E$12</definedName>
    <definedName name="Z_C9C93AD0_6FCF_44C2_A85A_AB3923492EAA_.wvu.PrintArea" localSheetId="4" hidden="1">'(C1) Shpenzimet vitet e kaluara'!$A$3:$O$16</definedName>
    <definedName name="Z_C9C93AD0_6FCF_44C2_A85A_AB3923492EAA_.wvu.PrintArea" localSheetId="5" hidden="1">'(C1b)Shpenzimet vitet e kaluar '!$A$3:$F$15</definedName>
    <definedName name="Z_C9C93AD0_6FCF_44C2_A85A_AB3923492EAA_.wvu.PrintArea" localSheetId="6" hidden="1">'(C2) Burimet viti kaluar'!$A$3:$F$105</definedName>
    <definedName name="Z_C9C93AD0_6FCF_44C2_A85A_AB3923492EAA_.wvu.PrintArea" localSheetId="7" hidden="1">'(C3) Detyrimet e prapambetura'!$A$3:$L$28</definedName>
    <definedName name="Z_C9C93AD0_6FCF_44C2_A85A_AB3923492EAA_.wvu.PrintArea" localSheetId="8" hidden="1">'(C4) Trashëgimi me destinacion'!$A$3:$F$15</definedName>
    <definedName name="Z_C9C93AD0_6FCF_44C2_A85A_AB3923492EAA_.wvu.PrintArea" localSheetId="9" hidden="1">'(C5) Angazhimet'!$A$3:$F$15</definedName>
    <definedName name="Z_C9C93AD0_6FCF_44C2_A85A_AB3923492EAA_.wvu.PrintArea" localSheetId="13" hidden="1">'(E1) Vlerësimi i burimeve'!$B$3:$F$109</definedName>
    <definedName name="Z_C9C93AD0_6FCF_44C2_A85A_AB3923492EAA_.wvu.PrintArea" localSheetId="14" hidden="1">'(E2) Kontrolli Besueshmërisë'!$B$3:$F$63</definedName>
    <definedName name="Z_C9C93AD0_6FCF_44C2_A85A_AB3923492EAA_.wvu.PrintArea" localSheetId="54" hidden="1">'(F13) Përmbledhja e të dhënave'!$A$1:$G$38</definedName>
    <definedName name="Z_C9C93AD0_6FCF_44C2_A85A_AB3923492EAA_.wvu.PrintArea" localSheetId="55" hidden="1">'(F14) Treguesit'!$B$1:$H$13</definedName>
    <definedName name="Z_C9C93AD0_6FCF_44C2_A85A_AB3923492EAA_.wvu.PrintArea" localSheetId="57" hidden="1">'(F16) Grafiku shpenz. kapitale'!$B$1:$H$31</definedName>
    <definedName name="Z_C9C93AD0_6FCF_44C2_A85A_AB3923492EAA_.wvu.PrintArea" localSheetId="43" hidden="1">'(F2) Shpenzimet sipas nenfunk.b'!$A$1:$N$83</definedName>
    <definedName name="Z_C9C93AD0_6FCF_44C2_A85A_AB3923492EAA_.wvu.PrintArea" localSheetId="44" hidden="1">'(F3) Grafiku shpenz.nenfunks.Br'!$B$1:$H$33</definedName>
    <definedName name="Z_C9C93AD0_6FCF_44C2_A85A_AB3923492EAA_.wvu.PrintArea" localSheetId="46" hidden="1">'(F5)Grafiku i shpenz.nenf.neto'!$B$1:$H$31</definedName>
    <definedName name="Z_C9C93AD0_6FCF_44C2_A85A_AB3923492EAA_.wvu.PrintArea" localSheetId="47" hidden="1">'(F6) Shpenzimet sipas funks.bru'!$A$1:$N$43</definedName>
    <definedName name="Z_C9C93AD0_6FCF_44C2_A85A_AB3923492EAA_.wvu.PrintArea" localSheetId="58" hidden="1">'(G1) Fjalori'!$A$419:$A$648</definedName>
    <definedName name="Z_C9C93AD0_6FCF_44C2_A85A_AB3923492EAA_.wvu.PrintArea" localSheetId="59" hidden="1">'(G2) Fjalori'!#REF!</definedName>
    <definedName name="Z_C9C93AD0_6FCF_44C2_A85A_AB3923492EAA_.wvu.PrintArea" localSheetId="60" hidden="1">'(G3) Fjalori'!#REF!</definedName>
    <definedName name="Z_C9C93AD0_6FCF_44C2_A85A_AB3923492EAA_.wvu.PrintTitles" localSheetId="45" hidden="1">' (F4)Shpenzimet sipas nenf.neto'!$3:$4</definedName>
    <definedName name="Z_C9C93AD0_6FCF_44C2_A85A_AB3923492EAA_.wvu.PrintTitles" localSheetId="48" hidden="1">' (F7) Grafiku shpenz.funksion b'!$3:$3</definedName>
    <definedName name="Z_C9C93AD0_6FCF_44C2_A85A_AB3923492EAA_.wvu.PrintTitles" localSheetId="3" hidden="1">'(B3) Struktura Funksionale'!#REF!</definedName>
    <definedName name="Z_C9C93AD0_6FCF_44C2_A85A_AB3923492EAA_.wvu.PrintTitles" localSheetId="4" hidden="1">'(C1) Shpenzimet vitet e kaluara'!$5:$7</definedName>
    <definedName name="Z_C9C93AD0_6FCF_44C2_A85A_AB3923492EAA_.wvu.PrintTitles" localSheetId="5" hidden="1">'(C1b)Shpenzimet vitet e kaluar '!$5:$6</definedName>
    <definedName name="Z_C9C93AD0_6FCF_44C2_A85A_AB3923492EAA_.wvu.PrintTitles" localSheetId="6" hidden="1">'(C2) Burimet viti kaluar'!$5:$6</definedName>
    <definedName name="Z_C9C93AD0_6FCF_44C2_A85A_AB3923492EAA_.wvu.PrintTitles" localSheetId="7" hidden="1">'(C3) Detyrimet e prapambetura'!$5:$7</definedName>
    <definedName name="Z_C9C93AD0_6FCF_44C2_A85A_AB3923492EAA_.wvu.PrintTitles" localSheetId="8" hidden="1">'(C4) Trashëgimi me destinacion'!$5:$7</definedName>
    <definedName name="Z_C9C93AD0_6FCF_44C2_A85A_AB3923492EAA_.wvu.PrintTitles" localSheetId="9" hidden="1">'(C5) Angazhimet'!$5:$7</definedName>
    <definedName name="Z_C9C93AD0_6FCF_44C2_A85A_AB3923492EAA_.wvu.PrintTitles" localSheetId="13" hidden="1">'(E1) Vlerësimi i burimeve'!$5:$6</definedName>
    <definedName name="Z_C9C93AD0_6FCF_44C2_A85A_AB3923492EAA_.wvu.PrintTitles" localSheetId="14" hidden="1">'(E2) Kontrolli Besueshmërisë'!$5:$6</definedName>
    <definedName name="Z_C9C93AD0_6FCF_44C2_A85A_AB3923492EAA_.wvu.PrintTitles" localSheetId="54" hidden="1">'(F13) Përmbledhja e të dhënave'!$3:$3</definedName>
    <definedName name="Z_C9C93AD0_6FCF_44C2_A85A_AB3923492EAA_.wvu.PrintTitles" localSheetId="55" hidden="1">'(F14) Treguesit'!$3:$3</definedName>
    <definedName name="Z_C9C93AD0_6FCF_44C2_A85A_AB3923492EAA_.wvu.PrintTitles" localSheetId="57" hidden="1">'(F16) Grafiku shpenz. kapitale'!$3:$3</definedName>
    <definedName name="Z_C9C93AD0_6FCF_44C2_A85A_AB3923492EAA_.wvu.PrintTitles" localSheetId="43" hidden="1">'(F2) Shpenzimet sipas nenfunk.b'!$3:$4</definedName>
    <definedName name="Z_C9C93AD0_6FCF_44C2_A85A_AB3923492EAA_.wvu.PrintTitles" localSheetId="44" hidden="1">'(F3) Grafiku shpenz.nenfunks.Br'!$3:$4</definedName>
    <definedName name="Z_C9C93AD0_6FCF_44C2_A85A_AB3923492EAA_.wvu.PrintTitles" localSheetId="46" hidden="1">'(F5)Grafiku i shpenz.nenf.neto'!$3:$3</definedName>
    <definedName name="Z_C9C93AD0_6FCF_44C2_A85A_AB3923492EAA_.wvu.PrintTitles" localSheetId="47" hidden="1">'(F6) Shpenzimet sipas funks.bru'!$3:$4</definedName>
    <definedName name="Z_C9C93AD0_6FCF_44C2_A85A_AB3923492EAA_.wvu.PrintTitles" localSheetId="58" hidden="1">'(G1) Fjalori'!#REF!</definedName>
    <definedName name="Z_C9C93AD0_6FCF_44C2_A85A_AB3923492EAA_.wvu.PrintTitles" localSheetId="59" hidden="1">'(G2) Fjalori'!#REF!</definedName>
    <definedName name="Z_C9C93AD0_6FCF_44C2_A85A_AB3923492EAA_.wvu.PrintTitles" localSheetId="60" hidden="1">'(G3) Fjalori'!#REF!</definedName>
    <definedName name="Z_C9C93AD0_6FCF_44C2_A85A_AB3923492EAA_.wvu.Rows" localSheetId="12" hidden="1">'(D2) Llogaritjet makroekonomike'!#REF!</definedName>
  </definedNames>
  <calcPr calcId="162913"/>
</workbook>
</file>

<file path=xl/calcChain.xml><?xml version="1.0" encoding="utf-8"?>
<calcChain xmlns="http://schemas.openxmlformats.org/spreadsheetml/2006/main">
  <c r="M117" i="203" l="1"/>
  <c r="M78" i="201"/>
  <c r="E155" i="45" l="1"/>
  <c r="D155" i="45"/>
  <c r="C155" i="45"/>
  <c r="G83" i="205" l="1"/>
  <c r="F83" i="205"/>
  <c r="E83" i="205"/>
  <c r="C493" i="45" l="1"/>
  <c r="O13" i="60"/>
  <c r="M13" i="60"/>
  <c r="F351" i="191"/>
  <c r="I351" i="191" s="1"/>
  <c r="L351" i="191" s="1"/>
  <c r="F352" i="191"/>
  <c r="I352" i="191"/>
  <c r="L352" i="191" s="1"/>
  <c r="F353" i="191"/>
  <c r="I353" i="191" s="1"/>
  <c r="L353" i="191" s="1"/>
  <c r="F354" i="191"/>
  <c r="I354" i="191" s="1"/>
  <c r="L354" i="191" s="1"/>
  <c r="F355" i="191"/>
  <c r="I355" i="191" s="1"/>
  <c r="L355" i="191" s="1"/>
  <c r="F356" i="191"/>
  <c r="I356" i="191"/>
  <c r="L356" i="191" s="1"/>
  <c r="F357" i="191"/>
  <c r="I357" i="191" s="1"/>
  <c r="L357" i="191" s="1"/>
  <c r="F358" i="191"/>
  <c r="I358" i="191"/>
  <c r="L358" i="191" s="1"/>
  <c r="E8" i="191"/>
  <c r="P358" i="191" l="1"/>
  <c r="O358" i="191"/>
  <c r="O357" i="191"/>
  <c r="P357" i="191"/>
  <c r="P354" i="191"/>
  <c r="O354" i="191"/>
  <c r="O353" i="191"/>
  <c r="P353" i="191"/>
  <c r="P356" i="191"/>
  <c r="O356" i="191"/>
  <c r="O355" i="191"/>
  <c r="P355" i="191"/>
  <c r="P352" i="191"/>
  <c r="O352" i="191"/>
  <c r="O351" i="191"/>
  <c r="P351" i="191"/>
  <c r="M31" i="60" l="1"/>
  <c r="M137" i="60"/>
  <c r="M131" i="60"/>
  <c r="M159" i="60"/>
  <c r="M120" i="60"/>
  <c r="M124" i="60"/>
  <c r="M71" i="60"/>
  <c r="M58" i="60" l="1"/>
  <c r="M54" i="60"/>
  <c r="M53" i="60"/>
  <c r="F72" i="224" l="1"/>
  <c r="G72" i="224"/>
  <c r="E72" i="224"/>
  <c r="D43" i="54" l="1"/>
  <c r="K131" i="60" l="1"/>
  <c r="F379" i="191"/>
  <c r="I379" i="191" s="1"/>
  <c r="L379" i="191" s="1"/>
  <c r="F371" i="191"/>
  <c r="I371" i="191" s="1"/>
  <c r="L371" i="191" s="1"/>
  <c r="F372" i="191"/>
  <c r="I372" i="191" s="1"/>
  <c r="L372" i="191" s="1"/>
  <c r="F373" i="191"/>
  <c r="I373" i="191" s="1"/>
  <c r="L373" i="191" s="1"/>
  <c r="F374" i="191"/>
  <c r="I374" i="191" s="1"/>
  <c r="L374" i="191" s="1"/>
  <c r="F375" i="191"/>
  <c r="I375" i="191" s="1"/>
  <c r="L375" i="191" s="1"/>
  <c r="F376" i="191"/>
  <c r="I376" i="191" s="1"/>
  <c r="L376" i="191" s="1"/>
  <c r="F377" i="191"/>
  <c r="I377" i="191" s="1"/>
  <c r="L377" i="191" s="1"/>
  <c r="F378" i="191"/>
  <c r="I378" i="191" s="1"/>
  <c r="L378" i="191" s="1"/>
  <c r="F380" i="191"/>
  <c r="I380" i="191" s="1"/>
  <c r="L380" i="191" s="1"/>
  <c r="F381" i="191"/>
  <c r="I381" i="191" s="1"/>
  <c r="L381" i="191" s="1"/>
  <c r="F382" i="191"/>
  <c r="I382" i="191" s="1"/>
  <c r="L382" i="191" s="1"/>
  <c r="F383" i="191"/>
  <c r="I383" i="191" s="1"/>
  <c r="L383" i="191" s="1"/>
  <c r="F384" i="191"/>
  <c r="I384" i="191" s="1"/>
  <c r="L384" i="191" s="1"/>
  <c r="F385" i="191"/>
  <c r="I385" i="191" s="1"/>
  <c r="L385" i="191" s="1"/>
  <c r="F386" i="191"/>
  <c r="I386" i="191" s="1"/>
  <c r="L386" i="191" s="1"/>
  <c r="F387" i="191"/>
  <c r="I387" i="191" s="1"/>
  <c r="L387" i="191" s="1"/>
  <c r="F388" i="191"/>
  <c r="I388" i="191" s="1"/>
  <c r="L388" i="191" s="1"/>
  <c r="F389" i="191"/>
  <c r="I389" i="191" s="1"/>
  <c r="L389" i="191" s="1"/>
  <c r="F390" i="191"/>
  <c r="I390" i="191" s="1"/>
  <c r="L390" i="191" s="1"/>
  <c r="F391" i="191"/>
  <c r="I391" i="191" s="1"/>
  <c r="L391" i="191" s="1"/>
  <c r="F392" i="191"/>
  <c r="I392" i="191" s="1"/>
  <c r="L392" i="191" s="1"/>
  <c r="F393" i="191"/>
  <c r="I393" i="191" s="1"/>
  <c r="L393" i="191" s="1"/>
  <c r="F364" i="191"/>
  <c r="I364" i="191" s="1"/>
  <c r="L364" i="191" s="1"/>
  <c r="O364" i="191" s="1"/>
  <c r="F365" i="191"/>
  <c r="I365" i="191" s="1"/>
  <c r="L365" i="191" s="1"/>
  <c r="F366" i="191"/>
  <c r="I366" i="191" s="1"/>
  <c r="L366" i="191" s="1"/>
  <c r="F367" i="191"/>
  <c r="I367" i="191" s="1"/>
  <c r="L367" i="191" s="1"/>
  <c r="F368" i="191"/>
  <c r="I368" i="191" s="1"/>
  <c r="L368" i="191" s="1"/>
  <c r="F369" i="191"/>
  <c r="I369" i="191" s="1"/>
  <c r="L369" i="191" s="1"/>
  <c r="F370" i="191"/>
  <c r="I370" i="191" s="1"/>
  <c r="L370" i="191" s="1"/>
  <c r="O392" i="191" l="1"/>
  <c r="P392" i="191"/>
  <c r="O390" i="191"/>
  <c r="P390" i="191"/>
  <c r="O388" i="191"/>
  <c r="P388" i="191"/>
  <c r="O386" i="191"/>
  <c r="P386" i="191"/>
  <c r="O384" i="191"/>
  <c r="P384" i="191"/>
  <c r="O382" i="191"/>
  <c r="P382" i="191"/>
  <c r="O380" i="191"/>
  <c r="P380" i="191"/>
  <c r="O377" i="191"/>
  <c r="P377" i="191"/>
  <c r="O375" i="191"/>
  <c r="P375" i="191"/>
  <c r="P391" i="191"/>
  <c r="O391" i="191"/>
  <c r="P387" i="191"/>
  <c r="O387" i="191"/>
  <c r="P385" i="191"/>
  <c r="O385" i="191"/>
  <c r="P381" i="191"/>
  <c r="O381" i="191"/>
  <c r="P376" i="191"/>
  <c r="O376" i="191"/>
  <c r="P393" i="191"/>
  <c r="O393" i="191"/>
  <c r="P389" i="191"/>
  <c r="O389" i="191"/>
  <c r="P383" i="191"/>
  <c r="O383" i="191"/>
  <c r="P378" i="191"/>
  <c r="O378" i="191"/>
  <c r="P374" i="191"/>
  <c r="O374" i="191"/>
  <c r="O379" i="191"/>
  <c r="P379" i="191"/>
  <c r="P373" i="191"/>
  <c r="O373" i="191"/>
  <c r="P372" i="191"/>
  <c r="O372" i="191"/>
  <c r="O371" i="191"/>
  <c r="P371" i="191"/>
  <c r="O369" i="191"/>
  <c r="P369" i="191"/>
  <c r="O367" i="191"/>
  <c r="P367" i="191"/>
  <c r="O365" i="191"/>
  <c r="P365" i="191"/>
  <c r="P370" i="191"/>
  <c r="O370" i="191"/>
  <c r="P368" i="191"/>
  <c r="O368" i="191"/>
  <c r="P366" i="191"/>
  <c r="O366" i="191"/>
  <c r="F350" i="191" l="1"/>
  <c r="I350" i="191" s="1"/>
  <c r="L350" i="191" s="1"/>
  <c r="F329" i="191"/>
  <c r="I329" i="191" s="1"/>
  <c r="L329" i="191" s="1"/>
  <c r="O329" i="191" s="1"/>
  <c r="F330" i="191"/>
  <c r="I330" i="191" s="1"/>
  <c r="L330" i="191" s="1"/>
  <c r="O330" i="191" s="1"/>
  <c r="F331" i="191"/>
  <c r="I331" i="191" s="1"/>
  <c r="L331" i="191" s="1"/>
  <c r="F332" i="191"/>
  <c r="I332" i="191" s="1"/>
  <c r="L332" i="191" s="1"/>
  <c r="F333" i="191"/>
  <c r="I333" i="191" s="1"/>
  <c r="L333" i="191" s="1"/>
  <c r="P350" i="191" l="1"/>
  <c r="O350" i="191"/>
  <c r="P333" i="191"/>
  <c r="O333" i="191"/>
  <c r="O331" i="191"/>
  <c r="P331" i="191"/>
  <c r="P332" i="191"/>
  <c r="O332" i="191"/>
  <c r="P330" i="191"/>
  <c r="P364" i="191" l="1"/>
  <c r="F359" i="191"/>
  <c r="I359" i="191" s="1"/>
  <c r="L359" i="191" s="1"/>
  <c r="F360" i="191"/>
  <c r="I360" i="191" s="1"/>
  <c r="L360" i="191" s="1"/>
  <c r="F361" i="191"/>
  <c r="I361" i="191" s="1"/>
  <c r="L361" i="191" s="1"/>
  <c r="F362" i="191"/>
  <c r="I362" i="191" s="1"/>
  <c r="L362" i="191" s="1"/>
  <c r="F363" i="191"/>
  <c r="I363" i="191" s="1"/>
  <c r="L363" i="191" s="1"/>
  <c r="P363" i="191" l="1"/>
  <c r="O363" i="191"/>
  <c r="P361" i="191"/>
  <c r="O361" i="191"/>
  <c r="P362" i="191"/>
  <c r="O362" i="191"/>
  <c r="P360" i="191"/>
  <c r="O360" i="191"/>
  <c r="P359" i="191"/>
  <c r="O359" i="191"/>
  <c r="F328" i="191" l="1"/>
  <c r="I328" i="191" s="1"/>
  <c r="L328" i="191" s="1"/>
  <c r="O328" i="191" s="1"/>
  <c r="F327" i="191"/>
  <c r="I327" i="191" s="1"/>
  <c r="L327" i="191" s="1"/>
  <c r="O327" i="191" s="1"/>
  <c r="F326" i="191"/>
  <c r="I326" i="191" s="1"/>
  <c r="L326" i="191" s="1"/>
  <c r="O326" i="191" s="1"/>
  <c r="F325" i="191"/>
  <c r="I325" i="191" s="1"/>
  <c r="L325" i="191" s="1"/>
  <c r="O325" i="191" s="1"/>
  <c r="F324" i="191"/>
  <c r="I324" i="191" s="1"/>
  <c r="L324" i="191" s="1"/>
  <c r="O324" i="191" s="1"/>
  <c r="F323" i="191"/>
  <c r="I323" i="191" s="1"/>
  <c r="L323" i="191" s="1"/>
  <c r="O323" i="191" s="1"/>
  <c r="F322" i="191"/>
  <c r="I322" i="191" s="1"/>
  <c r="L322" i="191" s="1"/>
  <c r="O322" i="191" s="1"/>
  <c r="F321" i="191"/>
  <c r="I321" i="191" s="1"/>
  <c r="L321" i="191" s="1"/>
  <c r="O321" i="191" s="1"/>
  <c r="F320" i="191"/>
  <c r="I320" i="191" s="1"/>
  <c r="L320" i="191" s="1"/>
  <c r="O320" i="191" s="1"/>
  <c r="F319" i="191"/>
  <c r="I319" i="191" s="1"/>
  <c r="L319" i="191" s="1"/>
  <c r="O319" i="191" s="1"/>
  <c r="F318" i="191"/>
  <c r="I318" i="191" s="1"/>
  <c r="L318" i="191" s="1"/>
  <c r="O318" i="191" s="1"/>
  <c r="F317" i="191"/>
  <c r="I317" i="191" s="1"/>
  <c r="L317" i="191" s="1"/>
  <c r="O317" i="191" s="1"/>
  <c r="F316" i="191"/>
  <c r="I316" i="191" s="1"/>
  <c r="L316" i="191" s="1"/>
  <c r="O316" i="191" s="1"/>
  <c r="F315" i="191"/>
  <c r="I315" i="191" s="1"/>
  <c r="L315" i="191" s="1"/>
  <c r="O315" i="191" s="1"/>
  <c r="F314" i="191"/>
  <c r="I314" i="191" s="1"/>
  <c r="L314" i="191" s="1"/>
  <c r="O314" i="191" s="1"/>
  <c r="F313" i="191"/>
  <c r="I313" i="191" s="1"/>
  <c r="L313" i="191" s="1"/>
  <c r="O313" i="191" s="1"/>
  <c r="F312" i="191"/>
  <c r="I312" i="191" s="1"/>
  <c r="L312" i="191" s="1"/>
  <c r="O312" i="191" s="1"/>
  <c r="F311" i="191"/>
  <c r="I311" i="191" s="1"/>
  <c r="L311" i="191" s="1"/>
  <c r="O311" i="191" s="1"/>
  <c r="F310" i="191"/>
  <c r="I310" i="191" s="1"/>
  <c r="L310" i="191" s="1"/>
  <c r="O310" i="191" s="1"/>
  <c r="F309" i="191"/>
  <c r="I309" i="191" s="1"/>
  <c r="L309" i="191" s="1"/>
  <c r="O309" i="191" s="1"/>
  <c r="F308" i="191"/>
  <c r="I308" i="191" s="1"/>
  <c r="L308" i="191" s="1"/>
  <c r="O308" i="191" s="1"/>
  <c r="F307" i="191"/>
  <c r="I307" i="191" s="1"/>
  <c r="L307" i="191" s="1"/>
  <c r="O307" i="191" s="1"/>
  <c r="F306" i="191"/>
  <c r="I306" i="191" s="1"/>
  <c r="L306" i="191" s="1"/>
  <c r="O306" i="191" s="1"/>
  <c r="F305" i="191"/>
  <c r="I305" i="191" s="1"/>
  <c r="L305" i="191" s="1"/>
  <c r="O305" i="191" s="1"/>
  <c r="F304" i="191"/>
  <c r="I304" i="191" s="1"/>
  <c r="L304" i="191" s="1"/>
  <c r="O304" i="191" s="1"/>
  <c r="F303" i="191"/>
  <c r="I303" i="191" s="1"/>
  <c r="L303" i="191" s="1"/>
  <c r="O303" i="191" s="1"/>
  <c r="F302" i="191"/>
  <c r="I302" i="191" s="1"/>
  <c r="L302" i="191" s="1"/>
  <c r="O302" i="191" s="1"/>
  <c r="F301" i="191"/>
  <c r="I301" i="191" s="1"/>
  <c r="L301" i="191" s="1"/>
  <c r="F300" i="191"/>
  <c r="I300" i="191" s="1"/>
  <c r="L300" i="191" s="1"/>
  <c r="F299" i="191"/>
  <c r="I299" i="191" s="1"/>
  <c r="L299" i="191" s="1"/>
  <c r="F298" i="191"/>
  <c r="I298" i="191" s="1"/>
  <c r="L298" i="191" s="1"/>
  <c r="F297" i="191"/>
  <c r="I297" i="191" s="1"/>
  <c r="L297" i="191" s="1"/>
  <c r="F296" i="191"/>
  <c r="I296" i="191" s="1"/>
  <c r="L296" i="191" s="1"/>
  <c r="F295" i="191"/>
  <c r="I295" i="191" s="1"/>
  <c r="L295" i="191" s="1"/>
  <c r="F294" i="191"/>
  <c r="I294" i="191" s="1"/>
  <c r="L294" i="191" s="1"/>
  <c r="F293" i="191"/>
  <c r="I293" i="191" s="1"/>
  <c r="L293" i="191" s="1"/>
  <c r="F292" i="191"/>
  <c r="I292" i="191" s="1"/>
  <c r="L292" i="191" s="1"/>
  <c r="F291" i="191"/>
  <c r="I291" i="191" s="1"/>
  <c r="L291" i="191" s="1"/>
  <c r="F290" i="191"/>
  <c r="I290" i="191" s="1"/>
  <c r="L290" i="191" s="1"/>
  <c r="F289" i="191"/>
  <c r="I289" i="191" s="1"/>
  <c r="L289" i="191" s="1"/>
  <c r="F288" i="191"/>
  <c r="I288" i="191" s="1"/>
  <c r="L288" i="191" s="1"/>
  <c r="F287" i="191"/>
  <c r="I287" i="191" s="1"/>
  <c r="L287" i="191" s="1"/>
  <c r="F286" i="191"/>
  <c r="I286" i="191" s="1"/>
  <c r="L286" i="191" s="1"/>
  <c r="F285" i="191"/>
  <c r="I285" i="191" s="1"/>
  <c r="L285" i="191" s="1"/>
  <c r="F238" i="191"/>
  <c r="I238" i="191" s="1"/>
  <c r="L238" i="191" s="1"/>
  <c r="O238" i="191" s="1"/>
  <c r="F239" i="191"/>
  <c r="I239" i="191" s="1"/>
  <c r="L239" i="191" s="1"/>
  <c r="O239" i="191" s="1"/>
  <c r="F240" i="191"/>
  <c r="I240" i="191" s="1"/>
  <c r="L240" i="191" s="1"/>
  <c r="O240" i="191" s="1"/>
  <c r="F241" i="191"/>
  <c r="I241" i="191" s="1"/>
  <c r="L241" i="191" s="1"/>
  <c r="O241" i="191" s="1"/>
  <c r="F242" i="191"/>
  <c r="I242" i="191" s="1"/>
  <c r="L242" i="191" s="1"/>
  <c r="O242" i="191" s="1"/>
  <c r="F243" i="191"/>
  <c r="I243" i="191" s="1"/>
  <c r="L243" i="191" s="1"/>
  <c r="O243" i="191" s="1"/>
  <c r="F244" i="191"/>
  <c r="I244" i="191" s="1"/>
  <c r="L244" i="191" s="1"/>
  <c r="O244" i="191" s="1"/>
  <c r="F245" i="191"/>
  <c r="I245" i="191" s="1"/>
  <c r="L245" i="191" s="1"/>
  <c r="O245" i="191" s="1"/>
  <c r="F246" i="191"/>
  <c r="I246" i="191" s="1"/>
  <c r="L246" i="191" s="1"/>
  <c r="O246" i="191" s="1"/>
  <c r="F247" i="191"/>
  <c r="I247" i="191" s="1"/>
  <c r="L247" i="191" s="1"/>
  <c r="O247" i="191" s="1"/>
  <c r="F248" i="191"/>
  <c r="I248" i="191" s="1"/>
  <c r="L248" i="191" s="1"/>
  <c r="O248" i="191" s="1"/>
  <c r="F249" i="191"/>
  <c r="I249" i="191" s="1"/>
  <c r="L249" i="191" s="1"/>
  <c r="O249" i="191" s="1"/>
  <c r="F250" i="191"/>
  <c r="I250" i="191" s="1"/>
  <c r="L250" i="191" s="1"/>
  <c r="O250" i="191" s="1"/>
  <c r="F251" i="191"/>
  <c r="I251" i="191" s="1"/>
  <c r="L251" i="191" s="1"/>
  <c r="O251" i="191" s="1"/>
  <c r="F252" i="191"/>
  <c r="I252" i="191" s="1"/>
  <c r="L252" i="191" s="1"/>
  <c r="O252" i="191" s="1"/>
  <c r="F253" i="191"/>
  <c r="I253" i="191" s="1"/>
  <c r="L253" i="191" s="1"/>
  <c r="O253" i="191" s="1"/>
  <c r="F254" i="191"/>
  <c r="I254" i="191" s="1"/>
  <c r="L254" i="191" s="1"/>
  <c r="O254" i="191" s="1"/>
  <c r="F255" i="191"/>
  <c r="I255" i="191" s="1"/>
  <c r="L255" i="191" s="1"/>
  <c r="O255" i="191" s="1"/>
  <c r="F256" i="191"/>
  <c r="I256" i="191" s="1"/>
  <c r="L256" i="191" s="1"/>
  <c r="O256" i="191" s="1"/>
  <c r="F257" i="191"/>
  <c r="I257" i="191" s="1"/>
  <c r="L257" i="191" s="1"/>
  <c r="O257" i="191" s="1"/>
  <c r="F258" i="191"/>
  <c r="I258" i="191" s="1"/>
  <c r="L258" i="191" s="1"/>
  <c r="O258" i="191" s="1"/>
  <c r="F259" i="191"/>
  <c r="I259" i="191" s="1"/>
  <c r="L259" i="191" s="1"/>
  <c r="O259" i="191" s="1"/>
  <c r="F260" i="191"/>
  <c r="I260" i="191" s="1"/>
  <c r="L260" i="191" s="1"/>
  <c r="O260" i="191" s="1"/>
  <c r="F261" i="191"/>
  <c r="I261" i="191" s="1"/>
  <c r="L261" i="191" s="1"/>
  <c r="O261" i="191" s="1"/>
  <c r="F262" i="191"/>
  <c r="I262" i="191" s="1"/>
  <c r="L262" i="191" s="1"/>
  <c r="O262" i="191" s="1"/>
  <c r="F263" i="191"/>
  <c r="I263" i="191" s="1"/>
  <c r="L263" i="191" s="1"/>
  <c r="O263" i="191" s="1"/>
  <c r="F264" i="191"/>
  <c r="I264" i="191" s="1"/>
  <c r="L264" i="191" s="1"/>
  <c r="O264" i="191" s="1"/>
  <c r="F265" i="191"/>
  <c r="I265" i="191" s="1"/>
  <c r="L265" i="191" s="1"/>
  <c r="O265" i="191" s="1"/>
  <c r="F266" i="191"/>
  <c r="I266" i="191" s="1"/>
  <c r="L266" i="191" s="1"/>
  <c r="O266" i="191" s="1"/>
  <c r="F267" i="191"/>
  <c r="I267" i="191" s="1"/>
  <c r="L267" i="191" s="1"/>
  <c r="O267" i="191" s="1"/>
  <c r="F268" i="191"/>
  <c r="I268" i="191" s="1"/>
  <c r="L268" i="191" s="1"/>
  <c r="O268" i="191" s="1"/>
  <c r="F269" i="191"/>
  <c r="I269" i="191" s="1"/>
  <c r="L269" i="191" s="1"/>
  <c r="O269" i="191" s="1"/>
  <c r="F270" i="191"/>
  <c r="I270" i="191" s="1"/>
  <c r="L270" i="191" s="1"/>
  <c r="O270" i="191" s="1"/>
  <c r="F271" i="191"/>
  <c r="I271" i="191" s="1"/>
  <c r="L271" i="191" s="1"/>
  <c r="O271" i="191" s="1"/>
  <c r="F272" i="191"/>
  <c r="I272" i="191" s="1"/>
  <c r="L272" i="191" s="1"/>
  <c r="O272" i="191" s="1"/>
  <c r="F273" i="191"/>
  <c r="I273" i="191" s="1"/>
  <c r="L273" i="191" s="1"/>
  <c r="O273" i="191" s="1"/>
  <c r="F274" i="191"/>
  <c r="I274" i="191" s="1"/>
  <c r="L274" i="191" s="1"/>
  <c r="O274" i="191" s="1"/>
  <c r="F275" i="191"/>
  <c r="I275" i="191" s="1"/>
  <c r="L275" i="191" s="1"/>
  <c r="O275" i="191" s="1"/>
  <c r="F276" i="191"/>
  <c r="I276" i="191" s="1"/>
  <c r="L276" i="191" s="1"/>
  <c r="O276" i="191" s="1"/>
  <c r="F277" i="191"/>
  <c r="I277" i="191" s="1"/>
  <c r="L277" i="191" s="1"/>
  <c r="O277" i="191" s="1"/>
  <c r="F278" i="191"/>
  <c r="I278" i="191" s="1"/>
  <c r="L278" i="191" s="1"/>
  <c r="O278" i="191" s="1"/>
  <c r="F279" i="191"/>
  <c r="I279" i="191" s="1"/>
  <c r="L279" i="191" s="1"/>
  <c r="O279" i="191" s="1"/>
  <c r="F280" i="191"/>
  <c r="I280" i="191" s="1"/>
  <c r="L280" i="191" s="1"/>
  <c r="O280" i="191" s="1"/>
  <c r="F281" i="191"/>
  <c r="I281" i="191" s="1"/>
  <c r="L281" i="191" s="1"/>
  <c r="O281" i="191" s="1"/>
  <c r="F282" i="191"/>
  <c r="I282" i="191" s="1"/>
  <c r="L282" i="191" s="1"/>
  <c r="O282" i="191" s="1"/>
  <c r="F283" i="191"/>
  <c r="I283" i="191" s="1"/>
  <c r="L283" i="191" s="1"/>
  <c r="O283" i="191" s="1"/>
  <c r="F284" i="191"/>
  <c r="I284" i="191" s="1"/>
  <c r="L284" i="191" s="1"/>
  <c r="O284" i="191" s="1"/>
  <c r="F149" i="191"/>
  <c r="I149" i="191" s="1"/>
  <c r="F148" i="191"/>
  <c r="I148" i="191" s="1"/>
  <c r="L148" i="191" s="1"/>
  <c r="F147" i="191"/>
  <c r="I147" i="191" s="1"/>
  <c r="L147" i="191" s="1"/>
  <c r="O147" i="191" s="1"/>
  <c r="F146" i="191"/>
  <c r="I146" i="191" s="1"/>
  <c r="L146" i="191" s="1"/>
  <c r="O146" i="191" s="1"/>
  <c r="F145" i="191"/>
  <c r="I145" i="191" s="1"/>
  <c r="L145" i="191" s="1"/>
  <c r="O145" i="191" s="1"/>
  <c r="F144" i="191"/>
  <c r="I144" i="191" s="1"/>
  <c r="L144" i="191" s="1"/>
  <c r="O144" i="191" s="1"/>
  <c r="F143" i="191"/>
  <c r="I143" i="191" s="1"/>
  <c r="L143" i="191" s="1"/>
  <c r="O143" i="191" s="1"/>
  <c r="F142" i="191"/>
  <c r="I142" i="191" s="1"/>
  <c r="L142" i="191" s="1"/>
  <c r="O142" i="191" s="1"/>
  <c r="F95" i="191"/>
  <c r="I95" i="191" s="1"/>
  <c r="L95" i="191" s="1"/>
  <c r="F96" i="191"/>
  <c r="I96" i="191" s="1"/>
  <c r="L96" i="191" s="1"/>
  <c r="F97" i="191"/>
  <c r="I97" i="191" s="1"/>
  <c r="L97" i="191" s="1"/>
  <c r="F98" i="191"/>
  <c r="I98" i="191" s="1"/>
  <c r="L98" i="191" s="1"/>
  <c r="F99" i="191"/>
  <c r="I99" i="191" s="1"/>
  <c r="L99" i="191" s="1"/>
  <c r="O99" i="191" s="1"/>
  <c r="F100" i="191"/>
  <c r="I100" i="191" s="1"/>
  <c r="L100" i="191" s="1"/>
  <c r="F101" i="191"/>
  <c r="I101" i="191" s="1"/>
  <c r="L101" i="191" s="1"/>
  <c r="F102" i="191"/>
  <c r="I102" i="191" s="1"/>
  <c r="L102" i="191" s="1"/>
  <c r="F103" i="191"/>
  <c r="I103" i="191" s="1"/>
  <c r="L103" i="191" s="1"/>
  <c r="O103" i="191" s="1"/>
  <c r="F104" i="191"/>
  <c r="I104" i="191" s="1"/>
  <c r="L104" i="191" s="1"/>
  <c r="F105" i="191"/>
  <c r="I105" i="191" s="1"/>
  <c r="L105" i="191" s="1"/>
  <c r="F106" i="191"/>
  <c r="I106" i="191" s="1"/>
  <c r="L106" i="191" s="1"/>
  <c r="F107" i="191"/>
  <c r="I107" i="191" s="1"/>
  <c r="L107" i="191" s="1"/>
  <c r="O107" i="191" s="1"/>
  <c r="F108" i="191"/>
  <c r="I108" i="191" s="1"/>
  <c r="L108" i="191" s="1"/>
  <c r="F109" i="191"/>
  <c r="I109" i="191" s="1"/>
  <c r="L109" i="191" s="1"/>
  <c r="O109" i="191" s="1"/>
  <c r="F110" i="191"/>
  <c r="I110" i="191" s="1"/>
  <c r="L110" i="191" s="1"/>
  <c r="F111" i="191"/>
  <c r="I111" i="191" s="1"/>
  <c r="L111" i="191" s="1"/>
  <c r="O111" i="191" s="1"/>
  <c r="F112" i="191"/>
  <c r="I112" i="191" s="1"/>
  <c r="L112" i="191" s="1"/>
  <c r="F113" i="191"/>
  <c r="I113" i="191" s="1"/>
  <c r="L113" i="191" s="1"/>
  <c r="O113" i="191" s="1"/>
  <c r="F114" i="191"/>
  <c r="I114" i="191" s="1"/>
  <c r="L114" i="191" s="1"/>
  <c r="F115" i="191"/>
  <c r="I115" i="191" s="1"/>
  <c r="L115" i="191" s="1"/>
  <c r="O115" i="191" s="1"/>
  <c r="F116" i="191"/>
  <c r="I116" i="191" s="1"/>
  <c r="L116" i="191" s="1"/>
  <c r="F117" i="191"/>
  <c r="I117" i="191" s="1"/>
  <c r="L117" i="191" s="1"/>
  <c r="O117" i="191" s="1"/>
  <c r="F118" i="191"/>
  <c r="I118" i="191" s="1"/>
  <c r="L118" i="191" s="1"/>
  <c r="F119" i="191"/>
  <c r="I119" i="191" s="1"/>
  <c r="L119" i="191" s="1"/>
  <c r="O119" i="191" s="1"/>
  <c r="F120" i="191"/>
  <c r="I120" i="191" s="1"/>
  <c r="L120" i="191" s="1"/>
  <c r="F121" i="191"/>
  <c r="I121" i="191" s="1"/>
  <c r="L121" i="191" s="1"/>
  <c r="O121" i="191" s="1"/>
  <c r="F122" i="191"/>
  <c r="I122" i="191" s="1"/>
  <c r="L122" i="191" s="1"/>
  <c r="F123" i="191"/>
  <c r="I123" i="191" s="1"/>
  <c r="L123" i="191" s="1"/>
  <c r="O123" i="191" s="1"/>
  <c r="F124" i="191"/>
  <c r="I124" i="191" s="1"/>
  <c r="L124" i="191" s="1"/>
  <c r="F125" i="191"/>
  <c r="I125" i="191" s="1"/>
  <c r="L125" i="191" s="1"/>
  <c r="O125" i="191" s="1"/>
  <c r="F126" i="191"/>
  <c r="I126" i="191" s="1"/>
  <c r="L126" i="191" s="1"/>
  <c r="F127" i="191"/>
  <c r="I127" i="191" s="1"/>
  <c r="L127" i="191" s="1"/>
  <c r="O127" i="191" s="1"/>
  <c r="F128" i="191"/>
  <c r="I128" i="191" s="1"/>
  <c r="L128" i="191" s="1"/>
  <c r="F129" i="191"/>
  <c r="I129" i="191" s="1"/>
  <c r="L129" i="191" s="1"/>
  <c r="O129" i="191" s="1"/>
  <c r="F130" i="191"/>
  <c r="I130" i="191" s="1"/>
  <c r="L130" i="191" s="1"/>
  <c r="F131" i="191"/>
  <c r="I131" i="191" s="1"/>
  <c r="L131" i="191" s="1"/>
  <c r="O131" i="191" s="1"/>
  <c r="F132" i="191"/>
  <c r="I132" i="191" s="1"/>
  <c r="L132" i="191" s="1"/>
  <c r="O132" i="191" s="1"/>
  <c r="F133" i="191"/>
  <c r="I133" i="191" s="1"/>
  <c r="L133" i="191" s="1"/>
  <c r="O133" i="191" s="1"/>
  <c r="F134" i="191"/>
  <c r="I134" i="191" s="1"/>
  <c r="L134" i="191" s="1"/>
  <c r="O134" i="191" s="1"/>
  <c r="F135" i="191"/>
  <c r="I135" i="191" s="1"/>
  <c r="L135" i="191" s="1"/>
  <c r="O135" i="191" s="1"/>
  <c r="F136" i="191"/>
  <c r="I136" i="191" s="1"/>
  <c r="L136" i="191" s="1"/>
  <c r="O136" i="191" s="1"/>
  <c r="F137" i="191"/>
  <c r="I137" i="191" s="1"/>
  <c r="L137" i="191" s="1"/>
  <c r="O137" i="191" s="1"/>
  <c r="F138" i="191"/>
  <c r="I138" i="191" s="1"/>
  <c r="L138" i="191" s="1"/>
  <c r="O138" i="191" s="1"/>
  <c r="F139" i="191"/>
  <c r="I139" i="191" s="1"/>
  <c r="L139" i="191" s="1"/>
  <c r="O139" i="191" s="1"/>
  <c r="F140" i="191"/>
  <c r="I140" i="191" s="1"/>
  <c r="L140" i="191" s="1"/>
  <c r="O140" i="191" s="1"/>
  <c r="F141" i="191"/>
  <c r="I141" i="191" s="1"/>
  <c r="L141" i="191" s="1"/>
  <c r="O141" i="191" s="1"/>
  <c r="F94" i="191"/>
  <c r="I94" i="191" s="1"/>
  <c r="L94" i="191" s="1"/>
  <c r="F92" i="191"/>
  <c r="I92" i="191" s="1"/>
  <c r="L92" i="191" s="1"/>
  <c r="O92" i="191" s="1"/>
  <c r="F93" i="191"/>
  <c r="I93" i="191" s="1"/>
  <c r="L93" i="191" s="1"/>
  <c r="F176" i="191"/>
  <c r="I176" i="191" s="1"/>
  <c r="L176" i="191" s="1"/>
  <c r="O176" i="191" s="1"/>
  <c r="F177" i="191"/>
  <c r="I177" i="191" s="1"/>
  <c r="L177" i="191" s="1"/>
  <c r="O177" i="191" s="1"/>
  <c r="F178" i="191"/>
  <c r="I178" i="191" s="1"/>
  <c r="L178" i="191" s="1"/>
  <c r="O178" i="191" s="1"/>
  <c r="F179" i="191"/>
  <c r="I179" i="191" s="1"/>
  <c r="L179" i="191" s="1"/>
  <c r="O179" i="191" s="1"/>
  <c r="F180" i="191"/>
  <c r="I180" i="191" s="1"/>
  <c r="L180" i="191" s="1"/>
  <c r="O180" i="191" s="1"/>
  <c r="F181" i="191"/>
  <c r="I181" i="191" s="1"/>
  <c r="L181" i="191" s="1"/>
  <c r="O181" i="191" s="1"/>
  <c r="F182" i="191"/>
  <c r="I182" i="191" s="1"/>
  <c r="L182" i="191" s="1"/>
  <c r="O182" i="191" s="1"/>
  <c r="F183" i="191"/>
  <c r="I183" i="191" s="1"/>
  <c r="L183" i="191" s="1"/>
  <c r="O183" i="191" s="1"/>
  <c r="F184" i="191"/>
  <c r="I184" i="191" s="1"/>
  <c r="L184" i="191" s="1"/>
  <c r="O184" i="191" s="1"/>
  <c r="F185" i="191"/>
  <c r="I185" i="191" s="1"/>
  <c r="L185" i="191" s="1"/>
  <c r="O185" i="191" s="1"/>
  <c r="F186" i="191"/>
  <c r="I186" i="191" s="1"/>
  <c r="L186" i="191" s="1"/>
  <c r="O186" i="191" s="1"/>
  <c r="F187" i="191"/>
  <c r="I187" i="191" s="1"/>
  <c r="L187" i="191" s="1"/>
  <c r="O187" i="191" s="1"/>
  <c r="F188" i="191"/>
  <c r="I188" i="191" s="1"/>
  <c r="L188" i="191" s="1"/>
  <c r="O188" i="191" s="1"/>
  <c r="F189" i="191"/>
  <c r="I189" i="191" s="1"/>
  <c r="L189" i="191" s="1"/>
  <c r="O189" i="191" s="1"/>
  <c r="F190" i="191"/>
  <c r="I190" i="191" s="1"/>
  <c r="L190" i="191" s="1"/>
  <c r="O190" i="191" s="1"/>
  <c r="F191" i="191"/>
  <c r="I191" i="191" s="1"/>
  <c r="L191" i="191" s="1"/>
  <c r="O191" i="191" s="1"/>
  <c r="F192" i="191"/>
  <c r="I192" i="191" s="1"/>
  <c r="L192" i="191" s="1"/>
  <c r="O192" i="191" s="1"/>
  <c r="F193" i="191"/>
  <c r="I193" i="191" s="1"/>
  <c r="L193" i="191" s="1"/>
  <c r="O193" i="191" s="1"/>
  <c r="F194" i="191"/>
  <c r="I194" i="191" s="1"/>
  <c r="L194" i="191" s="1"/>
  <c r="O194" i="191" s="1"/>
  <c r="F195" i="191"/>
  <c r="I195" i="191" s="1"/>
  <c r="L195" i="191" s="1"/>
  <c r="O195" i="191" s="1"/>
  <c r="F196" i="191"/>
  <c r="I196" i="191" s="1"/>
  <c r="L196" i="191" s="1"/>
  <c r="O196" i="191" s="1"/>
  <c r="F197" i="191"/>
  <c r="I197" i="191" s="1"/>
  <c r="L197" i="191" s="1"/>
  <c r="O197" i="191" s="1"/>
  <c r="F198" i="191"/>
  <c r="I198" i="191" s="1"/>
  <c r="L198" i="191" s="1"/>
  <c r="O198" i="191" s="1"/>
  <c r="F199" i="191"/>
  <c r="I199" i="191" s="1"/>
  <c r="L199" i="191" s="1"/>
  <c r="O199" i="191" s="1"/>
  <c r="F200" i="191"/>
  <c r="I200" i="191" s="1"/>
  <c r="L200" i="191" s="1"/>
  <c r="O200" i="191" s="1"/>
  <c r="F201" i="191"/>
  <c r="I201" i="191" s="1"/>
  <c r="L201" i="191" s="1"/>
  <c r="O201" i="191" s="1"/>
  <c r="F202" i="191"/>
  <c r="I202" i="191" s="1"/>
  <c r="L202" i="191" s="1"/>
  <c r="O202" i="191" s="1"/>
  <c r="F203" i="191"/>
  <c r="I203" i="191" s="1"/>
  <c r="L203" i="191" s="1"/>
  <c r="O203" i="191" s="1"/>
  <c r="F204" i="191"/>
  <c r="I204" i="191" s="1"/>
  <c r="L204" i="191" s="1"/>
  <c r="O204" i="191" s="1"/>
  <c r="F205" i="191"/>
  <c r="I205" i="191" s="1"/>
  <c r="L205" i="191" s="1"/>
  <c r="O205" i="191" s="1"/>
  <c r="F206" i="191"/>
  <c r="I206" i="191" s="1"/>
  <c r="L206" i="191" s="1"/>
  <c r="O206" i="191" s="1"/>
  <c r="F207" i="191"/>
  <c r="I207" i="191" s="1"/>
  <c r="L207" i="191" s="1"/>
  <c r="O207" i="191" s="1"/>
  <c r="F208" i="191"/>
  <c r="I208" i="191" s="1"/>
  <c r="L208" i="191" s="1"/>
  <c r="O208" i="191" s="1"/>
  <c r="F209" i="191"/>
  <c r="I209" i="191" s="1"/>
  <c r="L209" i="191" s="1"/>
  <c r="O209" i="191" s="1"/>
  <c r="F210" i="191"/>
  <c r="I210" i="191" s="1"/>
  <c r="L210" i="191" s="1"/>
  <c r="O210" i="191" s="1"/>
  <c r="F211" i="191"/>
  <c r="I211" i="191" s="1"/>
  <c r="L211" i="191" s="1"/>
  <c r="O211" i="191" s="1"/>
  <c r="F212" i="191"/>
  <c r="I212" i="191" s="1"/>
  <c r="L212" i="191" s="1"/>
  <c r="O212" i="191" s="1"/>
  <c r="F213" i="191"/>
  <c r="I213" i="191" s="1"/>
  <c r="L213" i="191" s="1"/>
  <c r="O213" i="191" s="1"/>
  <c r="F214" i="191"/>
  <c r="I214" i="191" s="1"/>
  <c r="L214" i="191" s="1"/>
  <c r="O214" i="191" s="1"/>
  <c r="F215" i="191"/>
  <c r="I215" i="191" s="1"/>
  <c r="L215" i="191" s="1"/>
  <c r="O215" i="191" s="1"/>
  <c r="F216" i="191"/>
  <c r="I216" i="191" s="1"/>
  <c r="L216" i="191" s="1"/>
  <c r="O216" i="191" s="1"/>
  <c r="F217" i="191"/>
  <c r="I217" i="191" s="1"/>
  <c r="L217" i="191" s="1"/>
  <c r="O217" i="191" s="1"/>
  <c r="F218" i="191"/>
  <c r="I218" i="191" s="1"/>
  <c r="L218" i="191" s="1"/>
  <c r="O218" i="191" s="1"/>
  <c r="F219" i="191"/>
  <c r="I219" i="191" s="1"/>
  <c r="L219" i="191" s="1"/>
  <c r="O219" i="191" s="1"/>
  <c r="F220" i="191"/>
  <c r="I220" i="191" s="1"/>
  <c r="L220" i="191" s="1"/>
  <c r="O220" i="191" s="1"/>
  <c r="F221" i="191"/>
  <c r="I221" i="191" s="1"/>
  <c r="L221" i="191" s="1"/>
  <c r="O221" i="191" s="1"/>
  <c r="F222" i="191"/>
  <c r="I222" i="191" s="1"/>
  <c r="L222" i="191" s="1"/>
  <c r="O222" i="191" s="1"/>
  <c r="F223" i="191"/>
  <c r="I223" i="191" s="1"/>
  <c r="L223" i="191" s="1"/>
  <c r="O223" i="191" s="1"/>
  <c r="F224" i="191"/>
  <c r="I224" i="191" s="1"/>
  <c r="L224" i="191" s="1"/>
  <c r="O224" i="191" s="1"/>
  <c r="F225" i="191"/>
  <c r="I225" i="191" s="1"/>
  <c r="L225" i="191" s="1"/>
  <c r="O225" i="191" s="1"/>
  <c r="F226" i="191"/>
  <c r="I226" i="191" s="1"/>
  <c r="L226" i="191" s="1"/>
  <c r="O226" i="191" s="1"/>
  <c r="F227" i="191"/>
  <c r="I227" i="191" s="1"/>
  <c r="L227" i="191" s="1"/>
  <c r="O227" i="191" s="1"/>
  <c r="F228" i="191"/>
  <c r="I228" i="191" s="1"/>
  <c r="L228" i="191" s="1"/>
  <c r="O228" i="191" s="1"/>
  <c r="F229" i="191"/>
  <c r="I229" i="191" s="1"/>
  <c r="L229" i="191" s="1"/>
  <c r="O229" i="191" s="1"/>
  <c r="F230" i="191"/>
  <c r="I230" i="191" s="1"/>
  <c r="L230" i="191" s="1"/>
  <c r="O230" i="191" s="1"/>
  <c r="F231" i="191"/>
  <c r="I231" i="191" s="1"/>
  <c r="L231" i="191" s="1"/>
  <c r="O231" i="191" s="1"/>
  <c r="F232" i="191"/>
  <c r="I232" i="191" s="1"/>
  <c r="L232" i="191" s="1"/>
  <c r="O232" i="191" s="1"/>
  <c r="F233" i="191"/>
  <c r="F234" i="191"/>
  <c r="F235" i="191"/>
  <c r="P109" i="191"/>
  <c r="P113" i="191"/>
  <c r="P117" i="191"/>
  <c r="P121" i="191"/>
  <c r="P125" i="191"/>
  <c r="P137" i="191"/>
  <c r="P205" i="191"/>
  <c r="P221" i="191"/>
  <c r="P193" i="191" l="1"/>
  <c r="P185" i="191"/>
  <c r="P145" i="191"/>
  <c r="P103" i="191"/>
  <c r="P177" i="191"/>
  <c r="P131" i="191"/>
  <c r="P229" i="191"/>
  <c r="P213" i="191"/>
  <c r="P197" i="191"/>
  <c r="P189" i="191"/>
  <c r="P181" i="191"/>
  <c r="P147" i="191"/>
  <c r="P143" i="191"/>
  <c r="P133" i="191"/>
  <c r="P129" i="191"/>
  <c r="P123" i="191"/>
  <c r="P119" i="191"/>
  <c r="P115" i="191"/>
  <c r="P111" i="191"/>
  <c r="P107" i="191"/>
  <c r="P99" i="191"/>
  <c r="P225" i="191"/>
  <c r="P217" i="191"/>
  <c r="P209" i="191"/>
  <c r="P201" i="191"/>
  <c r="P141" i="191"/>
  <c r="P231" i="191"/>
  <c r="P227" i="191"/>
  <c r="P223" i="191"/>
  <c r="P219" i="191"/>
  <c r="P215" i="191"/>
  <c r="P211" i="191"/>
  <c r="P207" i="191"/>
  <c r="P203" i="191"/>
  <c r="P199" i="191"/>
  <c r="P195" i="191"/>
  <c r="P191" i="191"/>
  <c r="P187" i="191"/>
  <c r="P183" i="191"/>
  <c r="P179" i="191"/>
  <c r="P139" i="191"/>
  <c r="P135" i="191"/>
  <c r="P127" i="191"/>
  <c r="P232" i="191"/>
  <c r="P230" i="191"/>
  <c r="P228" i="191"/>
  <c r="P226" i="191"/>
  <c r="P224" i="191"/>
  <c r="P222" i="191"/>
  <c r="P220" i="191"/>
  <c r="P218" i="191"/>
  <c r="P216" i="191"/>
  <c r="P214" i="191"/>
  <c r="P212" i="191"/>
  <c r="P210" i="191"/>
  <c r="P208" i="191"/>
  <c r="P206" i="191"/>
  <c r="P204" i="191"/>
  <c r="P202" i="191"/>
  <c r="P200" i="191"/>
  <c r="P198" i="191"/>
  <c r="P196" i="191"/>
  <c r="P194" i="191"/>
  <c r="P192" i="191"/>
  <c r="P190" i="191"/>
  <c r="P188" i="191"/>
  <c r="P186" i="191"/>
  <c r="P184" i="191"/>
  <c r="P182" i="191"/>
  <c r="P180" i="191"/>
  <c r="P178" i="191"/>
  <c r="P176" i="191"/>
  <c r="P146" i="191"/>
  <c r="P144" i="191"/>
  <c r="P142" i="191"/>
  <c r="P140" i="191"/>
  <c r="P138" i="191"/>
  <c r="P136" i="191"/>
  <c r="P134" i="191"/>
  <c r="P132" i="191"/>
  <c r="O285" i="191"/>
  <c r="P285" i="191"/>
  <c r="O287" i="191"/>
  <c r="P287" i="191"/>
  <c r="O289" i="191"/>
  <c r="P289" i="191"/>
  <c r="O291" i="191"/>
  <c r="P291" i="191"/>
  <c r="O293" i="191"/>
  <c r="P293" i="191"/>
  <c r="O295" i="191"/>
  <c r="P295" i="191"/>
  <c r="O297" i="191"/>
  <c r="P297" i="191"/>
  <c r="O299" i="191"/>
  <c r="P299" i="191"/>
  <c r="O301" i="191"/>
  <c r="P301" i="191"/>
  <c r="P286" i="191"/>
  <c r="O286" i="191"/>
  <c r="P288" i="191"/>
  <c r="O288" i="191"/>
  <c r="P290" i="191"/>
  <c r="O290" i="191"/>
  <c r="P292" i="191"/>
  <c r="O292" i="191"/>
  <c r="P294" i="191"/>
  <c r="O294" i="191"/>
  <c r="P296" i="191"/>
  <c r="O296" i="191"/>
  <c r="P298" i="191"/>
  <c r="O298" i="191"/>
  <c r="P300" i="191"/>
  <c r="O300" i="191"/>
  <c r="P303" i="191"/>
  <c r="P305" i="191"/>
  <c r="P307" i="191"/>
  <c r="P309" i="191"/>
  <c r="P311" i="191"/>
  <c r="P313" i="191"/>
  <c r="P315" i="191"/>
  <c r="P317" i="191"/>
  <c r="P319" i="191"/>
  <c r="P321" i="191"/>
  <c r="P323" i="191"/>
  <c r="P325" i="191"/>
  <c r="P302" i="191"/>
  <c r="P304" i="191"/>
  <c r="P306" i="191"/>
  <c r="P308" i="191"/>
  <c r="P310" i="191"/>
  <c r="P312" i="191"/>
  <c r="P314" i="191"/>
  <c r="P316" i="191"/>
  <c r="P318" i="191"/>
  <c r="P320" i="191"/>
  <c r="P322" i="191"/>
  <c r="P324" i="191"/>
  <c r="P326" i="191"/>
  <c r="P328" i="191"/>
  <c r="P327" i="191"/>
  <c r="P329" i="191"/>
  <c r="P94" i="191"/>
  <c r="O94" i="191"/>
  <c r="O128" i="191"/>
  <c r="P128" i="191"/>
  <c r="O105" i="191"/>
  <c r="P105" i="191"/>
  <c r="O101" i="191"/>
  <c r="P101" i="191"/>
  <c r="O97" i="191"/>
  <c r="P97" i="191"/>
  <c r="P95" i="191"/>
  <c r="O95" i="191"/>
  <c r="P282" i="191"/>
  <c r="P278" i="191"/>
  <c r="P274" i="191"/>
  <c r="P270" i="191"/>
  <c r="P266" i="191"/>
  <c r="P262" i="191"/>
  <c r="P258" i="191"/>
  <c r="P254" i="191"/>
  <c r="P250" i="191"/>
  <c r="P246" i="191"/>
  <c r="P242" i="191"/>
  <c r="P238" i="191"/>
  <c r="O93" i="191"/>
  <c r="P93" i="191"/>
  <c r="O130" i="191"/>
  <c r="P130" i="191"/>
  <c r="O126" i="191"/>
  <c r="P126" i="191"/>
  <c r="O124" i="191"/>
  <c r="P124" i="191"/>
  <c r="O122" i="191"/>
  <c r="P122" i="191"/>
  <c r="O120" i="191"/>
  <c r="P120" i="191"/>
  <c r="O118" i="191"/>
  <c r="P118" i="191"/>
  <c r="O116" i="191"/>
  <c r="P116" i="191"/>
  <c r="O114" i="191"/>
  <c r="P114" i="191"/>
  <c r="O112" i="191"/>
  <c r="P112" i="191"/>
  <c r="O110" i="191"/>
  <c r="P110" i="191"/>
  <c r="O108" i="191"/>
  <c r="P108" i="191"/>
  <c r="P106" i="191"/>
  <c r="O106" i="191"/>
  <c r="P104" i="191"/>
  <c r="O104" i="191"/>
  <c r="P102" i="191"/>
  <c r="O102" i="191"/>
  <c r="P100" i="191"/>
  <c r="O100" i="191"/>
  <c r="P98" i="191"/>
  <c r="O98" i="191"/>
  <c r="P96" i="191"/>
  <c r="O96" i="191"/>
  <c r="P283" i="191"/>
  <c r="P281" i="191"/>
  <c r="P279" i="191"/>
  <c r="P277" i="191"/>
  <c r="P275" i="191"/>
  <c r="P273" i="191"/>
  <c r="P271" i="191"/>
  <c r="P269" i="191"/>
  <c r="P267" i="191"/>
  <c r="P265" i="191"/>
  <c r="P263" i="191"/>
  <c r="P261" i="191"/>
  <c r="P259" i="191"/>
  <c r="P257" i="191"/>
  <c r="P255" i="191"/>
  <c r="P253" i="191"/>
  <c r="P251" i="191"/>
  <c r="P249" i="191"/>
  <c r="P247" i="191"/>
  <c r="P245" i="191"/>
  <c r="P243" i="191"/>
  <c r="P241" i="191"/>
  <c r="P239" i="191"/>
  <c r="P284" i="191"/>
  <c r="P280" i="191"/>
  <c r="P276" i="191"/>
  <c r="P272" i="191"/>
  <c r="P268" i="191"/>
  <c r="P264" i="191"/>
  <c r="P260" i="191"/>
  <c r="P256" i="191"/>
  <c r="P252" i="191"/>
  <c r="P248" i="191"/>
  <c r="P244" i="191"/>
  <c r="P240" i="191"/>
  <c r="F72" i="191"/>
  <c r="I72" i="191" s="1"/>
  <c r="L72" i="191" s="1"/>
  <c r="F73" i="191"/>
  <c r="I73" i="191" s="1"/>
  <c r="L73" i="191" s="1"/>
  <c r="O73" i="191" s="1"/>
  <c r="F74" i="191"/>
  <c r="I74" i="191" s="1"/>
  <c r="L74" i="191" s="1"/>
  <c r="F75" i="191"/>
  <c r="I75" i="191" s="1"/>
  <c r="L75" i="191" s="1"/>
  <c r="F76" i="191"/>
  <c r="I76" i="191" s="1"/>
  <c r="L76" i="191" s="1"/>
  <c r="F77" i="191"/>
  <c r="I77" i="191" s="1"/>
  <c r="L77" i="191" s="1"/>
  <c r="O77" i="191" s="1"/>
  <c r="F78" i="191"/>
  <c r="I78" i="191" s="1"/>
  <c r="L78" i="191" s="1"/>
  <c r="F79" i="191"/>
  <c r="I79" i="191" s="1"/>
  <c r="L79" i="191" s="1"/>
  <c r="F59" i="191"/>
  <c r="I59" i="191" s="1"/>
  <c r="L59" i="191" s="1"/>
  <c r="O59" i="191" s="1"/>
  <c r="F60" i="191"/>
  <c r="I60" i="191" s="1"/>
  <c r="L60" i="191" s="1"/>
  <c r="F61" i="191"/>
  <c r="I61" i="191" s="1"/>
  <c r="L61" i="191" s="1"/>
  <c r="O61" i="191" s="1"/>
  <c r="F62" i="191"/>
  <c r="I62" i="191" s="1"/>
  <c r="L62" i="191" s="1"/>
  <c r="F63" i="191"/>
  <c r="I63" i="191" s="1"/>
  <c r="L63" i="191" s="1"/>
  <c r="F64" i="191"/>
  <c r="F65" i="191"/>
  <c r="I65" i="191" s="1"/>
  <c r="L65" i="191" s="1"/>
  <c r="O65" i="191" s="1"/>
  <c r="F66" i="191"/>
  <c r="I66" i="191" s="1"/>
  <c r="L66" i="191" s="1"/>
  <c r="F67" i="191"/>
  <c r="I67" i="191" s="1"/>
  <c r="L67" i="191" s="1"/>
  <c r="O67" i="191" s="1"/>
  <c r="F68" i="191"/>
  <c r="I68" i="191" s="1"/>
  <c r="L68" i="191" s="1"/>
  <c r="F69" i="191"/>
  <c r="I69" i="191" s="1"/>
  <c r="L69" i="191" s="1"/>
  <c r="O69" i="191" s="1"/>
  <c r="F70" i="191"/>
  <c r="I70" i="191" s="1"/>
  <c r="L70" i="191" s="1"/>
  <c r="F71" i="191"/>
  <c r="I71" i="191" s="1"/>
  <c r="L71" i="191" s="1"/>
  <c r="O71" i="191" s="1"/>
  <c r="F80" i="191"/>
  <c r="I80" i="191" s="1"/>
  <c r="L80" i="191" s="1"/>
  <c r="F81" i="191"/>
  <c r="I81" i="191" s="1"/>
  <c r="L81" i="191" s="1"/>
  <c r="O81" i="191" s="1"/>
  <c r="F82" i="191"/>
  <c r="F83" i="191"/>
  <c r="I83" i="191" s="1"/>
  <c r="L83" i="191" s="1"/>
  <c r="O83" i="191" s="1"/>
  <c r="F84" i="191"/>
  <c r="I84" i="191" s="1"/>
  <c r="L84" i="191" s="1"/>
  <c r="F85" i="191"/>
  <c r="I85" i="191" s="1"/>
  <c r="L85" i="191" s="1"/>
  <c r="O85" i="191" s="1"/>
  <c r="F86" i="191"/>
  <c r="F87" i="191"/>
  <c r="I87" i="191" s="1"/>
  <c r="L87" i="191" s="1"/>
  <c r="O87" i="191" s="1"/>
  <c r="F88" i="191"/>
  <c r="I88" i="191" s="1"/>
  <c r="L88" i="191" s="1"/>
  <c r="F89" i="191"/>
  <c r="I89" i="191" s="1"/>
  <c r="L89" i="191" s="1"/>
  <c r="F90" i="191"/>
  <c r="I90" i="191" s="1"/>
  <c r="L90" i="191" s="1"/>
  <c r="F91" i="191"/>
  <c r="I91" i="191" s="1"/>
  <c r="L91" i="191" s="1"/>
  <c r="O91" i="191" s="1"/>
  <c r="F150" i="191"/>
  <c r="I150" i="191" s="1"/>
  <c r="L150" i="191" s="1"/>
  <c r="F151" i="191"/>
  <c r="I151" i="191" s="1"/>
  <c r="L151" i="191" s="1"/>
  <c r="P151" i="191" s="1"/>
  <c r="F152" i="191"/>
  <c r="I152" i="191" s="1"/>
  <c r="F153" i="191"/>
  <c r="I153" i="191" s="1"/>
  <c r="L153" i="191" s="1"/>
  <c r="P153" i="191" s="1"/>
  <c r="F154" i="191"/>
  <c r="I154" i="191" s="1"/>
  <c r="L154" i="191" s="1"/>
  <c r="F155" i="191"/>
  <c r="I155" i="191" s="1"/>
  <c r="L155" i="191" s="1"/>
  <c r="P155" i="191" s="1"/>
  <c r="F156" i="191"/>
  <c r="I156" i="191" s="1"/>
  <c r="L156" i="191" s="1"/>
  <c r="F157" i="191"/>
  <c r="I157" i="191" s="1"/>
  <c r="L157" i="191" s="1"/>
  <c r="P157" i="191" s="1"/>
  <c r="F158" i="191"/>
  <c r="I158" i="191" s="1"/>
  <c r="L158" i="191" s="1"/>
  <c r="F159" i="191"/>
  <c r="I159" i="191" s="1"/>
  <c r="L159" i="191" s="1"/>
  <c r="P159" i="191" s="1"/>
  <c r="F160" i="191"/>
  <c r="I160" i="191" s="1"/>
  <c r="L160" i="191" s="1"/>
  <c r="F161" i="191"/>
  <c r="I161" i="191" s="1"/>
  <c r="L161" i="191" s="1"/>
  <c r="P161" i="191" s="1"/>
  <c r="F162" i="191"/>
  <c r="I162" i="191" s="1"/>
  <c r="L162" i="191" s="1"/>
  <c r="F163" i="191"/>
  <c r="I163" i="191" s="1"/>
  <c r="L163" i="191" s="1"/>
  <c r="P163" i="191" s="1"/>
  <c r="F164" i="191"/>
  <c r="I164" i="191" s="1"/>
  <c r="L164" i="191" s="1"/>
  <c r="F165" i="191"/>
  <c r="I165" i="191" s="1"/>
  <c r="L165" i="191" s="1"/>
  <c r="P165" i="191" s="1"/>
  <c r="F166" i="191"/>
  <c r="I166" i="191" s="1"/>
  <c r="L166" i="191" s="1"/>
  <c r="F167" i="191"/>
  <c r="I167" i="191" s="1"/>
  <c r="L167" i="191" s="1"/>
  <c r="P167" i="191" s="1"/>
  <c r="F168" i="191"/>
  <c r="I168" i="191" s="1"/>
  <c r="F169" i="191"/>
  <c r="I169" i="191" s="1"/>
  <c r="F170" i="191"/>
  <c r="I170" i="191" s="1"/>
  <c r="L170" i="191" s="1"/>
  <c r="P170" i="191" s="1"/>
  <c r="F171" i="191"/>
  <c r="I171" i="191" s="1"/>
  <c r="L171" i="191" s="1"/>
  <c r="P171" i="191" s="1"/>
  <c r="F172" i="191"/>
  <c r="I172" i="191" s="1"/>
  <c r="L172" i="191" s="1"/>
  <c r="F173" i="191"/>
  <c r="I173" i="191" s="1"/>
  <c r="L173" i="191" s="1"/>
  <c r="P173" i="191" s="1"/>
  <c r="F174" i="191"/>
  <c r="I174" i="191" s="1"/>
  <c r="L174" i="191" s="1"/>
  <c r="F175" i="191"/>
  <c r="I175" i="191" s="1"/>
  <c r="L175" i="191" s="1"/>
  <c r="P175" i="191" s="1"/>
  <c r="F236" i="191"/>
  <c r="I236" i="191" s="1"/>
  <c r="L236" i="191" s="1"/>
  <c r="F237" i="191"/>
  <c r="I237" i="191" s="1"/>
  <c r="L237" i="191" s="1"/>
  <c r="O237" i="191" s="1"/>
  <c r="F334" i="191"/>
  <c r="I334" i="191" s="1"/>
  <c r="L334" i="191" s="1"/>
  <c r="F335" i="191"/>
  <c r="I335" i="191" s="1"/>
  <c r="L335" i="191" s="1"/>
  <c r="F336" i="191"/>
  <c r="F337" i="191"/>
  <c r="I337" i="191" s="1"/>
  <c r="L337" i="191" s="1"/>
  <c r="F338" i="191"/>
  <c r="I338" i="191" s="1"/>
  <c r="L338" i="191" s="1"/>
  <c r="P338" i="191" s="1"/>
  <c r="F339" i="191"/>
  <c r="I339" i="191" s="1"/>
  <c r="L339" i="191" s="1"/>
  <c r="F340" i="191"/>
  <c r="I340" i="191" s="1"/>
  <c r="L340" i="191" s="1"/>
  <c r="P340" i="191" s="1"/>
  <c r="F341" i="191"/>
  <c r="I341" i="191" s="1"/>
  <c r="L341" i="191" s="1"/>
  <c r="F342" i="191"/>
  <c r="I342" i="191" s="1"/>
  <c r="L342" i="191" s="1"/>
  <c r="P342" i="191" s="1"/>
  <c r="F343" i="191"/>
  <c r="I343" i="191" s="1"/>
  <c r="L343" i="191" s="1"/>
  <c r="F344" i="191"/>
  <c r="I344" i="191" s="1"/>
  <c r="L344" i="191" s="1"/>
  <c r="P344" i="191" s="1"/>
  <c r="F345" i="191"/>
  <c r="I345" i="191" s="1"/>
  <c r="L345" i="191" s="1"/>
  <c r="F346" i="191"/>
  <c r="I346" i="191" s="1"/>
  <c r="L346" i="191" s="1"/>
  <c r="P346" i="191" s="1"/>
  <c r="F347" i="191"/>
  <c r="I347" i="191" s="1"/>
  <c r="L347" i="191" s="1"/>
  <c r="F348" i="191"/>
  <c r="I348" i="191" s="1"/>
  <c r="L348" i="191" s="1"/>
  <c r="P348" i="191" s="1"/>
  <c r="F349" i="191"/>
  <c r="I349" i="191" s="1"/>
  <c r="L349" i="191" s="1"/>
  <c r="I64" i="191"/>
  <c r="L64" i="191" s="1"/>
  <c r="I82" i="191"/>
  <c r="L82" i="191" s="1"/>
  <c r="I86" i="191"/>
  <c r="L86" i="191" s="1"/>
  <c r="L149" i="191"/>
  <c r="P149" i="191" s="1"/>
  <c r="L169" i="191"/>
  <c r="P169" i="191" s="1"/>
  <c r="I233" i="191"/>
  <c r="L233" i="191" s="1"/>
  <c r="O233" i="191" s="1"/>
  <c r="I234" i="191"/>
  <c r="L234" i="191" s="1"/>
  <c r="I235" i="191"/>
  <c r="L235" i="191" s="1"/>
  <c r="O235" i="191" s="1"/>
  <c r="I336" i="191"/>
  <c r="L336" i="191" s="1"/>
  <c r="P336" i="191" s="1"/>
  <c r="O89" i="191"/>
  <c r="L152" i="191"/>
  <c r="L168" i="191"/>
  <c r="F53" i="191"/>
  <c r="I53" i="191" s="1"/>
  <c r="L53" i="191" s="1"/>
  <c r="F54" i="191"/>
  <c r="I54" i="191" s="1"/>
  <c r="L54" i="191" s="1"/>
  <c r="F55" i="191"/>
  <c r="I55" i="191" s="1"/>
  <c r="L55" i="191" s="1"/>
  <c r="F56" i="191"/>
  <c r="I56" i="191" s="1"/>
  <c r="L56" i="191" s="1"/>
  <c r="F57" i="191"/>
  <c r="I57" i="191" s="1"/>
  <c r="L57" i="191" s="1"/>
  <c r="F58" i="191"/>
  <c r="I58" i="191" s="1"/>
  <c r="L58" i="191" s="1"/>
  <c r="P236" i="191" l="1"/>
  <c r="O236" i="191"/>
  <c r="P234" i="191"/>
  <c r="O234" i="191"/>
  <c r="O335" i="191"/>
  <c r="P335" i="191"/>
  <c r="O334" i="191"/>
  <c r="P334" i="191"/>
  <c r="O337" i="191"/>
  <c r="P337" i="191"/>
  <c r="O345" i="191"/>
  <c r="P345" i="191"/>
  <c r="P233" i="191"/>
  <c r="O349" i="191"/>
  <c r="P349" i="191"/>
  <c r="O347" i="191"/>
  <c r="P347" i="191"/>
  <c r="O343" i="191"/>
  <c r="P343" i="191"/>
  <c r="O341" i="191"/>
  <c r="P341" i="191"/>
  <c r="O339" i="191"/>
  <c r="P339" i="191"/>
  <c r="P237" i="191"/>
  <c r="P235" i="191"/>
  <c r="O168" i="191"/>
  <c r="P168" i="191"/>
  <c r="O152" i="191"/>
  <c r="P152" i="191"/>
  <c r="O160" i="191"/>
  <c r="P160" i="191"/>
  <c r="O174" i="191"/>
  <c r="P174" i="191"/>
  <c r="O172" i="191"/>
  <c r="P172" i="191"/>
  <c r="O166" i="191"/>
  <c r="P166" i="191"/>
  <c r="O164" i="191"/>
  <c r="P164" i="191"/>
  <c r="O162" i="191"/>
  <c r="P162" i="191"/>
  <c r="O158" i="191"/>
  <c r="P158" i="191"/>
  <c r="O156" i="191"/>
  <c r="P156" i="191"/>
  <c r="O154" i="191"/>
  <c r="P154" i="191"/>
  <c r="O150" i="191"/>
  <c r="P150" i="191"/>
  <c r="O148" i="191"/>
  <c r="P148" i="191"/>
  <c r="O63" i="191"/>
  <c r="P63" i="191"/>
  <c r="O170" i="191"/>
  <c r="P91" i="191"/>
  <c r="P71" i="191"/>
  <c r="P89" i="191"/>
  <c r="P87" i="191"/>
  <c r="P83" i="191"/>
  <c r="P67" i="191"/>
  <c r="P59" i="191"/>
  <c r="O53" i="191"/>
  <c r="P53" i="191"/>
  <c r="O57" i="191"/>
  <c r="P57" i="191"/>
  <c r="O55" i="191"/>
  <c r="P55" i="191"/>
  <c r="O79" i="191"/>
  <c r="P79" i="191"/>
  <c r="O75" i="191"/>
  <c r="P75" i="191"/>
  <c r="P85" i="191"/>
  <c r="P81" i="191"/>
  <c r="P77" i="191"/>
  <c r="P73" i="191"/>
  <c r="P69" i="191"/>
  <c r="P65" i="191"/>
  <c r="P61" i="191"/>
  <c r="O348" i="191"/>
  <c r="O346" i="191"/>
  <c r="O344" i="191"/>
  <c r="O342" i="191"/>
  <c r="O340" i="191"/>
  <c r="O338" i="191"/>
  <c r="O336" i="191"/>
  <c r="O175" i="191"/>
  <c r="O173" i="191"/>
  <c r="O171" i="191"/>
  <c r="O169" i="191"/>
  <c r="O167" i="191"/>
  <c r="O165" i="191"/>
  <c r="O163" i="191"/>
  <c r="O161" i="191"/>
  <c r="O159" i="191"/>
  <c r="O157" i="191"/>
  <c r="O155" i="191"/>
  <c r="O153" i="191"/>
  <c r="O151" i="191"/>
  <c r="O149" i="191"/>
  <c r="P92" i="191"/>
  <c r="P90" i="191"/>
  <c r="O90" i="191"/>
  <c r="P88" i="191"/>
  <c r="O88" i="191"/>
  <c r="P86" i="191"/>
  <c r="O86" i="191"/>
  <c r="P84" i="191"/>
  <c r="O84" i="191"/>
  <c r="P82" i="191"/>
  <c r="O82" i="191"/>
  <c r="P80" i="191"/>
  <c r="O80" i="191"/>
  <c r="P78" i="191"/>
  <c r="O78" i="191"/>
  <c r="P76" i="191"/>
  <c r="O76" i="191"/>
  <c r="P74" i="191"/>
  <c r="O74" i="191"/>
  <c r="P72" i="191"/>
  <c r="O72" i="191"/>
  <c r="P70" i="191"/>
  <c r="O70" i="191"/>
  <c r="P68" i="191"/>
  <c r="O68" i="191"/>
  <c r="P66" i="191"/>
  <c r="O66" i="191"/>
  <c r="P64" i="191"/>
  <c r="O64" i="191"/>
  <c r="P62" i="191"/>
  <c r="O62" i="191"/>
  <c r="P60" i="191"/>
  <c r="O60" i="191"/>
  <c r="P58" i="191"/>
  <c r="O58" i="191"/>
  <c r="P56" i="191"/>
  <c r="O56" i="191"/>
  <c r="P54" i="191"/>
  <c r="O54" i="191"/>
  <c r="F111" i="203" l="1"/>
  <c r="G111" i="203"/>
  <c r="E111" i="203"/>
  <c r="J58" i="60" l="1"/>
  <c r="K137" i="60" l="1"/>
  <c r="I59" i="60" l="1"/>
  <c r="H59" i="60"/>
  <c r="I10" i="60" l="1"/>
  <c r="I137" i="60"/>
  <c r="K31" i="60" l="1"/>
  <c r="K58" i="60"/>
  <c r="K159" i="60" l="1"/>
  <c r="I58" i="60" l="1"/>
  <c r="G72" i="198" l="1"/>
  <c r="F72" i="198"/>
  <c r="E72" i="198"/>
  <c r="E111" i="217"/>
  <c r="G72" i="205"/>
  <c r="F72" i="205"/>
  <c r="E72" i="205"/>
  <c r="A53" i="201"/>
  <c r="A54" i="201"/>
  <c r="A55" i="201"/>
  <c r="A56" i="201"/>
  <c r="A57" i="201"/>
  <c r="A58" i="201"/>
  <c r="A59" i="201"/>
  <c r="A60" i="201"/>
  <c r="A61" i="201"/>
  <c r="A62" i="201"/>
  <c r="D63" i="241" l="1"/>
  <c r="B63" i="241"/>
  <c r="D72" i="241"/>
  <c r="B72" i="241"/>
  <c r="B179" i="241"/>
  <c r="D175" i="241"/>
  <c r="B175" i="241"/>
  <c r="B172" i="241"/>
  <c r="D56" i="241"/>
  <c r="D54" i="241"/>
  <c r="D59" i="241"/>
  <c r="D60" i="241"/>
  <c r="D53" i="241"/>
  <c r="D40" i="241"/>
  <c r="B57" i="241"/>
  <c r="B53" i="241"/>
  <c r="B52" i="241"/>
  <c r="B50" i="241"/>
  <c r="B43" i="241"/>
  <c r="B42" i="241"/>
  <c r="B41" i="241"/>
  <c r="B39" i="241"/>
  <c r="B38" i="241"/>
  <c r="B35" i="241"/>
  <c r="B34" i="241"/>
  <c r="B33" i="241"/>
  <c r="B32" i="241"/>
  <c r="B28" i="241"/>
  <c r="B26" i="241"/>
  <c r="B25" i="241"/>
  <c r="B24" i="241"/>
  <c r="B23" i="241"/>
  <c r="B22" i="241"/>
  <c r="B21" i="241"/>
  <c r="B20" i="241"/>
  <c r="B19" i="241"/>
  <c r="B16" i="241"/>
  <c r="B14" i="241"/>
  <c r="B13" i="241"/>
  <c r="B12" i="241"/>
  <c r="B10" i="241"/>
  <c r="B9" i="241"/>
  <c r="B8" i="241"/>
  <c r="B7" i="241"/>
  <c r="B6" i="241"/>
  <c r="B5" i="241"/>
  <c r="E56" i="232" l="1"/>
  <c r="E135" i="232"/>
  <c r="O159" i="60" l="1"/>
  <c r="M98" i="60" l="1"/>
  <c r="Y7" i="234" l="1"/>
  <c r="Z7" i="234"/>
  <c r="AA7" i="234"/>
  <c r="AB7" i="234"/>
  <c r="AC7" i="234"/>
  <c r="AD7" i="234"/>
  <c r="AE7" i="234"/>
  <c r="AF7" i="234"/>
  <c r="P7" i="234"/>
  <c r="Q7" i="234"/>
  <c r="R7" i="234"/>
  <c r="S7" i="234"/>
  <c r="T7" i="234"/>
  <c r="U7" i="234"/>
  <c r="V7" i="234"/>
  <c r="W7" i="234"/>
  <c r="C17" i="45" l="1"/>
  <c r="C11" i="45" s="1"/>
  <c r="E154" i="45"/>
  <c r="D154" i="45"/>
  <c r="C154" i="45"/>
  <c r="E9" i="45"/>
  <c r="D9" i="45"/>
  <c r="C9" i="45"/>
  <c r="E8" i="45"/>
  <c r="D8" i="45"/>
  <c r="C8" i="45"/>
  <c r="E17" i="45"/>
  <c r="E11" i="45" s="1"/>
  <c r="D17" i="45"/>
  <c r="D16" i="45" s="1"/>
  <c r="E16" i="45"/>
  <c r="D11" i="45" l="1"/>
  <c r="D10" i="45" s="1"/>
  <c r="E10" i="45"/>
  <c r="C16" i="45"/>
  <c r="C10" i="45"/>
  <c r="E341" i="45"/>
  <c r="D341" i="45"/>
  <c r="C341" i="45"/>
  <c r="F98" i="98"/>
  <c r="AG95" i="192"/>
  <c r="AF95" i="192"/>
  <c r="AE95" i="192"/>
  <c r="AD95" i="192"/>
  <c r="AC95" i="192"/>
  <c r="AB95" i="192"/>
  <c r="AA95" i="192"/>
  <c r="Z95" i="192"/>
  <c r="Y95" i="192"/>
  <c r="X95" i="192"/>
  <c r="O95" i="192"/>
  <c r="F91" i="98" l="1"/>
  <c r="J98" i="60" l="1"/>
  <c r="N98" i="60"/>
  <c r="I98" i="60"/>
  <c r="E89" i="98" l="1"/>
  <c r="E435" i="45"/>
  <c r="D435" i="45"/>
  <c r="E41" i="98" l="1"/>
  <c r="I159" i="60" l="1"/>
  <c r="I131" i="60"/>
  <c r="J131" i="60"/>
  <c r="O58" i="60" l="1"/>
  <c r="J53" i="60" l="1"/>
  <c r="I54" i="60"/>
  <c r="I53" i="60"/>
  <c r="O131" i="60" l="1"/>
  <c r="E99" i="98"/>
  <c r="E98" i="98"/>
  <c r="J120" i="60" l="1"/>
  <c r="I120" i="60"/>
  <c r="J54" i="60" l="1"/>
  <c r="I31" i="60" l="1"/>
  <c r="A79" i="98" l="1"/>
  <c r="L13" i="60" l="1"/>
  <c r="I13" i="60"/>
  <c r="C365" i="45" l="1"/>
  <c r="E18" i="211"/>
  <c r="C35" i="45"/>
  <c r="E195" i="45"/>
  <c r="D195" i="45"/>
  <c r="C195" i="45"/>
  <c r="C196" i="45" s="1"/>
  <c r="E275" i="45"/>
  <c r="E273" i="45"/>
  <c r="D275" i="45"/>
  <c r="D273" i="45"/>
  <c r="C273" i="45"/>
  <c r="E272" i="45"/>
  <c r="D272" i="45"/>
  <c r="D274" i="45" s="1"/>
  <c r="C272" i="45"/>
  <c r="C274" i="45" s="1"/>
  <c r="E196" i="45"/>
  <c r="D196" i="45"/>
  <c r="E274" i="45" l="1"/>
  <c r="F17" i="45"/>
  <c r="C435" i="45" l="1"/>
  <c r="E363" i="45"/>
  <c r="D363" i="45"/>
  <c r="C363" i="45"/>
  <c r="F93" i="98" l="1"/>
  <c r="F55" i="98"/>
  <c r="F89" i="98" l="1"/>
  <c r="D297" i="45" l="1"/>
  <c r="E297" i="45"/>
  <c r="F42" i="98" l="1"/>
  <c r="E42" i="98"/>
  <c r="F10" i="98"/>
  <c r="F22" i="98"/>
  <c r="F29" i="98"/>
  <c r="E87" i="98"/>
  <c r="E84" i="98"/>
  <c r="E72" i="98"/>
  <c r="E55" i="98"/>
  <c r="D135" i="232" l="1"/>
  <c r="D100" i="232"/>
  <c r="D96" i="232"/>
  <c r="D90" i="232"/>
  <c r="D56" i="232"/>
  <c r="D51" i="232"/>
  <c r="D185" i="45"/>
  <c r="E185" i="45"/>
  <c r="C185" i="45"/>
  <c r="G37" i="214"/>
  <c r="F29" i="205"/>
  <c r="D98" i="98" l="1"/>
  <c r="D91" i="98"/>
  <c r="D87" i="98"/>
  <c r="D80" i="98"/>
  <c r="D74" i="98"/>
  <c r="D72" i="98"/>
  <c r="D55" i="98"/>
  <c r="D54" i="98"/>
  <c r="D48" i="98"/>
  <c r="D46" i="98"/>
  <c r="F159" i="60"/>
  <c r="E159" i="60"/>
  <c r="E137" i="60"/>
  <c r="G131" i="60"/>
  <c r="E131" i="60"/>
  <c r="F124" i="60"/>
  <c r="E124" i="60"/>
  <c r="E120" i="60"/>
  <c r="E107" i="60"/>
  <c r="F98" i="60"/>
  <c r="E98" i="60"/>
  <c r="E92" i="60"/>
  <c r="F71" i="60"/>
  <c r="E71" i="60"/>
  <c r="G58" i="60"/>
  <c r="F58" i="60"/>
  <c r="E58" i="60"/>
  <c r="G54" i="60"/>
  <c r="F54" i="60"/>
  <c r="E54" i="60"/>
  <c r="G53" i="60"/>
  <c r="E53" i="60"/>
  <c r="E43" i="60"/>
  <c r="G31" i="60"/>
  <c r="E31" i="60"/>
  <c r="E21" i="60"/>
  <c r="G13" i="60"/>
  <c r="E13" i="60"/>
  <c r="E10" i="60"/>
  <c r="AG115" i="192"/>
  <c r="X115" i="192"/>
  <c r="O115" i="192"/>
  <c r="M92" i="60" l="1"/>
  <c r="M102" i="60"/>
  <c r="F34" i="191" l="1"/>
  <c r="O112" i="212" l="1"/>
  <c r="N112" i="212"/>
  <c r="M112" i="212"/>
  <c r="G72" i="220"/>
  <c r="F72" i="220"/>
  <c r="E72" i="220"/>
  <c r="G72" i="219"/>
  <c r="F72" i="219"/>
  <c r="E72" i="219"/>
  <c r="G72" i="218"/>
  <c r="F72" i="218"/>
  <c r="E72" i="218"/>
  <c r="F111" i="217"/>
  <c r="G111" i="217"/>
  <c r="G111" i="212"/>
  <c r="E111" i="212"/>
  <c r="F228" i="204"/>
  <c r="G228" i="204"/>
  <c r="E228" i="204"/>
  <c r="F189" i="204"/>
  <c r="G189" i="204"/>
  <c r="E189" i="204"/>
  <c r="D374" i="45" l="1"/>
  <c r="E374" i="45"/>
  <c r="C374" i="45"/>
  <c r="AG78" i="192"/>
  <c r="X78" i="192"/>
  <c r="O78" i="192"/>
  <c r="N54" i="60"/>
  <c r="N58" i="60"/>
  <c r="N92" i="60"/>
  <c r="E56" i="60"/>
  <c r="F56" i="60"/>
  <c r="G56" i="60"/>
  <c r="N394" i="191" l="1"/>
  <c r="K394" i="191"/>
  <c r="E394" i="191"/>
  <c r="A3" i="241" l="1"/>
  <c r="A4" i="241"/>
  <c r="B4" i="241"/>
  <c r="H394" i="191" l="1"/>
  <c r="F50" i="191" l="1"/>
  <c r="I50" i="191" s="1"/>
  <c r="L50" i="191" s="1"/>
  <c r="F51" i="191"/>
  <c r="I51" i="191" s="1"/>
  <c r="L51" i="191" s="1"/>
  <c r="F52" i="191"/>
  <c r="I52" i="191" s="1"/>
  <c r="L52" i="191" s="1"/>
  <c r="F29" i="191"/>
  <c r="I29" i="191" s="1"/>
  <c r="L29" i="191" s="1"/>
  <c r="F30" i="191"/>
  <c r="I30" i="191" s="1"/>
  <c r="L30" i="191" s="1"/>
  <c r="F31" i="191"/>
  <c r="I31" i="191" s="1"/>
  <c r="L31" i="191" s="1"/>
  <c r="F35" i="191"/>
  <c r="I35" i="191" s="1"/>
  <c r="L35" i="191" s="1"/>
  <c r="F36" i="191"/>
  <c r="I36" i="191" s="1"/>
  <c r="L36" i="191" s="1"/>
  <c r="F37" i="191"/>
  <c r="I37" i="191" s="1"/>
  <c r="L37" i="191" s="1"/>
  <c r="F38" i="191"/>
  <c r="I38" i="191" s="1"/>
  <c r="L38" i="191" s="1"/>
  <c r="F39" i="191"/>
  <c r="I39" i="191" s="1"/>
  <c r="L39" i="191" s="1"/>
  <c r="F40" i="191"/>
  <c r="I40" i="191" s="1"/>
  <c r="L40" i="191" s="1"/>
  <c r="F42" i="191"/>
  <c r="I42" i="191" s="1"/>
  <c r="L42" i="191" s="1"/>
  <c r="F43" i="191"/>
  <c r="I43" i="191" s="1"/>
  <c r="L43" i="191" s="1"/>
  <c r="F44" i="191"/>
  <c r="I44" i="191" s="1"/>
  <c r="L44" i="191" s="1"/>
  <c r="F45" i="191"/>
  <c r="I45" i="191" s="1"/>
  <c r="L45" i="191" s="1"/>
  <c r="F46" i="191"/>
  <c r="I46" i="191" s="1"/>
  <c r="L46" i="191" s="1"/>
  <c r="F47" i="191"/>
  <c r="I47" i="191" s="1"/>
  <c r="L47" i="191" s="1"/>
  <c r="F48" i="191"/>
  <c r="I48" i="191" s="1"/>
  <c r="L48" i="191" s="1"/>
  <c r="F49" i="191"/>
  <c r="I49" i="191" s="1"/>
  <c r="L49" i="191" s="1"/>
  <c r="O49" i="191" l="1"/>
  <c r="P49" i="191"/>
  <c r="O47" i="191"/>
  <c r="P47" i="191"/>
  <c r="O45" i="191"/>
  <c r="P45" i="191"/>
  <c r="O43" i="191"/>
  <c r="P43" i="191"/>
  <c r="O40" i="191"/>
  <c r="P40" i="191"/>
  <c r="O38" i="191"/>
  <c r="P38" i="191"/>
  <c r="O36" i="191"/>
  <c r="P36" i="191"/>
  <c r="O31" i="191"/>
  <c r="P31" i="191"/>
  <c r="O29" i="191"/>
  <c r="P29" i="191"/>
  <c r="O52" i="191"/>
  <c r="P52" i="191"/>
  <c r="O50" i="191"/>
  <c r="P50" i="191"/>
  <c r="O48" i="191"/>
  <c r="P48" i="191"/>
  <c r="O46" i="191"/>
  <c r="P46" i="191"/>
  <c r="O44" i="191"/>
  <c r="P44" i="191"/>
  <c r="O42" i="191"/>
  <c r="P42" i="191"/>
  <c r="O39" i="191"/>
  <c r="P39" i="191"/>
  <c r="O37" i="191"/>
  <c r="P37" i="191"/>
  <c r="O35" i="191"/>
  <c r="P35" i="191"/>
  <c r="O30" i="191"/>
  <c r="P30" i="191"/>
  <c r="O51" i="191"/>
  <c r="P51" i="191"/>
  <c r="F41" i="191"/>
  <c r="I41" i="191" s="1"/>
  <c r="L41" i="191" s="1"/>
  <c r="I34" i="191"/>
  <c r="L34" i="191" s="1"/>
  <c r="F33" i="191"/>
  <c r="I33" i="191" s="1"/>
  <c r="L33" i="191" s="1"/>
  <c r="F32" i="191"/>
  <c r="I32" i="191" s="1"/>
  <c r="L32" i="191" s="1"/>
  <c r="O33" i="191" l="1"/>
  <c r="P33" i="191"/>
  <c r="O32" i="191"/>
  <c r="P32" i="191"/>
  <c r="O34" i="191"/>
  <c r="P34" i="191"/>
  <c r="O41" i="191"/>
  <c r="P41" i="191"/>
  <c r="G72" i="222" l="1"/>
  <c r="F72" i="222"/>
  <c r="E72" i="222"/>
  <c r="E413" i="45"/>
  <c r="E407" i="45" s="1"/>
  <c r="D413" i="45"/>
  <c r="D407" i="45" s="1"/>
  <c r="C461" i="45"/>
  <c r="G457" i="45" s="1"/>
  <c r="C413" i="45"/>
  <c r="C407" i="45"/>
  <c r="G403" i="45" s="1"/>
  <c r="B408" i="161"/>
  <c r="B407" i="161"/>
  <c r="B406" i="161"/>
  <c r="B405" i="161"/>
  <c r="B404" i="161"/>
  <c r="B403" i="161"/>
  <c r="B402" i="161"/>
  <c r="B401" i="161"/>
  <c r="B400" i="161"/>
  <c r="B399" i="161"/>
  <c r="B398" i="161"/>
  <c r="B397" i="161"/>
  <c r="B396" i="161"/>
  <c r="B395" i="161"/>
  <c r="B394" i="161"/>
  <c r="B393" i="161"/>
  <c r="B392" i="161"/>
  <c r="B391" i="161"/>
  <c r="B390" i="161"/>
  <c r="B389" i="161"/>
  <c r="B388" i="161"/>
  <c r="B383" i="161"/>
  <c r="B382" i="161"/>
  <c r="B381" i="161"/>
  <c r="B380" i="161"/>
  <c r="C379" i="161"/>
  <c r="C378" i="161"/>
  <c r="B370" i="161"/>
  <c r="B369" i="161"/>
  <c r="B379" i="161" s="1"/>
  <c r="B368" i="161"/>
  <c r="B367" i="161"/>
  <c r="B378" i="161" s="1"/>
  <c r="B366" i="161"/>
  <c r="B377" i="161" s="1"/>
  <c r="B365" i="161"/>
  <c r="B376" i="161" s="1"/>
  <c r="B364" i="161"/>
  <c r="B375" i="161" s="1"/>
  <c r="B363" i="161"/>
  <c r="B374" i="161" s="1"/>
  <c r="B362" i="161"/>
  <c r="B373" i="161" s="1"/>
  <c r="B361" i="161"/>
  <c r="B372" i="161" s="1"/>
  <c r="B360" i="161"/>
  <c r="B371" i="161" s="1"/>
  <c r="B31" i="233"/>
  <c r="A1" i="233"/>
  <c r="A80" i="239"/>
  <c r="E79" i="239"/>
  <c r="D79" i="239"/>
  <c r="C79" i="239"/>
  <c r="E77" i="239"/>
  <c r="D77" i="239"/>
  <c r="C77" i="239"/>
  <c r="E75" i="239"/>
  <c r="D75" i="239"/>
  <c r="C75" i="239"/>
  <c r="E74" i="239"/>
  <c r="D74" i="239"/>
  <c r="C74" i="239"/>
  <c r="E72" i="239"/>
  <c r="D72" i="239"/>
  <c r="C72" i="239"/>
  <c r="E70" i="239"/>
  <c r="D70" i="239"/>
  <c r="C70" i="239"/>
  <c r="E68" i="239"/>
  <c r="D68" i="239"/>
  <c r="C68" i="239"/>
  <c r="E67" i="239"/>
  <c r="D67" i="239"/>
  <c r="C67" i="239"/>
  <c r="E66" i="239"/>
  <c r="D66" i="239"/>
  <c r="C66" i="239"/>
  <c r="E64" i="239"/>
  <c r="D64" i="239"/>
  <c r="C64" i="239"/>
  <c r="E62" i="239"/>
  <c r="D62" i="239"/>
  <c r="C62" i="239"/>
  <c r="E61" i="239"/>
  <c r="D61" i="239"/>
  <c r="C61" i="239"/>
  <c r="E60" i="239"/>
  <c r="D60" i="239"/>
  <c r="C60" i="239"/>
  <c r="E58" i="239"/>
  <c r="D58" i="239"/>
  <c r="C58" i="239"/>
  <c r="E57" i="239"/>
  <c r="D57" i="239"/>
  <c r="C57" i="239"/>
  <c r="E55" i="239"/>
  <c r="D55" i="239"/>
  <c r="C55" i="239"/>
  <c r="E53" i="239"/>
  <c r="D53" i="239"/>
  <c r="C53" i="239"/>
  <c r="E51" i="239"/>
  <c r="D51" i="239"/>
  <c r="C51" i="239"/>
  <c r="E49" i="239"/>
  <c r="D49" i="239"/>
  <c r="C49" i="239"/>
  <c r="E48" i="239"/>
  <c r="D48" i="239"/>
  <c r="C48" i="239"/>
  <c r="E46" i="239"/>
  <c r="D46" i="239"/>
  <c r="C46" i="239"/>
  <c r="E45" i="239"/>
  <c r="D45" i="239"/>
  <c r="C45" i="239"/>
  <c r="E43" i="239"/>
  <c r="D43" i="239"/>
  <c r="C43" i="239"/>
  <c r="E42" i="239"/>
  <c r="D42" i="239"/>
  <c r="C42" i="239"/>
  <c r="E40" i="239"/>
  <c r="D40" i="239"/>
  <c r="C40" i="239"/>
  <c r="E38" i="239"/>
  <c r="D38" i="239"/>
  <c r="C38" i="239"/>
  <c r="E36" i="239"/>
  <c r="D36" i="239"/>
  <c r="C36" i="239"/>
  <c r="E34" i="239"/>
  <c r="D34" i="239"/>
  <c r="C34" i="239"/>
  <c r="E33" i="239"/>
  <c r="D33" i="239"/>
  <c r="C33" i="239"/>
  <c r="E31" i="239"/>
  <c r="D31" i="239"/>
  <c r="C31" i="239"/>
  <c r="E30" i="239"/>
  <c r="D30" i="239"/>
  <c r="C30" i="239"/>
  <c r="E29" i="239"/>
  <c r="D29" i="239"/>
  <c r="C29" i="239"/>
  <c r="E27" i="239"/>
  <c r="D27" i="239"/>
  <c r="C27" i="239"/>
  <c r="E26" i="239"/>
  <c r="D26" i="239"/>
  <c r="C26" i="239"/>
  <c r="E25" i="239"/>
  <c r="D25" i="239"/>
  <c r="C25" i="239"/>
  <c r="H24" i="239"/>
  <c r="G24" i="239"/>
  <c r="E24" i="239"/>
  <c r="D24" i="239"/>
  <c r="C24" i="239"/>
  <c r="E22" i="239"/>
  <c r="D22" i="239"/>
  <c r="C22" i="239"/>
  <c r="E21" i="239"/>
  <c r="D21" i="239"/>
  <c r="C21" i="239"/>
  <c r="E20" i="239"/>
  <c r="D20" i="239"/>
  <c r="C20" i="239"/>
  <c r="E19" i="239"/>
  <c r="D19" i="239"/>
  <c r="C19" i="239"/>
  <c r="E17" i="239"/>
  <c r="D17" i="239"/>
  <c r="C17" i="239"/>
  <c r="E15" i="239"/>
  <c r="D15" i="239"/>
  <c r="C15" i="239"/>
  <c r="E13" i="239"/>
  <c r="D13" i="239"/>
  <c r="C13" i="239"/>
  <c r="E11" i="239"/>
  <c r="D11" i="239"/>
  <c r="C11" i="239"/>
  <c r="E10" i="239"/>
  <c r="D10" i="239"/>
  <c r="C10" i="239"/>
  <c r="E9" i="239"/>
  <c r="D9" i="239"/>
  <c r="C9" i="239"/>
  <c r="E7" i="239"/>
  <c r="D7" i="239"/>
  <c r="C7" i="239"/>
  <c r="E6" i="239"/>
  <c r="D6" i="239"/>
  <c r="C6" i="239"/>
  <c r="E5" i="239"/>
  <c r="D5" i="239"/>
  <c r="C5" i="239"/>
  <c r="A1" i="239"/>
  <c r="AG94" i="192"/>
  <c r="AG92" i="192" s="1"/>
  <c r="I83" i="2" s="1"/>
  <c r="X94" i="192"/>
  <c r="X92" i="192" s="1"/>
  <c r="H83" i="2" s="1"/>
  <c r="B32" i="135"/>
  <c r="B29" i="135"/>
  <c r="I27" i="135"/>
  <c r="B26" i="135"/>
  <c r="I24" i="135"/>
  <c r="B23" i="135"/>
  <c r="B21" i="135"/>
  <c r="B20" i="135"/>
  <c r="I18" i="135"/>
  <c r="B18" i="135"/>
  <c r="B17" i="135"/>
  <c r="B15" i="135"/>
  <c r="B14" i="135"/>
  <c r="B12" i="135"/>
  <c r="B11" i="135"/>
  <c r="B9" i="135"/>
  <c r="B8" i="135"/>
  <c r="B6" i="135"/>
  <c r="B5" i="135"/>
  <c r="E3" i="135"/>
  <c r="A1" i="135"/>
  <c r="A12" i="131"/>
  <c r="A11" i="131"/>
  <c r="A7" i="131"/>
  <c r="A6" i="131"/>
  <c r="A5" i="131"/>
  <c r="A4" i="131"/>
  <c r="D3" i="131"/>
  <c r="A1" i="131"/>
  <c r="A1" i="188"/>
  <c r="A32" i="229"/>
  <c r="A1" i="229"/>
  <c r="E405" i="45"/>
  <c r="E404" i="45"/>
  <c r="D405" i="45"/>
  <c r="N403" i="45" s="1"/>
  <c r="D404" i="45"/>
  <c r="C404" i="45"/>
  <c r="J403" i="45" s="1"/>
  <c r="C405" i="45"/>
  <c r="C458" i="45"/>
  <c r="J457" i="45" s="1"/>
  <c r="A63" i="228"/>
  <c r="A62" i="228"/>
  <c r="A61" i="228"/>
  <c r="O403" i="45"/>
  <c r="M403" i="45"/>
  <c r="A60" i="228"/>
  <c r="A59" i="228"/>
  <c r="A58" i="228"/>
  <c r="L403" i="45"/>
  <c r="K403" i="45"/>
  <c r="A57" i="228"/>
  <c r="A56" i="228"/>
  <c r="A55" i="228"/>
  <c r="A54" i="228"/>
  <c r="A53" i="228"/>
  <c r="A52" i="228"/>
  <c r="A50" i="228"/>
  <c r="I43" i="228"/>
  <c r="J40" i="228"/>
  <c r="I38" i="228"/>
  <c r="J37" i="228"/>
  <c r="J41" i="228" s="1"/>
  <c r="I37" i="228"/>
  <c r="G34" i="228"/>
  <c r="F34" i="228"/>
  <c r="E34" i="228"/>
  <c r="A34" i="228"/>
  <c r="A46" i="228" s="1"/>
  <c r="O33" i="228"/>
  <c r="O32" i="228"/>
  <c r="I32" i="228"/>
  <c r="I34" i="228" s="1"/>
  <c r="B32" i="228"/>
  <c r="B78" i="228" s="1"/>
  <c r="A32" i="228"/>
  <c r="A78" i="228" s="1"/>
  <c r="B14" i="229" s="1"/>
  <c r="B31" i="228"/>
  <c r="B77" i="228" s="1"/>
  <c r="A31" i="228"/>
  <c r="A77" i="228" s="1"/>
  <c r="B13" i="229" s="1"/>
  <c r="B30" i="228"/>
  <c r="B43" i="228" s="1"/>
  <c r="A30" i="228"/>
  <c r="A76" i="228" s="1"/>
  <c r="B12" i="229" s="1"/>
  <c r="B29" i="228"/>
  <c r="B42" i="228" s="1"/>
  <c r="A29" i="228"/>
  <c r="A75" i="228" s="1"/>
  <c r="B11" i="229" s="1"/>
  <c r="I28" i="228"/>
  <c r="B28" i="228"/>
  <c r="B74" i="228" s="1"/>
  <c r="A28" i="228"/>
  <c r="A74" i="228" s="1"/>
  <c r="B10" i="229" s="1"/>
  <c r="B27" i="228"/>
  <c r="B73" i="228" s="1"/>
  <c r="A27" i="228"/>
  <c r="A73" i="228" s="1"/>
  <c r="B9" i="229" s="1"/>
  <c r="I26" i="228"/>
  <c r="B26" i="228"/>
  <c r="B72" i="228" s="1"/>
  <c r="A26" i="228"/>
  <c r="A72" i="228" s="1"/>
  <c r="B8" i="229" s="1"/>
  <c r="I25" i="228"/>
  <c r="B25" i="228"/>
  <c r="B71" i="228" s="1"/>
  <c r="A25" i="228"/>
  <c r="A71" i="228" s="1"/>
  <c r="B7" i="229" s="1"/>
  <c r="I24" i="228"/>
  <c r="B24" i="228"/>
  <c r="B70" i="228" s="1"/>
  <c r="A24" i="228"/>
  <c r="A70" i="228" s="1"/>
  <c r="B6" i="229" s="1"/>
  <c r="I23" i="228"/>
  <c r="B23" i="228"/>
  <c r="B69" i="228" s="1"/>
  <c r="A23" i="228"/>
  <c r="A69" i="228" s="1"/>
  <c r="B5" i="229" s="1"/>
  <c r="I22" i="228"/>
  <c r="B22" i="228"/>
  <c r="B68" i="228" s="1"/>
  <c r="A22" i="228"/>
  <c r="A68" i="228" s="1"/>
  <c r="B4" i="229" s="1"/>
  <c r="I21" i="228"/>
  <c r="G21" i="228"/>
  <c r="F21" i="228"/>
  <c r="E21" i="228"/>
  <c r="A21" i="228"/>
  <c r="A33" i="228" s="1"/>
  <c r="G20" i="228"/>
  <c r="F20" i="228"/>
  <c r="E20" i="228"/>
  <c r="I19" i="228"/>
  <c r="I18" i="228"/>
  <c r="D16" i="228"/>
  <c r="D67" i="228" s="1"/>
  <c r="I15" i="228"/>
  <c r="A15" i="228"/>
  <c r="A20" i="228" s="1"/>
  <c r="A66" i="228" s="1"/>
  <c r="A13" i="228"/>
  <c r="A1" i="228"/>
  <c r="A1" i="164"/>
  <c r="E374" i="122"/>
  <c r="D374" i="122"/>
  <c r="C374" i="122"/>
  <c r="B374" i="122"/>
  <c r="A374" i="122"/>
  <c r="E373" i="122"/>
  <c r="D373" i="122"/>
  <c r="C373" i="122"/>
  <c r="B373" i="122"/>
  <c r="A373" i="122"/>
  <c r="E372" i="122"/>
  <c r="D372" i="122"/>
  <c r="C372" i="122"/>
  <c r="B372" i="122"/>
  <c r="A372" i="122"/>
  <c r="E371" i="122"/>
  <c r="D371" i="122"/>
  <c r="C371" i="122"/>
  <c r="B371" i="122"/>
  <c r="A371" i="122"/>
  <c r="E370" i="122"/>
  <c r="D370" i="122"/>
  <c r="C370" i="122"/>
  <c r="B370" i="122"/>
  <c r="A370" i="122"/>
  <c r="E369" i="122"/>
  <c r="D369" i="122"/>
  <c r="C369" i="122"/>
  <c r="B369" i="122"/>
  <c r="A369" i="122"/>
  <c r="E368" i="122"/>
  <c r="D368" i="122"/>
  <c r="C368" i="122"/>
  <c r="B368" i="122"/>
  <c r="A368" i="122"/>
  <c r="E367" i="122"/>
  <c r="D367" i="122"/>
  <c r="C367" i="122"/>
  <c r="B367" i="122"/>
  <c r="A367" i="122"/>
  <c r="E366" i="122"/>
  <c r="D366" i="122"/>
  <c r="C366" i="122"/>
  <c r="B366" i="122"/>
  <c r="A366" i="122"/>
  <c r="E365" i="122"/>
  <c r="D365" i="122"/>
  <c r="C365" i="122"/>
  <c r="B365" i="122"/>
  <c r="A365" i="122"/>
  <c r="E364" i="122"/>
  <c r="D364" i="122"/>
  <c r="C364" i="122"/>
  <c r="B364" i="122"/>
  <c r="A364" i="122"/>
  <c r="E363" i="122"/>
  <c r="D363" i="122"/>
  <c r="C363" i="122"/>
  <c r="B363" i="122"/>
  <c r="A363" i="122"/>
  <c r="E362" i="122"/>
  <c r="D362" i="122"/>
  <c r="C362" i="122"/>
  <c r="B362" i="122"/>
  <c r="A362" i="122"/>
  <c r="E361" i="122"/>
  <c r="D361" i="122"/>
  <c r="C361" i="122"/>
  <c r="B361" i="122"/>
  <c r="A361" i="122"/>
  <c r="E360" i="122"/>
  <c r="D360" i="122"/>
  <c r="C360" i="122"/>
  <c r="B360" i="122"/>
  <c r="A360" i="122"/>
  <c r="E359" i="122"/>
  <c r="D359" i="122"/>
  <c r="C359" i="122"/>
  <c r="B359" i="122"/>
  <c r="A359" i="122"/>
  <c r="E358" i="122"/>
  <c r="D358" i="122"/>
  <c r="C358" i="122"/>
  <c r="B358" i="122"/>
  <c r="A358" i="122"/>
  <c r="E357" i="122"/>
  <c r="D357" i="122"/>
  <c r="C357" i="122"/>
  <c r="B357" i="122"/>
  <c r="A357" i="122"/>
  <c r="E356" i="122"/>
  <c r="D356" i="122"/>
  <c r="C356" i="122"/>
  <c r="B356" i="122"/>
  <c r="A356" i="122"/>
  <c r="E355" i="122"/>
  <c r="D355" i="122"/>
  <c r="C355" i="122"/>
  <c r="B355" i="122"/>
  <c r="A355" i="122"/>
  <c r="E354" i="122"/>
  <c r="D354" i="122"/>
  <c r="C354" i="122"/>
  <c r="B354" i="122"/>
  <c r="A354" i="122"/>
  <c r="E353" i="122"/>
  <c r="D353" i="122"/>
  <c r="C353" i="122"/>
  <c r="B353" i="122"/>
  <c r="A353" i="122"/>
  <c r="E351" i="122"/>
  <c r="D351" i="122"/>
  <c r="C351" i="122"/>
  <c r="B351" i="122"/>
  <c r="A351" i="122"/>
  <c r="E350" i="122"/>
  <c r="D350" i="122"/>
  <c r="C350" i="122"/>
  <c r="B350" i="122"/>
  <c r="A350" i="122"/>
  <c r="E349" i="122"/>
  <c r="D349" i="122"/>
  <c r="C349" i="122"/>
  <c r="B349" i="122"/>
  <c r="A349" i="122"/>
  <c r="E348" i="122"/>
  <c r="D348" i="122"/>
  <c r="C348" i="122"/>
  <c r="B348" i="122"/>
  <c r="A348" i="122"/>
  <c r="E347" i="122"/>
  <c r="D347" i="122"/>
  <c r="C347" i="122"/>
  <c r="B347" i="122"/>
  <c r="A347" i="122"/>
  <c r="E346" i="122"/>
  <c r="D346" i="122"/>
  <c r="C346" i="122"/>
  <c r="B346" i="122"/>
  <c r="A346" i="122"/>
  <c r="E345" i="122"/>
  <c r="D345" i="122"/>
  <c r="C345" i="122"/>
  <c r="B345" i="122"/>
  <c r="A345" i="122"/>
  <c r="E344" i="122"/>
  <c r="D344" i="122"/>
  <c r="C344" i="122"/>
  <c r="B344" i="122"/>
  <c r="A344" i="122"/>
  <c r="E343" i="122"/>
  <c r="D343" i="122"/>
  <c r="C343" i="122"/>
  <c r="B343" i="122"/>
  <c r="A343" i="122"/>
  <c r="E342" i="122"/>
  <c r="D342" i="122"/>
  <c r="C342" i="122"/>
  <c r="B342" i="122"/>
  <c r="A342" i="122"/>
  <c r="E341" i="122"/>
  <c r="D341" i="122"/>
  <c r="C341" i="122"/>
  <c r="B341" i="122"/>
  <c r="A341" i="122"/>
  <c r="E340" i="122"/>
  <c r="D340" i="122"/>
  <c r="C340" i="122"/>
  <c r="B340" i="122"/>
  <c r="A340" i="122"/>
  <c r="E339" i="122"/>
  <c r="D339" i="122"/>
  <c r="C339" i="122"/>
  <c r="B339" i="122"/>
  <c r="A339" i="122"/>
  <c r="E338" i="122"/>
  <c r="D338" i="122"/>
  <c r="C338" i="122"/>
  <c r="B338" i="122"/>
  <c r="A338" i="122"/>
  <c r="E337" i="122"/>
  <c r="D337" i="122"/>
  <c r="C337" i="122"/>
  <c r="B337" i="122"/>
  <c r="A337" i="122"/>
  <c r="E336" i="122"/>
  <c r="D336" i="122"/>
  <c r="C336" i="122"/>
  <c r="B336" i="122"/>
  <c r="A336" i="122"/>
  <c r="E335" i="122"/>
  <c r="D335" i="122"/>
  <c r="C335" i="122"/>
  <c r="B335" i="122"/>
  <c r="A335" i="122"/>
  <c r="E334" i="122"/>
  <c r="D334" i="122"/>
  <c r="C334" i="122"/>
  <c r="B334" i="122"/>
  <c r="A334" i="122"/>
  <c r="E333" i="122"/>
  <c r="D333" i="122"/>
  <c r="C333" i="122"/>
  <c r="B333" i="122"/>
  <c r="A333" i="122"/>
  <c r="E332" i="122"/>
  <c r="D332" i="122"/>
  <c r="C332" i="122"/>
  <c r="B332" i="122"/>
  <c r="A332" i="122"/>
  <c r="E331" i="122"/>
  <c r="D331" i="122"/>
  <c r="C331" i="122"/>
  <c r="B331" i="122"/>
  <c r="A331" i="122"/>
  <c r="E330" i="122"/>
  <c r="D330" i="122"/>
  <c r="C330" i="122"/>
  <c r="B330" i="122"/>
  <c r="A330" i="122"/>
  <c r="E328" i="122"/>
  <c r="D328" i="122"/>
  <c r="C328" i="122"/>
  <c r="B328" i="122"/>
  <c r="A328" i="122"/>
  <c r="E327" i="122"/>
  <c r="D327" i="122"/>
  <c r="C327" i="122"/>
  <c r="B327" i="122"/>
  <c r="A327" i="122"/>
  <c r="E326" i="122"/>
  <c r="D326" i="122"/>
  <c r="C326" i="122"/>
  <c r="B326" i="122"/>
  <c r="A326" i="122"/>
  <c r="E325" i="122"/>
  <c r="D325" i="122"/>
  <c r="C325" i="122"/>
  <c r="B325" i="122"/>
  <c r="A325" i="122"/>
  <c r="E324" i="122"/>
  <c r="D324" i="122"/>
  <c r="C324" i="122"/>
  <c r="B324" i="122"/>
  <c r="A324" i="122"/>
  <c r="E323" i="122"/>
  <c r="D323" i="122"/>
  <c r="C323" i="122"/>
  <c r="B323" i="122"/>
  <c r="A323" i="122"/>
  <c r="E322" i="122"/>
  <c r="D322" i="122"/>
  <c r="C322" i="122"/>
  <c r="B322" i="122"/>
  <c r="A322" i="122"/>
  <c r="E321" i="122"/>
  <c r="D321" i="122"/>
  <c r="C321" i="122"/>
  <c r="B321" i="122"/>
  <c r="A321" i="122"/>
  <c r="E320" i="122"/>
  <c r="D320" i="122"/>
  <c r="C320" i="122"/>
  <c r="B320" i="122"/>
  <c r="A320" i="122"/>
  <c r="E319" i="122"/>
  <c r="D319" i="122"/>
  <c r="C319" i="122"/>
  <c r="B319" i="122"/>
  <c r="A319" i="122"/>
  <c r="E318" i="122"/>
  <c r="D318" i="122"/>
  <c r="C318" i="122"/>
  <c r="B318" i="122"/>
  <c r="A318" i="122"/>
  <c r="E317" i="122"/>
  <c r="D317" i="122"/>
  <c r="C317" i="122"/>
  <c r="B317" i="122"/>
  <c r="A317" i="122"/>
  <c r="E316" i="122"/>
  <c r="D316" i="122"/>
  <c r="C316" i="122"/>
  <c r="B316" i="122"/>
  <c r="A316" i="122"/>
  <c r="E315" i="122"/>
  <c r="D315" i="122"/>
  <c r="C315" i="122"/>
  <c r="B315" i="122"/>
  <c r="A315" i="122"/>
  <c r="E314" i="122"/>
  <c r="D314" i="122"/>
  <c r="C314" i="122"/>
  <c r="B314" i="122"/>
  <c r="A314" i="122"/>
  <c r="E313" i="122"/>
  <c r="D313" i="122"/>
  <c r="C313" i="122"/>
  <c r="B313" i="122"/>
  <c r="A313" i="122"/>
  <c r="E312" i="122"/>
  <c r="D312" i="122"/>
  <c r="C312" i="122"/>
  <c r="B312" i="122"/>
  <c r="A312" i="122"/>
  <c r="E311" i="122"/>
  <c r="D311" i="122"/>
  <c r="C311" i="122"/>
  <c r="B311" i="122"/>
  <c r="A311" i="122"/>
  <c r="E310" i="122"/>
  <c r="D310" i="122"/>
  <c r="C310" i="122"/>
  <c r="B310" i="122"/>
  <c r="A310" i="122"/>
  <c r="E309" i="122"/>
  <c r="D309" i="122"/>
  <c r="C309" i="122"/>
  <c r="B309" i="122"/>
  <c r="A309" i="122"/>
  <c r="E308" i="122"/>
  <c r="D308" i="122"/>
  <c r="C308" i="122"/>
  <c r="B308" i="122"/>
  <c r="A308" i="122"/>
  <c r="E307" i="122"/>
  <c r="D307" i="122"/>
  <c r="C307" i="122"/>
  <c r="B307" i="122"/>
  <c r="A307" i="122"/>
  <c r="F306" i="122"/>
  <c r="F303" i="122"/>
  <c r="E303" i="122"/>
  <c r="D303" i="122"/>
  <c r="C303" i="122"/>
  <c r="B303" i="122"/>
  <c r="A303" i="122"/>
  <c r="E302" i="122"/>
  <c r="D302" i="122"/>
  <c r="C302" i="122"/>
  <c r="B302" i="122"/>
  <c r="A302" i="122"/>
  <c r="E301" i="122"/>
  <c r="D301" i="122"/>
  <c r="C301" i="122"/>
  <c r="B301" i="122"/>
  <c r="A301" i="122"/>
  <c r="E300" i="122"/>
  <c r="D300" i="122"/>
  <c r="C300" i="122"/>
  <c r="B300" i="122"/>
  <c r="A300" i="122"/>
  <c r="E299" i="122"/>
  <c r="D299" i="122"/>
  <c r="C299" i="122"/>
  <c r="B299" i="122"/>
  <c r="A299" i="122"/>
  <c r="E298" i="122"/>
  <c r="D298" i="122"/>
  <c r="C298" i="122"/>
  <c r="B298" i="122"/>
  <c r="A298" i="122"/>
  <c r="E297" i="122"/>
  <c r="D297" i="122"/>
  <c r="C297" i="122"/>
  <c r="B297" i="122"/>
  <c r="A297" i="122"/>
  <c r="E296" i="122"/>
  <c r="D296" i="122"/>
  <c r="C296" i="122"/>
  <c r="B296" i="122"/>
  <c r="A296" i="122"/>
  <c r="E295" i="122"/>
  <c r="D295" i="122"/>
  <c r="C295" i="122"/>
  <c r="B295" i="122"/>
  <c r="A295" i="122"/>
  <c r="E294" i="122"/>
  <c r="D294" i="122"/>
  <c r="C294" i="122"/>
  <c r="B294" i="122"/>
  <c r="A294" i="122"/>
  <c r="E293" i="122"/>
  <c r="D293" i="122"/>
  <c r="C293" i="122"/>
  <c r="B293" i="122"/>
  <c r="A293" i="122"/>
  <c r="E292" i="122"/>
  <c r="D292" i="122"/>
  <c r="C292" i="122"/>
  <c r="B292" i="122"/>
  <c r="A292" i="122"/>
  <c r="E291" i="122"/>
  <c r="D291" i="122"/>
  <c r="C291" i="122"/>
  <c r="B291" i="122"/>
  <c r="A291" i="122"/>
  <c r="E290" i="122"/>
  <c r="D290" i="122"/>
  <c r="C290" i="122"/>
  <c r="B290" i="122"/>
  <c r="A290" i="122"/>
  <c r="E289" i="122"/>
  <c r="D289" i="122"/>
  <c r="C289" i="122"/>
  <c r="B289" i="122"/>
  <c r="A289" i="122"/>
  <c r="E288" i="122"/>
  <c r="D288" i="122"/>
  <c r="C288" i="122"/>
  <c r="B288" i="122"/>
  <c r="A288" i="122"/>
  <c r="E287" i="122"/>
  <c r="D287" i="122"/>
  <c r="C287" i="122"/>
  <c r="B287" i="122"/>
  <c r="A287" i="122"/>
  <c r="E286" i="122"/>
  <c r="D286" i="122"/>
  <c r="C286" i="122"/>
  <c r="B286" i="122"/>
  <c r="A286" i="122"/>
  <c r="E285" i="122"/>
  <c r="D285" i="122"/>
  <c r="C285" i="122"/>
  <c r="B285" i="122"/>
  <c r="A285" i="122"/>
  <c r="E284" i="122"/>
  <c r="D284" i="122"/>
  <c r="C284" i="122"/>
  <c r="B284" i="122"/>
  <c r="A284" i="122"/>
  <c r="E283" i="122"/>
  <c r="D283" i="122"/>
  <c r="C283" i="122"/>
  <c r="B283" i="122"/>
  <c r="A283" i="122"/>
  <c r="E282" i="122"/>
  <c r="D282" i="122"/>
  <c r="C282" i="122"/>
  <c r="B282" i="122"/>
  <c r="A282" i="122"/>
  <c r="E280" i="122"/>
  <c r="D280" i="122"/>
  <c r="C280" i="122"/>
  <c r="B280" i="122"/>
  <c r="A280" i="122"/>
  <c r="E279" i="122"/>
  <c r="D279" i="122"/>
  <c r="C279" i="122"/>
  <c r="B279" i="122"/>
  <c r="A279" i="122"/>
  <c r="E278" i="122"/>
  <c r="D278" i="122"/>
  <c r="C278" i="122"/>
  <c r="B278" i="122"/>
  <c r="A278" i="122"/>
  <c r="E277" i="122"/>
  <c r="D277" i="122"/>
  <c r="C277" i="122"/>
  <c r="B277" i="122"/>
  <c r="A277" i="122"/>
  <c r="E276" i="122"/>
  <c r="D276" i="122"/>
  <c r="C276" i="122"/>
  <c r="B276" i="122"/>
  <c r="A276" i="122"/>
  <c r="E275" i="122"/>
  <c r="D275" i="122"/>
  <c r="C275" i="122"/>
  <c r="B275" i="122"/>
  <c r="A275" i="122"/>
  <c r="E274" i="122"/>
  <c r="D274" i="122"/>
  <c r="C274" i="122"/>
  <c r="B274" i="122"/>
  <c r="A274" i="122"/>
  <c r="E273" i="122"/>
  <c r="D273" i="122"/>
  <c r="C273" i="122"/>
  <c r="B273" i="122"/>
  <c r="A273" i="122"/>
  <c r="E272" i="122"/>
  <c r="D272" i="122"/>
  <c r="C272" i="122"/>
  <c r="B272" i="122"/>
  <c r="A272" i="122"/>
  <c r="E271" i="122"/>
  <c r="D271" i="122"/>
  <c r="C271" i="122"/>
  <c r="B271" i="122"/>
  <c r="A271" i="122"/>
  <c r="E270" i="122"/>
  <c r="D270" i="122"/>
  <c r="C270" i="122"/>
  <c r="B270" i="122"/>
  <c r="A270" i="122"/>
  <c r="E269" i="122"/>
  <c r="D269" i="122"/>
  <c r="C269" i="122"/>
  <c r="B269" i="122"/>
  <c r="A269" i="122"/>
  <c r="E268" i="122"/>
  <c r="D268" i="122"/>
  <c r="C268" i="122"/>
  <c r="B268" i="122"/>
  <c r="A268" i="122"/>
  <c r="E267" i="122"/>
  <c r="D267" i="122"/>
  <c r="C267" i="122"/>
  <c r="B267" i="122"/>
  <c r="A267" i="122"/>
  <c r="E266" i="122"/>
  <c r="D266" i="122"/>
  <c r="C266" i="122"/>
  <c r="B266" i="122"/>
  <c r="A266" i="122"/>
  <c r="E265" i="122"/>
  <c r="D265" i="122"/>
  <c r="C265" i="122"/>
  <c r="B265" i="122"/>
  <c r="A265" i="122"/>
  <c r="E264" i="122"/>
  <c r="D264" i="122"/>
  <c r="C264" i="122"/>
  <c r="B264" i="122"/>
  <c r="A264" i="122"/>
  <c r="E263" i="122"/>
  <c r="D263" i="122"/>
  <c r="C263" i="122"/>
  <c r="B263" i="122"/>
  <c r="A263" i="122"/>
  <c r="E262" i="122"/>
  <c r="D262" i="122"/>
  <c r="C262" i="122"/>
  <c r="B262" i="122"/>
  <c r="A262" i="122"/>
  <c r="E261" i="122"/>
  <c r="D261" i="122"/>
  <c r="C261" i="122"/>
  <c r="B261" i="122"/>
  <c r="A261" i="122"/>
  <c r="AG260" i="122"/>
  <c r="AF260" i="122"/>
  <c r="AE260" i="122"/>
  <c r="AD260" i="122"/>
  <c r="AC260" i="122"/>
  <c r="AB260" i="122"/>
  <c r="Z260" i="122"/>
  <c r="Y260" i="122"/>
  <c r="X260" i="122"/>
  <c r="W260" i="122"/>
  <c r="V260" i="122"/>
  <c r="U260" i="122"/>
  <c r="T260" i="122"/>
  <c r="S260" i="122"/>
  <c r="E260" i="122"/>
  <c r="D260" i="122"/>
  <c r="C260" i="122"/>
  <c r="B260" i="122"/>
  <c r="A260" i="122"/>
  <c r="AG259" i="122"/>
  <c r="AF259" i="122"/>
  <c r="AE259" i="122"/>
  <c r="AD259" i="122"/>
  <c r="AC259" i="122"/>
  <c r="AB259" i="122"/>
  <c r="Z259" i="122"/>
  <c r="Y259" i="122"/>
  <c r="X259" i="122"/>
  <c r="W259" i="122"/>
  <c r="V259" i="122"/>
  <c r="U259" i="122"/>
  <c r="T259" i="122"/>
  <c r="S259" i="122"/>
  <c r="E259" i="122"/>
  <c r="D259" i="122"/>
  <c r="C259" i="122"/>
  <c r="B259" i="122"/>
  <c r="A259" i="122"/>
  <c r="AG258" i="122"/>
  <c r="AF258" i="122"/>
  <c r="AE258" i="122"/>
  <c r="AD258" i="122"/>
  <c r="AC258" i="122"/>
  <c r="AB258" i="122"/>
  <c r="Z258" i="122"/>
  <c r="Y258" i="122"/>
  <c r="X258" i="122"/>
  <c r="W258" i="122"/>
  <c r="V258" i="122"/>
  <c r="U258" i="122"/>
  <c r="T258" i="122"/>
  <c r="S258" i="122"/>
  <c r="AG257" i="122"/>
  <c r="AF257" i="122"/>
  <c r="AE257" i="122"/>
  <c r="AD257" i="122"/>
  <c r="AC257" i="122"/>
  <c r="AB257" i="122"/>
  <c r="Z257" i="122"/>
  <c r="Y257" i="122"/>
  <c r="X257" i="122"/>
  <c r="W257" i="122"/>
  <c r="V257" i="122"/>
  <c r="U257" i="122"/>
  <c r="T257" i="122"/>
  <c r="S257" i="122"/>
  <c r="E257" i="122"/>
  <c r="D257" i="122"/>
  <c r="C257" i="122"/>
  <c r="B257" i="122"/>
  <c r="A257" i="122"/>
  <c r="AG256" i="122"/>
  <c r="AF256" i="122"/>
  <c r="AE256" i="122"/>
  <c r="AD256" i="122"/>
  <c r="AC256" i="122"/>
  <c r="AB256" i="122"/>
  <c r="Z256" i="122"/>
  <c r="Y256" i="122"/>
  <c r="X256" i="122"/>
  <c r="W256" i="122"/>
  <c r="V256" i="122"/>
  <c r="U256" i="122"/>
  <c r="T256" i="122"/>
  <c r="S256" i="122"/>
  <c r="E256" i="122"/>
  <c r="D256" i="122"/>
  <c r="C256" i="122"/>
  <c r="B256" i="122"/>
  <c r="A256" i="122"/>
  <c r="AG255" i="122"/>
  <c r="AF255" i="122"/>
  <c r="AE255" i="122"/>
  <c r="AD255" i="122"/>
  <c r="AC255" i="122"/>
  <c r="AB255" i="122"/>
  <c r="Z255" i="122"/>
  <c r="Y255" i="122"/>
  <c r="X255" i="122"/>
  <c r="W255" i="122"/>
  <c r="V255" i="122"/>
  <c r="U255" i="122"/>
  <c r="T255" i="122"/>
  <c r="S255" i="122"/>
  <c r="E255" i="122"/>
  <c r="D255" i="122"/>
  <c r="C255" i="122"/>
  <c r="B255" i="122"/>
  <c r="A255" i="122"/>
  <c r="E254" i="122"/>
  <c r="D254" i="122"/>
  <c r="C254" i="122"/>
  <c r="B254" i="122"/>
  <c r="A254" i="122"/>
  <c r="AG253" i="122"/>
  <c r="AF253" i="122"/>
  <c r="AE253" i="122"/>
  <c r="AD253" i="122"/>
  <c r="AC253" i="122"/>
  <c r="AB253" i="122"/>
  <c r="Z253" i="122"/>
  <c r="Y253" i="122"/>
  <c r="X253" i="122"/>
  <c r="W253" i="122"/>
  <c r="V253" i="122"/>
  <c r="U253" i="122"/>
  <c r="T253" i="122"/>
  <c r="S253" i="122"/>
  <c r="E253" i="122"/>
  <c r="D253" i="122"/>
  <c r="C253" i="122"/>
  <c r="B253" i="122"/>
  <c r="A253" i="122"/>
  <c r="AG252" i="122"/>
  <c r="AF252" i="122"/>
  <c r="AE252" i="122"/>
  <c r="AD252" i="122"/>
  <c r="AC252" i="122"/>
  <c r="AB252" i="122"/>
  <c r="Z252" i="122"/>
  <c r="Y252" i="122"/>
  <c r="X252" i="122"/>
  <c r="W252" i="122"/>
  <c r="V252" i="122"/>
  <c r="U252" i="122"/>
  <c r="T252" i="122"/>
  <c r="S252" i="122"/>
  <c r="E252" i="122"/>
  <c r="D252" i="122"/>
  <c r="C252" i="122"/>
  <c r="B252" i="122"/>
  <c r="A252" i="122"/>
  <c r="AG251" i="122"/>
  <c r="AF251" i="122"/>
  <c r="AE251" i="122"/>
  <c r="AD251" i="122"/>
  <c r="AC251" i="122"/>
  <c r="AB251" i="122"/>
  <c r="Z251" i="122"/>
  <c r="Y251" i="122"/>
  <c r="X251" i="122"/>
  <c r="W251" i="122"/>
  <c r="V251" i="122"/>
  <c r="U251" i="122"/>
  <c r="T251" i="122"/>
  <c r="S251" i="122"/>
  <c r="E251" i="122"/>
  <c r="D251" i="122"/>
  <c r="C251" i="122"/>
  <c r="B251" i="122"/>
  <c r="A251" i="122"/>
  <c r="Z250" i="122"/>
  <c r="Y250" i="122"/>
  <c r="X250" i="122"/>
  <c r="E250" i="122"/>
  <c r="D250" i="122"/>
  <c r="C250" i="122"/>
  <c r="B250" i="122"/>
  <c r="A250" i="122"/>
  <c r="Z249" i="122"/>
  <c r="Y249" i="122"/>
  <c r="X249" i="122"/>
  <c r="E249" i="122"/>
  <c r="D249" i="122"/>
  <c r="C249" i="122"/>
  <c r="B249" i="122"/>
  <c r="A249" i="122"/>
  <c r="Z248" i="122"/>
  <c r="Y248" i="122"/>
  <c r="X248" i="122"/>
  <c r="E248" i="122"/>
  <c r="D248" i="122"/>
  <c r="C248" i="122"/>
  <c r="B248" i="122"/>
  <c r="A248" i="122"/>
  <c r="E247" i="122"/>
  <c r="D247" i="122"/>
  <c r="C247" i="122"/>
  <c r="B247" i="122"/>
  <c r="A247" i="122"/>
  <c r="AG246" i="122"/>
  <c r="AF246" i="122"/>
  <c r="AE246" i="122"/>
  <c r="AD246" i="122"/>
  <c r="AC246" i="122"/>
  <c r="AB246" i="122"/>
  <c r="Z246" i="122"/>
  <c r="Y246" i="122"/>
  <c r="X246" i="122"/>
  <c r="W246" i="122"/>
  <c r="V246" i="122"/>
  <c r="U246" i="122"/>
  <c r="T246" i="122"/>
  <c r="S246" i="122"/>
  <c r="E246" i="122"/>
  <c r="D246" i="122"/>
  <c r="C246" i="122"/>
  <c r="B246" i="122"/>
  <c r="A246" i="122"/>
  <c r="AG245" i="122"/>
  <c r="AF245" i="122"/>
  <c r="AE245" i="122"/>
  <c r="AD245" i="122"/>
  <c r="AC245" i="122"/>
  <c r="AB245" i="122"/>
  <c r="Z245" i="122"/>
  <c r="Y245" i="122"/>
  <c r="X245" i="122"/>
  <c r="W245" i="122"/>
  <c r="V245" i="122"/>
  <c r="U245" i="122"/>
  <c r="T245" i="122"/>
  <c r="S245" i="122"/>
  <c r="E245" i="122"/>
  <c r="D245" i="122"/>
  <c r="C245" i="122"/>
  <c r="B245" i="122"/>
  <c r="A245" i="122"/>
  <c r="AG244" i="122"/>
  <c r="AF244" i="122"/>
  <c r="AE244" i="122"/>
  <c r="AD244" i="122"/>
  <c r="AC244" i="122"/>
  <c r="AB244" i="122"/>
  <c r="Z244" i="122"/>
  <c r="Y244" i="122"/>
  <c r="X244" i="122"/>
  <c r="W244" i="122"/>
  <c r="V244" i="122"/>
  <c r="U244" i="122"/>
  <c r="T244" i="122"/>
  <c r="S244" i="122"/>
  <c r="E244" i="122"/>
  <c r="D244" i="122"/>
  <c r="C244" i="122"/>
  <c r="B244" i="122"/>
  <c r="A244" i="122"/>
  <c r="Z243" i="122"/>
  <c r="Y243" i="122"/>
  <c r="X243" i="122"/>
  <c r="E243" i="122"/>
  <c r="D243" i="122"/>
  <c r="C243" i="122"/>
  <c r="B243" i="122"/>
  <c r="A243" i="122"/>
  <c r="Z242" i="122"/>
  <c r="Y242" i="122"/>
  <c r="X242" i="122"/>
  <c r="E242" i="122"/>
  <c r="D242" i="122"/>
  <c r="C242" i="122"/>
  <c r="B242" i="122"/>
  <c r="A242" i="122"/>
  <c r="Z241" i="122"/>
  <c r="Y241" i="122"/>
  <c r="X241" i="122"/>
  <c r="E241" i="122"/>
  <c r="D241" i="122"/>
  <c r="C241" i="122"/>
  <c r="B241" i="122"/>
  <c r="A241" i="122"/>
  <c r="E240" i="122"/>
  <c r="D240" i="122"/>
  <c r="C240" i="122"/>
  <c r="B240" i="122"/>
  <c r="A240" i="122"/>
  <c r="AG239" i="122"/>
  <c r="AF239" i="122"/>
  <c r="AE239" i="122"/>
  <c r="AD239" i="122"/>
  <c r="AC239" i="122"/>
  <c r="AB239" i="122"/>
  <c r="Z239" i="122"/>
  <c r="Y239" i="122"/>
  <c r="X239" i="122"/>
  <c r="W239" i="122"/>
  <c r="V239" i="122"/>
  <c r="U239" i="122"/>
  <c r="T239" i="122"/>
  <c r="S239" i="122"/>
  <c r="E239" i="122"/>
  <c r="D239" i="122"/>
  <c r="C239" i="122"/>
  <c r="B239" i="122"/>
  <c r="A239" i="122"/>
  <c r="AG238" i="122"/>
  <c r="AF238" i="122"/>
  <c r="AE238" i="122"/>
  <c r="AD238" i="122"/>
  <c r="AC238" i="122"/>
  <c r="AB238" i="122"/>
  <c r="Z238" i="122"/>
  <c r="Y238" i="122"/>
  <c r="X238" i="122"/>
  <c r="W238" i="122"/>
  <c r="V238" i="122"/>
  <c r="U238" i="122"/>
  <c r="T238" i="122"/>
  <c r="S238" i="122"/>
  <c r="E238" i="122"/>
  <c r="D238" i="122"/>
  <c r="C238" i="122"/>
  <c r="B238" i="122"/>
  <c r="A238" i="122"/>
  <c r="AG237" i="122"/>
  <c r="AF237" i="122"/>
  <c r="AE237" i="122"/>
  <c r="AD237" i="122"/>
  <c r="AC237" i="122"/>
  <c r="AB237" i="122"/>
  <c r="Z237" i="122"/>
  <c r="Y237" i="122"/>
  <c r="X237" i="122"/>
  <c r="W237" i="122"/>
  <c r="V237" i="122"/>
  <c r="U237" i="122"/>
  <c r="T237" i="122"/>
  <c r="S237" i="122"/>
  <c r="E237" i="122"/>
  <c r="D237" i="122"/>
  <c r="C237" i="122"/>
  <c r="B237" i="122"/>
  <c r="A237" i="122"/>
  <c r="Z236" i="122"/>
  <c r="Y236" i="122"/>
  <c r="X236" i="122"/>
  <c r="E236" i="122"/>
  <c r="D236" i="122"/>
  <c r="C236" i="122"/>
  <c r="B236" i="122"/>
  <c r="A236" i="122"/>
  <c r="Z235" i="122"/>
  <c r="Y235" i="122"/>
  <c r="X235" i="122"/>
  <c r="F235" i="122"/>
  <c r="Z234" i="122"/>
  <c r="Y234" i="122"/>
  <c r="X234" i="122"/>
  <c r="AG232" i="122"/>
  <c r="AF232" i="122"/>
  <c r="AE232" i="122"/>
  <c r="AD232" i="122"/>
  <c r="AC232" i="122"/>
  <c r="AB232" i="122"/>
  <c r="Z232" i="122"/>
  <c r="Y232" i="122"/>
  <c r="X232" i="122"/>
  <c r="W232" i="122"/>
  <c r="V232" i="122"/>
  <c r="U232" i="122"/>
  <c r="T232" i="122"/>
  <c r="S232" i="122"/>
  <c r="E232" i="122"/>
  <c r="D232" i="122"/>
  <c r="C232" i="122"/>
  <c r="B232" i="122"/>
  <c r="A232" i="122"/>
  <c r="AG231" i="122"/>
  <c r="AF231" i="122"/>
  <c r="AE231" i="122"/>
  <c r="AD231" i="122"/>
  <c r="AC231" i="122"/>
  <c r="AB231" i="122"/>
  <c r="Z231" i="122"/>
  <c r="Y231" i="122"/>
  <c r="X231" i="122"/>
  <c r="W231" i="122"/>
  <c r="V231" i="122"/>
  <c r="U231" i="122"/>
  <c r="T231" i="122"/>
  <c r="S231" i="122"/>
  <c r="E231" i="122"/>
  <c r="D231" i="122"/>
  <c r="C231" i="122"/>
  <c r="B231" i="122"/>
  <c r="A231" i="122"/>
  <c r="AG230" i="122"/>
  <c r="AF230" i="122"/>
  <c r="AE230" i="122"/>
  <c r="AD230" i="122"/>
  <c r="AC230" i="122"/>
  <c r="AB230" i="122"/>
  <c r="Z230" i="122"/>
  <c r="Y230" i="122"/>
  <c r="X230" i="122"/>
  <c r="W230" i="122"/>
  <c r="V230" i="122"/>
  <c r="U230" i="122"/>
  <c r="T230" i="122"/>
  <c r="S230" i="122"/>
  <c r="E230" i="122"/>
  <c r="D230" i="122"/>
  <c r="C230" i="122"/>
  <c r="B230" i="122"/>
  <c r="A230" i="122"/>
  <c r="Z229" i="122"/>
  <c r="Y229" i="122"/>
  <c r="X229" i="122"/>
  <c r="E229" i="122"/>
  <c r="D229" i="122"/>
  <c r="C229" i="122"/>
  <c r="B229" i="122"/>
  <c r="A229" i="122"/>
  <c r="Z228" i="122"/>
  <c r="Y228" i="122"/>
  <c r="X228" i="122"/>
  <c r="E228" i="122"/>
  <c r="D228" i="122"/>
  <c r="C228" i="122"/>
  <c r="B228" i="122"/>
  <c r="A228" i="122"/>
  <c r="Z227" i="122"/>
  <c r="Y227" i="122"/>
  <c r="X227" i="122"/>
  <c r="E227" i="122"/>
  <c r="D227" i="122"/>
  <c r="C227" i="122"/>
  <c r="B227" i="122"/>
  <c r="A227" i="122"/>
  <c r="E226" i="122"/>
  <c r="D226" i="122"/>
  <c r="C226" i="122"/>
  <c r="B226" i="122"/>
  <c r="A226" i="122"/>
  <c r="AG225" i="122"/>
  <c r="AF225" i="122"/>
  <c r="AE225" i="122"/>
  <c r="AD225" i="122"/>
  <c r="AC225" i="122"/>
  <c r="AB225" i="122"/>
  <c r="Z225" i="122"/>
  <c r="Y225" i="122"/>
  <c r="X225" i="122"/>
  <c r="W225" i="122"/>
  <c r="V225" i="122"/>
  <c r="U225" i="122"/>
  <c r="T225" i="122"/>
  <c r="S225" i="122"/>
  <c r="E225" i="122"/>
  <c r="D225" i="122"/>
  <c r="C225" i="122"/>
  <c r="B225" i="122"/>
  <c r="A225" i="122"/>
  <c r="AG224" i="122"/>
  <c r="AF224" i="122"/>
  <c r="AE224" i="122"/>
  <c r="AD224" i="122"/>
  <c r="AC224" i="122"/>
  <c r="AB224" i="122"/>
  <c r="Z224" i="122"/>
  <c r="Y224" i="122"/>
  <c r="X224" i="122"/>
  <c r="W224" i="122"/>
  <c r="V224" i="122"/>
  <c r="U224" i="122"/>
  <c r="T224" i="122"/>
  <c r="S224" i="122"/>
  <c r="E224" i="122"/>
  <c r="D224" i="122"/>
  <c r="C224" i="122"/>
  <c r="B224" i="122"/>
  <c r="A224" i="122"/>
  <c r="AG223" i="122"/>
  <c r="AF223" i="122"/>
  <c r="AE223" i="122"/>
  <c r="AD223" i="122"/>
  <c r="AC223" i="122"/>
  <c r="AB223" i="122"/>
  <c r="Z223" i="122"/>
  <c r="Y223" i="122"/>
  <c r="X223" i="122"/>
  <c r="W223" i="122"/>
  <c r="V223" i="122"/>
  <c r="U223" i="122"/>
  <c r="T223" i="122"/>
  <c r="S223" i="122"/>
  <c r="E223" i="122"/>
  <c r="D223" i="122"/>
  <c r="C223" i="122"/>
  <c r="B223" i="122"/>
  <c r="A223" i="122"/>
  <c r="Z222" i="122"/>
  <c r="Y222" i="122"/>
  <c r="X222" i="122"/>
  <c r="E222" i="122"/>
  <c r="D222" i="122"/>
  <c r="C222" i="122"/>
  <c r="B222" i="122"/>
  <c r="A222" i="122"/>
  <c r="Z221" i="122"/>
  <c r="Y221" i="122"/>
  <c r="X221" i="122"/>
  <c r="E221" i="122"/>
  <c r="D221" i="122"/>
  <c r="C221" i="122"/>
  <c r="B221" i="122"/>
  <c r="A221" i="122"/>
  <c r="Z220" i="122"/>
  <c r="Y220" i="122"/>
  <c r="X220" i="122"/>
  <c r="E220" i="122"/>
  <c r="D220" i="122"/>
  <c r="C220" i="122"/>
  <c r="B220" i="122"/>
  <c r="A220" i="122"/>
  <c r="E219" i="122"/>
  <c r="D219" i="122"/>
  <c r="C219" i="122"/>
  <c r="B219" i="122"/>
  <c r="A219" i="122"/>
  <c r="AG218" i="122"/>
  <c r="AF218" i="122"/>
  <c r="AE218" i="122"/>
  <c r="AD218" i="122"/>
  <c r="AC218" i="122"/>
  <c r="AB218" i="122"/>
  <c r="Z218" i="122"/>
  <c r="Y218" i="122"/>
  <c r="X218" i="122"/>
  <c r="W218" i="122"/>
  <c r="V218" i="122"/>
  <c r="U218" i="122"/>
  <c r="T218" i="122"/>
  <c r="S218" i="122"/>
  <c r="E218" i="122"/>
  <c r="D218" i="122"/>
  <c r="C218" i="122"/>
  <c r="B218" i="122"/>
  <c r="A218" i="122"/>
  <c r="AG217" i="122"/>
  <c r="AF217" i="122"/>
  <c r="AE217" i="122"/>
  <c r="AD217" i="122"/>
  <c r="AC217" i="122"/>
  <c r="AB217" i="122"/>
  <c r="Z217" i="122"/>
  <c r="Y217" i="122"/>
  <c r="X217" i="122"/>
  <c r="W217" i="122"/>
  <c r="V217" i="122"/>
  <c r="U217" i="122"/>
  <c r="T217" i="122"/>
  <c r="S217" i="122"/>
  <c r="E217" i="122"/>
  <c r="D217" i="122"/>
  <c r="C217" i="122"/>
  <c r="B217" i="122"/>
  <c r="A217" i="122"/>
  <c r="AG216" i="122"/>
  <c r="AF216" i="122"/>
  <c r="AE216" i="122"/>
  <c r="AD216" i="122"/>
  <c r="AC216" i="122"/>
  <c r="AB216" i="122"/>
  <c r="Z216" i="122"/>
  <c r="Y216" i="122"/>
  <c r="X216" i="122"/>
  <c r="W216" i="122"/>
  <c r="V216" i="122"/>
  <c r="U216" i="122"/>
  <c r="T216" i="122"/>
  <c r="S216" i="122"/>
  <c r="E216" i="122"/>
  <c r="D216" i="122"/>
  <c r="C216" i="122"/>
  <c r="B216" i="122"/>
  <c r="A216" i="122"/>
  <c r="AG215" i="122"/>
  <c r="AF215" i="122"/>
  <c r="AE215" i="122"/>
  <c r="AD215" i="122"/>
  <c r="AC215" i="122"/>
  <c r="AB215" i="122"/>
  <c r="Z215" i="122"/>
  <c r="Y215" i="122"/>
  <c r="X215" i="122"/>
  <c r="W215" i="122"/>
  <c r="V215" i="122"/>
  <c r="U215" i="122"/>
  <c r="T215" i="122"/>
  <c r="S215" i="122"/>
  <c r="E215" i="122"/>
  <c r="D215" i="122"/>
  <c r="C215" i="122"/>
  <c r="B215" i="122"/>
  <c r="A215" i="122"/>
  <c r="AG214" i="122"/>
  <c r="AF214" i="122"/>
  <c r="AE214" i="122"/>
  <c r="AD214" i="122"/>
  <c r="AC214" i="122"/>
  <c r="AB214" i="122"/>
  <c r="Z214" i="122"/>
  <c r="Y214" i="122"/>
  <c r="X214" i="122"/>
  <c r="W214" i="122"/>
  <c r="V214" i="122"/>
  <c r="U214" i="122"/>
  <c r="T214" i="122"/>
  <c r="S214" i="122"/>
  <c r="E214" i="122"/>
  <c r="D214" i="122"/>
  <c r="C214" i="122"/>
  <c r="B214" i="122"/>
  <c r="A214" i="122"/>
  <c r="AG213" i="122"/>
  <c r="AF213" i="122"/>
  <c r="AE213" i="122"/>
  <c r="AD213" i="122"/>
  <c r="AC213" i="122"/>
  <c r="AB213" i="122"/>
  <c r="Z213" i="122"/>
  <c r="Y213" i="122"/>
  <c r="X213" i="122"/>
  <c r="W213" i="122"/>
  <c r="V213" i="122"/>
  <c r="U213" i="122"/>
  <c r="T213" i="122"/>
  <c r="S213" i="122"/>
  <c r="E213" i="122"/>
  <c r="D213" i="122"/>
  <c r="C213" i="122"/>
  <c r="B213" i="122"/>
  <c r="A213" i="122"/>
  <c r="E212" i="122"/>
  <c r="D212" i="122"/>
  <c r="C212" i="122"/>
  <c r="B212" i="122"/>
  <c r="A212" i="122"/>
  <c r="AG211" i="122"/>
  <c r="AF211" i="122"/>
  <c r="AE211" i="122"/>
  <c r="AD211" i="122"/>
  <c r="AC211" i="122"/>
  <c r="AB211" i="122"/>
  <c r="Z211" i="122"/>
  <c r="Y211" i="122"/>
  <c r="X211" i="122"/>
  <c r="W211" i="122"/>
  <c r="V211" i="122"/>
  <c r="U211" i="122"/>
  <c r="T211" i="122"/>
  <c r="S211" i="122"/>
  <c r="AG210" i="122"/>
  <c r="AF210" i="122"/>
  <c r="AE210" i="122"/>
  <c r="AD210" i="122"/>
  <c r="AC210" i="122"/>
  <c r="AB210" i="122"/>
  <c r="Z210" i="122"/>
  <c r="Y210" i="122"/>
  <c r="X210" i="122"/>
  <c r="W210" i="122"/>
  <c r="V210" i="122"/>
  <c r="U210" i="122"/>
  <c r="T210" i="122"/>
  <c r="S210" i="122"/>
  <c r="E210" i="122"/>
  <c r="D210" i="122"/>
  <c r="C210" i="122"/>
  <c r="B210" i="122"/>
  <c r="A210" i="122"/>
  <c r="Z209" i="122"/>
  <c r="Y209" i="122"/>
  <c r="X209" i="122"/>
  <c r="E209" i="122"/>
  <c r="D209" i="122"/>
  <c r="C209" i="122"/>
  <c r="B209" i="122"/>
  <c r="A209" i="122"/>
  <c r="Z208" i="122"/>
  <c r="Y208" i="122"/>
  <c r="X208" i="122"/>
  <c r="E208" i="122"/>
  <c r="D208" i="122"/>
  <c r="C208" i="122"/>
  <c r="B208" i="122"/>
  <c r="A208" i="122"/>
  <c r="Z207" i="122"/>
  <c r="Y207" i="122"/>
  <c r="X207" i="122"/>
  <c r="E207" i="122"/>
  <c r="D207" i="122"/>
  <c r="C207" i="122"/>
  <c r="B207" i="122"/>
  <c r="A207" i="122"/>
  <c r="Z206" i="122"/>
  <c r="Y206" i="122"/>
  <c r="X206" i="122"/>
  <c r="E206" i="122"/>
  <c r="D206" i="122"/>
  <c r="C206" i="122"/>
  <c r="B206" i="122"/>
  <c r="A206" i="122"/>
  <c r="E205" i="122"/>
  <c r="D205" i="122"/>
  <c r="C205" i="122"/>
  <c r="B205" i="122"/>
  <c r="A205" i="122"/>
  <c r="AG204" i="122"/>
  <c r="AF204" i="122"/>
  <c r="AE204" i="122"/>
  <c r="AD204" i="122"/>
  <c r="AC204" i="122"/>
  <c r="AB204" i="122"/>
  <c r="Z204" i="122"/>
  <c r="Y204" i="122"/>
  <c r="X204" i="122"/>
  <c r="W204" i="122"/>
  <c r="V204" i="122"/>
  <c r="U204" i="122"/>
  <c r="T204" i="122"/>
  <c r="S204" i="122"/>
  <c r="E204" i="122"/>
  <c r="D204" i="122"/>
  <c r="C204" i="122"/>
  <c r="B204" i="122"/>
  <c r="A204" i="122"/>
  <c r="AG203" i="122"/>
  <c r="AF203" i="122"/>
  <c r="AE203" i="122"/>
  <c r="AD203" i="122"/>
  <c r="AC203" i="122"/>
  <c r="AB203" i="122"/>
  <c r="Z203" i="122"/>
  <c r="Y203" i="122"/>
  <c r="X203" i="122"/>
  <c r="W203" i="122"/>
  <c r="V203" i="122"/>
  <c r="U203" i="122"/>
  <c r="T203" i="122"/>
  <c r="S203" i="122"/>
  <c r="E203" i="122"/>
  <c r="D203" i="122"/>
  <c r="C203" i="122"/>
  <c r="B203" i="122"/>
  <c r="A203" i="122"/>
  <c r="Z202" i="122"/>
  <c r="Y202" i="122"/>
  <c r="X202" i="122"/>
  <c r="E202" i="122"/>
  <c r="D202" i="122"/>
  <c r="C202" i="122"/>
  <c r="B202" i="122"/>
  <c r="A202" i="122"/>
  <c r="Z201" i="122"/>
  <c r="Y201" i="122"/>
  <c r="X201" i="122"/>
  <c r="E201" i="122"/>
  <c r="D201" i="122"/>
  <c r="C201" i="122"/>
  <c r="B201" i="122"/>
  <c r="A201" i="122"/>
  <c r="Z200" i="122"/>
  <c r="Y200" i="122"/>
  <c r="X200" i="122"/>
  <c r="E200" i="122"/>
  <c r="D200" i="122"/>
  <c r="C200" i="122"/>
  <c r="B200" i="122"/>
  <c r="A200" i="122"/>
  <c r="Z199" i="122"/>
  <c r="Y199" i="122"/>
  <c r="X199" i="122"/>
  <c r="E199" i="122"/>
  <c r="D199" i="122"/>
  <c r="C199" i="122"/>
  <c r="B199" i="122"/>
  <c r="A199" i="122"/>
  <c r="E198" i="122"/>
  <c r="D198" i="122"/>
  <c r="C198" i="122"/>
  <c r="B198" i="122"/>
  <c r="A198" i="122"/>
  <c r="AG197" i="122"/>
  <c r="AF197" i="122"/>
  <c r="AE197" i="122"/>
  <c r="AD197" i="122"/>
  <c r="AC197" i="122"/>
  <c r="AB197" i="122"/>
  <c r="Z197" i="122"/>
  <c r="Y197" i="122"/>
  <c r="X197" i="122"/>
  <c r="W197" i="122"/>
  <c r="V197" i="122"/>
  <c r="U197" i="122"/>
  <c r="T197" i="122"/>
  <c r="S197" i="122"/>
  <c r="E197" i="122"/>
  <c r="D197" i="122"/>
  <c r="C197" i="122"/>
  <c r="B197" i="122"/>
  <c r="A197" i="122"/>
  <c r="AG196" i="122"/>
  <c r="AF196" i="122"/>
  <c r="AE196" i="122"/>
  <c r="AD196" i="122"/>
  <c r="AC196" i="122"/>
  <c r="AB196" i="122"/>
  <c r="Z196" i="122"/>
  <c r="Y196" i="122"/>
  <c r="X196" i="122"/>
  <c r="W196" i="122"/>
  <c r="V196" i="122"/>
  <c r="U196" i="122"/>
  <c r="T196" i="122"/>
  <c r="S196" i="122"/>
  <c r="E196" i="122"/>
  <c r="D196" i="122"/>
  <c r="C196" i="122"/>
  <c r="B196" i="122"/>
  <c r="A196" i="122"/>
  <c r="Z195" i="122"/>
  <c r="Y195" i="122"/>
  <c r="X195" i="122"/>
  <c r="E195" i="122"/>
  <c r="D195" i="122"/>
  <c r="C195" i="122"/>
  <c r="B195" i="122"/>
  <c r="A195" i="122"/>
  <c r="Z194" i="122"/>
  <c r="Y194" i="122"/>
  <c r="X194" i="122"/>
  <c r="E194" i="122"/>
  <c r="D194" i="122"/>
  <c r="C194" i="122"/>
  <c r="B194" i="122"/>
  <c r="A194" i="122"/>
  <c r="Z193" i="122"/>
  <c r="Y193" i="122"/>
  <c r="X193" i="122"/>
  <c r="E193" i="122"/>
  <c r="D193" i="122"/>
  <c r="C193" i="122"/>
  <c r="B193" i="122"/>
  <c r="A193" i="122"/>
  <c r="Z192" i="122"/>
  <c r="Y192" i="122"/>
  <c r="X192" i="122"/>
  <c r="E191" i="122"/>
  <c r="D191" i="122"/>
  <c r="C191" i="122"/>
  <c r="B191" i="122"/>
  <c r="A191" i="122"/>
  <c r="AG190" i="122"/>
  <c r="AF190" i="122"/>
  <c r="AE190" i="122"/>
  <c r="AD190" i="122"/>
  <c r="AC190" i="122"/>
  <c r="AB190" i="122"/>
  <c r="Z190" i="122"/>
  <c r="Y190" i="122"/>
  <c r="X190" i="122"/>
  <c r="W190" i="122"/>
  <c r="V190" i="122"/>
  <c r="U190" i="122"/>
  <c r="T190" i="122"/>
  <c r="S190" i="122"/>
  <c r="E190" i="122"/>
  <c r="D190" i="122"/>
  <c r="C190" i="122"/>
  <c r="B190" i="122"/>
  <c r="A190" i="122"/>
  <c r="AG189" i="122"/>
  <c r="AF189" i="122"/>
  <c r="AE189" i="122"/>
  <c r="AD189" i="122"/>
  <c r="AC189" i="122"/>
  <c r="AB189" i="122"/>
  <c r="Z189" i="122"/>
  <c r="Y189" i="122"/>
  <c r="X189" i="122"/>
  <c r="W189" i="122"/>
  <c r="V189" i="122"/>
  <c r="U189" i="122"/>
  <c r="T189" i="122"/>
  <c r="S189" i="122"/>
  <c r="E189" i="122"/>
  <c r="D189" i="122"/>
  <c r="C189" i="122"/>
  <c r="B189" i="122"/>
  <c r="A189" i="122"/>
  <c r="AG188" i="122"/>
  <c r="AF188" i="122"/>
  <c r="AE188" i="122"/>
  <c r="AD188" i="122"/>
  <c r="AC188" i="122"/>
  <c r="AB188" i="122"/>
  <c r="Z188" i="122"/>
  <c r="Y188" i="122"/>
  <c r="X188" i="122"/>
  <c r="W188" i="122"/>
  <c r="V188" i="122"/>
  <c r="U188" i="122"/>
  <c r="T188" i="122"/>
  <c r="S188" i="122"/>
  <c r="E188" i="122"/>
  <c r="D188" i="122"/>
  <c r="C188" i="122"/>
  <c r="B188" i="122"/>
  <c r="A188" i="122"/>
  <c r="Z187" i="122"/>
  <c r="Y187" i="122"/>
  <c r="X187" i="122"/>
  <c r="E187" i="122"/>
  <c r="D187" i="122"/>
  <c r="C187" i="122"/>
  <c r="B187" i="122"/>
  <c r="A187" i="122"/>
  <c r="Z186" i="122"/>
  <c r="Y186" i="122"/>
  <c r="X186" i="122"/>
  <c r="E186" i="122"/>
  <c r="D186" i="122"/>
  <c r="C186" i="122"/>
  <c r="B186" i="122"/>
  <c r="A186" i="122"/>
  <c r="Z185" i="122"/>
  <c r="Y185" i="122"/>
  <c r="X185" i="122"/>
  <c r="E185" i="122"/>
  <c r="D185" i="122"/>
  <c r="C185" i="122"/>
  <c r="B185" i="122"/>
  <c r="A185" i="122"/>
  <c r="E184" i="122"/>
  <c r="D184" i="122"/>
  <c r="C184" i="122"/>
  <c r="B184" i="122"/>
  <c r="A184" i="122"/>
  <c r="AG183" i="122"/>
  <c r="AF183" i="122"/>
  <c r="AE183" i="122"/>
  <c r="AD183" i="122"/>
  <c r="AC183" i="122"/>
  <c r="AB183" i="122"/>
  <c r="Z183" i="122"/>
  <c r="Y183" i="122"/>
  <c r="X183" i="122"/>
  <c r="W183" i="122"/>
  <c r="V183" i="122"/>
  <c r="U183" i="122"/>
  <c r="T183" i="122"/>
  <c r="S183" i="122"/>
  <c r="E183" i="122"/>
  <c r="D183" i="122"/>
  <c r="C183" i="122"/>
  <c r="B183" i="122"/>
  <c r="A183" i="122"/>
  <c r="AG182" i="122"/>
  <c r="AF182" i="122"/>
  <c r="AE182" i="122"/>
  <c r="AD182" i="122"/>
  <c r="AC182" i="122"/>
  <c r="AB182" i="122"/>
  <c r="Z182" i="122"/>
  <c r="Y182" i="122"/>
  <c r="X182" i="122"/>
  <c r="W182" i="122"/>
  <c r="V182" i="122"/>
  <c r="U182" i="122"/>
  <c r="T182" i="122"/>
  <c r="S182" i="122"/>
  <c r="E182" i="122"/>
  <c r="D182" i="122"/>
  <c r="C182" i="122"/>
  <c r="B182" i="122"/>
  <c r="A182" i="122"/>
  <c r="AG181" i="122"/>
  <c r="AF181" i="122"/>
  <c r="AE181" i="122"/>
  <c r="AD181" i="122"/>
  <c r="AC181" i="122"/>
  <c r="AB181" i="122"/>
  <c r="Z181" i="122"/>
  <c r="Y181" i="122"/>
  <c r="X181" i="122"/>
  <c r="W181" i="122"/>
  <c r="V181" i="122"/>
  <c r="U181" i="122"/>
  <c r="T181" i="122"/>
  <c r="S181" i="122"/>
  <c r="E181" i="122"/>
  <c r="D181" i="122"/>
  <c r="C181" i="122"/>
  <c r="B181" i="122"/>
  <c r="A181" i="122"/>
  <c r="Z180" i="122"/>
  <c r="Y180" i="122"/>
  <c r="X180" i="122"/>
  <c r="E180" i="122"/>
  <c r="D180" i="122"/>
  <c r="C180" i="122"/>
  <c r="B180" i="122"/>
  <c r="A180" i="122"/>
  <c r="Z179" i="122"/>
  <c r="Y179" i="122"/>
  <c r="X179" i="122"/>
  <c r="E179" i="122"/>
  <c r="D179" i="122"/>
  <c r="C179" i="122"/>
  <c r="B179" i="122"/>
  <c r="A179" i="122"/>
  <c r="Z178" i="122"/>
  <c r="Y178" i="122"/>
  <c r="X178" i="122"/>
  <c r="E178" i="122"/>
  <c r="D178" i="122"/>
  <c r="C178" i="122"/>
  <c r="B178" i="122"/>
  <c r="A178" i="122"/>
  <c r="E177" i="122"/>
  <c r="D177" i="122"/>
  <c r="C177" i="122"/>
  <c r="B177" i="122"/>
  <c r="A177" i="122"/>
  <c r="AG176" i="122"/>
  <c r="AF176" i="122"/>
  <c r="AE176" i="122"/>
  <c r="AD176" i="122"/>
  <c r="AC176" i="122"/>
  <c r="AB176" i="122"/>
  <c r="Z176" i="122"/>
  <c r="Y176" i="122"/>
  <c r="X176" i="122"/>
  <c r="W176" i="122"/>
  <c r="V176" i="122"/>
  <c r="U176" i="122"/>
  <c r="T176" i="122"/>
  <c r="S176" i="122"/>
  <c r="E176" i="122"/>
  <c r="D176" i="122"/>
  <c r="C176" i="122"/>
  <c r="B176" i="122"/>
  <c r="A176" i="122"/>
  <c r="AG175" i="122"/>
  <c r="AF175" i="122"/>
  <c r="AE175" i="122"/>
  <c r="AD175" i="122"/>
  <c r="AC175" i="122"/>
  <c r="AB175" i="122"/>
  <c r="Z175" i="122"/>
  <c r="Y175" i="122"/>
  <c r="X175" i="122"/>
  <c r="W175" i="122"/>
  <c r="V175" i="122"/>
  <c r="U175" i="122"/>
  <c r="T175" i="122"/>
  <c r="S175" i="122"/>
  <c r="E175" i="122"/>
  <c r="D175" i="122"/>
  <c r="C175" i="122"/>
  <c r="B175" i="122"/>
  <c r="A175" i="122"/>
  <c r="AG174" i="122"/>
  <c r="AF174" i="122"/>
  <c r="AE174" i="122"/>
  <c r="AD174" i="122"/>
  <c r="AC174" i="122"/>
  <c r="AB174" i="122"/>
  <c r="Z174" i="122"/>
  <c r="Y174" i="122"/>
  <c r="X174" i="122"/>
  <c r="W174" i="122"/>
  <c r="V174" i="122"/>
  <c r="U174" i="122"/>
  <c r="T174" i="122"/>
  <c r="S174" i="122"/>
  <c r="E174" i="122"/>
  <c r="D174" i="122"/>
  <c r="C174" i="122"/>
  <c r="B174" i="122"/>
  <c r="A174" i="122"/>
  <c r="Z173" i="122"/>
  <c r="Y173" i="122"/>
  <c r="X173" i="122"/>
  <c r="E173" i="122"/>
  <c r="D173" i="122"/>
  <c r="C173" i="122"/>
  <c r="B173" i="122"/>
  <c r="A173" i="122"/>
  <c r="Z172" i="122"/>
  <c r="Y172" i="122"/>
  <c r="X172" i="122"/>
  <c r="F172" i="122"/>
  <c r="Z171" i="122"/>
  <c r="Y171" i="122"/>
  <c r="X171" i="122"/>
  <c r="E170" i="122"/>
  <c r="D170" i="122"/>
  <c r="C170" i="122"/>
  <c r="B170" i="122"/>
  <c r="A170" i="122"/>
  <c r="AG169" i="122"/>
  <c r="AF169" i="122"/>
  <c r="AE169" i="122"/>
  <c r="AD169" i="122"/>
  <c r="AC169" i="122"/>
  <c r="AB169" i="122"/>
  <c r="Z169" i="122"/>
  <c r="Y169" i="122"/>
  <c r="X169" i="122"/>
  <c r="W169" i="122"/>
  <c r="V169" i="122"/>
  <c r="U169" i="122"/>
  <c r="T169" i="122"/>
  <c r="S169" i="122"/>
  <c r="E169" i="122"/>
  <c r="D169" i="122"/>
  <c r="C169" i="122"/>
  <c r="B169" i="122"/>
  <c r="A169" i="122"/>
  <c r="AG168" i="122"/>
  <c r="AF168" i="122"/>
  <c r="AE168" i="122"/>
  <c r="AD168" i="122"/>
  <c r="AC168" i="122"/>
  <c r="AB168" i="122"/>
  <c r="Z168" i="122"/>
  <c r="Y168" i="122"/>
  <c r="X168" i="122"/>
  <c r="W168" i="122"/>
  <c r="V168" i="122"/>
  <c r="U168" i="122"/>
  <c r="T168" i="122"/>
  <c r="S168" i="122"/>
  <c r="E168" i="122"/>
  <c r="D168" i="122"/>
  <c r="C168" i="122"/>
  <c r="B168" i="122"/>
  <c r="A168" i="122"/>
  <c r="AG167" i="122"/>
  <c r="AF167" i="122"/>
  <c r="AE167" i="122"/>
  <c r="AD167" i="122"/>
  <c r="AC167" i="122"/>
  <c r="AB167" i="122"/>
  <c r="Z167" i="122"/>
  <c r="Y167" i="122"/>
  <c r="X167" i="122"/>
  <c r="W167" i="122"/>
  <c r="V167" i="122"/>
  <c r="U167" i="122"/>
  <c r="T167" i="122"/>
  <c r="S167" i="122"/>
  <c r="E167" i="122"/>
  <c r="D167" i="122"/>
  <c r="C167" i="122"/>
  <c r="B167" i="122"/>
  <c r="A167" i="122"/>
  <c r="Z166" i="122"/>
  <c r="Y166" i="122"/>
  <c r="X166" i="122"/>
  <c r="E166" i="122"/>
  <c r="D166" i="122"/>
  <c r="C166" i="122"/>
  <c r="B166" i="122"/>
  <c r="A166" i="122"/>
  <c r="Z165" i="122"/>
  <c r="Y165" i="122"/>
  <c r="X165" i="122"/>
  <c r="E165" i="122"/>
  <c r="D165" i="122"/>
  <c r="C165" i="122"/>
  <c r="B165" i="122"/>
  <c r="A165" i="122"/>
  <c r="Z164" i="122"/>
  <c r="Y164" i="122"/>
  <c r="X164" i="122"/>
  <c r="E164" i="122"/>
  <c r="D164" i="122"/>
  <c r="C164" i="122"/>
  <c r="B164" i="122"/>
  <c r="A164" i="122"/>
  <c r="E163" i="122"/>
  <c r="D163" i="122"/>
  <c r="C163" i="122"/>
  <c r="B163" i="122"/>
  <c r="A163" i="122"/>
  <c r="AG162" i="122"/>
  <c r="AF162" i="122"/>
  <c r="AE162" i="122"/>
  <c r="AD162" i="122"/>
  <c r="AC162" i="122"/>
  <c r="AB162" i="122"/>
  <c r="Z162" i="122"/>
  <c r="Y162" i="122"/>
  <c r="X162" i="122"/>
  <c r="W162" i="122"/>
  <c r="V162" i="122"/>
  <c r="U162" i="122"/>
  <c r="T162" i="122"/>
  <c r="S162" i="122"/>
  <c r="E162" i="122"/>
  <c r="D162" i="122"/>
  <c r="C162" i="122"/>
  <c r="B162" i="122"/>
  <c r="A162" i="122"/>
  <c r="AG161" i="122"/>
  <c r="AF161" i="122"/>
  <c r="AE161" i="122"/>
  <c r="AD161" i="122"/>
  <c r="AC161" i="122"/>
  <c r="AB161" i="122"/>
  <c r="Z161" i="122"/>
  <c r="Y161" i="122"/>
  <c r="X161" i="122"/>
  <c r="W161" i="122"/>
  <c r="V161" i="122"/>
  <c r="U161" i="122"/>
  <c r="T161" i="122"/>
  <c r="S161" i="122"/>
  <c r="E161" i="122"/>
  <c r="D161" i="122"/>
  <c r="C161" i="122"/>
  <c r="B161" i="122"/>
  <c r="A161" i="122"/>
  <c r="AG160" i="122"/>
  <c r="AF160" i="122"/>
  <c r="AE160" i="122"/>
  <c r="AD160" i="122"/>
  <c r="AC160" i="122"/>
  <c r="AB160" i="122"/>
  <c r="Z160" i="122"/>
  <c r="Y160" i="122"/>
  <c r="X160" i="122"/>
  <c r="W160" i="122"/>
  <c r="V160" i="122"/>
  <c r="U160" i="122"/>
  <c r="T160" i="122"/>
  <c r="S160" i="122"/>
  <c r="E160" i="122"/>
  <c r="D160" i="122"/>
  <c r="C160" i="122"/>
  <c r="B160" i="122"/>
  <c r="A160" i="122"/>
  <c r="Z159" i="122"/>
  <c r="Y159" i="122"/>
  <c r="X159" i="122"/>
  <c r="E159" i="122"/>
  <c r="D159" i="122"/>
  <c r="C159" i="122"/>
  <c r="B159" i="122"/>
  <c r="A159" i="122"/>
  <c r="Z158" i="122"/>
  <c r="X158" i="122"/>
  <c r="Z157" i="122"/>
  <c r="Y157" i="122"/>
  <c r="X157" i="122"/>
  <c r="AG155" i="122"/>
  <c r="AF155" i="122"/>
  <c r="AE155" i="122"/>
  <c r="AD155" i="122"/>
  <c r="AC155" i="122"/>
  <c r="AB155" i="122"/>
  <c r="Z155" i="122"/>
  <c r="Y155" i="122"/>
  <c r="X155" i="122"/>
  <c r="W155" i="122"/>
  <c r="V155" i="122"/>
  <c r="U155" i="122"/>
  <c r="T155" i="122"/>
  <c r="S155" i="122"/>
  <c r="AG154" i="122"/>
  <c r="AF154" i="122"/>
  <c r="AE154" i="122"/>
  <c r="AD154" i="122"/>
  <c r="AC154" i="122"/>
  <c r="AB154" i="122"/>
  <c r="Z154" i="122"/>
  <c r="Y154" i="122"/>
  <c r="X154" i="122"/>
  <c r="W154" i="122"/>
  <c r="V154" i="122"/>
  <c r="U154" i="122"/>
  <c r="T154" i="122"/>
  <c r="S154" i="122"/>
  <c r="AG153" i="122"/>
  <c r="AF153" i="122"/>
  <c r="AE153" i="122"/>
  <c r="AD153" i="122"/>
  <c r="AC153" i="122"/>
  <c r="AB153" i="122"/>
  <c r="Z153" i="122"/>
  <c r="Y153" i="122"/>
  <c r="X153" i="122"/>
  <c r="W153" i="122"/>
  <c r="V153" i="122"/>
  <c r="U153" i="122"/>
  <c r="T153" i="122"/>
  <c r="S153" i="122"/>
  <c r="Z152" i="122"/>
  <c r="Y152" i="122"/>
  <c r="X152" i="122"/>
  <c r="Z151" i="122"/>
  <c r="Y151" i="122"/>
  <c r="X151" i="122"/>
  <c r="Z150" i="122"/>
  <c r="Y150" i="122"/>
  <c r="X150" i="122"/>
  <c r="AG148" i="122"/>
  <c r="AF148" i="122"/>
  <c r="AE148" i="122"/>
  <c r="AD148" i="122"/>
  <c r="AC148" i="122"/>
  <c r="AB148" i="122"/>
  <c r="Z148" i="122"/>
  <c r="Y148" i="122"/>
  <c r="X148" i="122"/>
  <c r="W148" i="122"/>
  <c r="V148" i="122"/>
  <c r="U148" i="122"/>
  <c r="T148" i="122"/>
  <c r="S148" i="122"/>
  <c r="AG147" i="122"/>
  <c r="AF147" i="122"/>
  <c r="AE147" i="122"/>
  <c r="AD147" i="122"/>
  <c r="AC147" i="122"/>
  <c r="AB147" i="122"/>
  <c r="Z147" i="122"/>
  <c r="Y147" i="122"/>
  <c r="X147" i="122"/>
  <c r="W147" i="122"/>
  <c r="V147" i="122"/>
  <c r="U147" i="122"/>
  <c r="T147" i="122"/>
  <c r="S147" i="122"/>
  <c r="AG146" i="122"/>
  <c r="AF146" i="122"/>
  <c r="AE146" i="122"/>
  <c r="AD146" i="122"/>
  <c r="AC146" i="122"/>
  <c r="AB146" i="122"/>
  <c r="Z146" i="122"/>
  <c r="Y146" i="122"/>
  <c r="X146" i="122"/>
  <c r="W146" i="122"/>
  <c r="V146" i="122"/>
  <c r="U146" i="122"/>
  <c r="T146" i="122"/>
  <c r="S146" i="122"/>
  <c r="Z145" i="122"/>
  <c r="Y145" i="122"/>
  <c r="X145" i="122"/>
  <c r="Z144" i="122"/>
  <c r="Y144" i="122"/>
  <c r="X144" i="122"/>
  <c r="Z143" i="122"/>
  <c r="Y143" i="122"/>
  <c r="X143" i="122"/>
  <c r="AG141" i="122"/>
  <c r="AF141" i="122"/>
  <c r="AE141" i="122"/>
  <c r="AD141" i="122"/>
  <c r="AC141" i="122"/>
  <c r="AB141" i="122"/>
  <c r="Z141" i="122"/>
  <c r="Y141" i="122"/>
  <c r="X141" i="122"/>
  <c r="W141" i="122"/>
  <c r="V141" i="122"/>
  <c r="U141" i="122"/>
  <c r="T141" i="122"/>
  <c r="S141" i="122"/>
  <c r="AG140" i="122"/>
  <c r="AF140" i="122"/>
  <c r="AE140" i="122"/>
  <c r="AD140" i="122"/>
  <c r="AC140" i="122"/>
  <c r="AB140" i="122"/>
  <c r="Z140" i="122"/>
  <c r="Y140" i="122"/>
  <c r="X140" i="122"/>
  <c r="W140" i="122"/>
  <c r="V140" i="122"/>
  <c r="U140" i="122"/>
  <c r="T140" i="122"/>
  <c r="S140" i="122"/>
  <c r="AG139" i="122"/>
  <c r="AF139" i="122"/>
  <c r="AE139" i="122"/>
  <c r="AD139" i="122"/>
  <c r="AC139" i="122"/>
  <c r="AB139" i="122"/>
  <c r="Z139" i="122"/>
  <c r="Y139" i="122"/>
  <c r="X139" i="122"/>
  <c r="W139" i="122"/>
  <c r="V139" i="122"/>
  <c r="U139" i="122"/>
  <c r="T139" i="122"/>
  <c r="S139" i="122"/>
  <c r="Z138" i="122"/>
  <c r="Y138" i="122"/>
  <c r="X138" i="122"/>
  <c r="Z137" i="122"/>
  <c r="Y137" i="122"/>
  <c r="X137" i="122"/>
  <c r="Z136" i="122"/>
  <c r="Y136" i="122"/>
  <c r="X136" i="122"/>
  <c r="AG134" i="122"/>
  <c r="AF134" i="122"/>
  <c r="AE134" i="122"/>
  <c r="AD134" i="122"/>
  <c r="AC134" i="122"/>
  <c r="AB134" i="122"/>
  <c r="Z134" i="122"/>
  <c r="Y134" i="122"/>
  <c r="X134" i="122"/>
  <c r="W134" i="122"/>
  <c r="V134" i="122"/>
  <c r="U134" i="122"/>
  <c r="T134" i="122"/>
  <c r="S134" i="122"/>
  <c r="AG133" i="122"/>
  <c r="AF133" i="122"/>
  <c r="AE133" i="122"/>
  <c r="AD133" i="122"/>
  <c r="AC133" i="122"/>
  <c r="AB133" i="122"/>
  <c r="Z133" i="122"/>
  <c r="Y133" i="122"/>
  <c r="X133" i="122"/>
  <c r="W133" i="122"/>
  <c r="V133" i="122"/>
  <c r="U133" i="122"/>
  <c r="T133" i="122"/>
  <c r="S133" i="122"/>
  <c r="AG132" i="122"/>
  <c r="AF132" i="122"/>
  <c r="AE132" i="122"/>
  <c r="AD132" i="122"/>
  <c r="AC132" i="122"/>
  <c r="AB132" i="122"/>
  <c r="Z132" i="122"/>
  <c r="Y132" i="122"/>
  <c r="X132" i="122"/>
  <c r="W132" i="122"/>
  <c r="V132" i="122"/>
  <c r="U132" i="122"/>
  <c r="T132" i="122"/>
  <c r="S132" i="122"/>
  <c r="Z131" i="122"/>
  <c r="Y131" i="122"/>
  <c r="X131" i="122"/>
  <c r="E131" i="122"/>
  <c r="D131" i="122"/>
  <c r="C131" i="122"/>
  <c r="B131" i="122"/>
  <c r="A131" i="122"/>
  <c r="Z130" i="122"/>
  <c r="Y130" i="122"/>
  <c r="X130" i="122"/>
  <c r="E130" i="122"/>
  <c r="D130" i="122"/>
  <c r="C130" i="122"/>
  <c r="B130" i="122"/>
  <c r="A130" i="122"/>
  <c r="Z129" i="122"/>
  <c r="Y129" i="122"/>
  <c r="X129" i="122"/>
  <c r="AG127" i="122"/>
  <c r="AF127" i="122"/>
  <c r="AE127" i="122"/>
  <c r="AD127" i="122"/>
  <c r="AC127" i="122"/>
  <c r="AB127" i="122"/>
  <c r="Z127" i="122"/>
  <c r="Y127" i="122"/>
  <c r="X127" i="122"/>
  <c r="W127" i="122"/>
  <c r="V127" i="122"/>
  <c r="U127" i="122"/>
  <c r="T127" i="122"/>
  <c r="S127" i="122"/>
  <c r="E127" i="122"/>
  <c r="D127" i="122"/>
  <c r="C127" i="122"/>
  <c r="B127" i="122"/>
  <c r="A127" i="122"/>
  <c r="AG126" i="122"/>
  <c r="AF126" i="122"/>
  <c r="AE126" i="122"/>
  <c r="AD126" i="122"/>
  <c r="AC126" i="122"/>
  <c r="AB126" i="122"/>
  <c r="Z126" i="122"/>
  <c r="Y126" i="122"/>
  <c r="X126" i="122"/>
  <c r="W126" i="122"/>
  <c r="V126" i="122"/>
  <c r="U126" i="122"/>
  <c r="T126" i="122"/>
  <c r="S126" i="122"/>
  <c r="E126" i="122"/>
  <c r="D126" i="122"/>
  <c r="C126" i="122"/>
  <c r="B126" i="122"/>
  <c r="A126" i="122"/>
  <c r="AG125" i="122"/>
  <c r="AF125" i="122"/>
  <c r="AE125" i="122"/>
  <c r="AD125" i="122"/>
  <c r="AC125" i="122"/>
  <c r="AB125" i="122"/>
  <c r="Z125" i="122"/>
  <c r="Y125" i="122"/>
  <c r="X125" i="122"/>
  <c r="W125" i="122"/>
  <c r="V125" i="122"/>
  <c r="U125" i="122"/>
  <c r="T125" i="122"/>
  <c r="S125" i="122"/>
  <c r="E125" i="122"/>
  <c r="D125" i="122"/>
  <c r="C125" i="122"/>
  <c r="B125" i="122"/>
  <c r="A125" i="122"/>
  <c r="Z124" i="122"/>
  <c r="Y124" i="122"/>
  <c r="X124" i="122"/>
  <c r="Z123" i="122"/>
  <c r="Y123" i="122"/>
  <c r="X123" i="122"/>
  <c r="E123" i="122"/>
  <c r="D123" i="122"/>
  <c r="C123" i="122"/>
  <c r="B123" i="122"/>
  <c r="A123" i="122"/>
  <c r="Z122" i="122"/>
  <c r="Y122" i="122"/>
  <c r="X122" i="122"/>
  <c r="E121" i="122"/>
  <c r="D121" i="122"/>
  <c r="C121" i="122"/>
  <c r="B121" i="122"/>
  <c r="A121" i="122"/>
  <c r="AG120" i="122"/>
  <c r="AF120" i="122"/>
  <c r="AE120" i="122"/>
  <c r="AD120" i="122"/>
  <c r="AC120" i="122"/>
  <c r="AB120" i="122"/>
  <c r="Z120" i="122"/>
  <c r="Y120" i="122"/>
  <c r="X120" i="122"/>
  <c r="W120" i="122"/>
  <c r="V120" i="122"/>
  <c r="U120" i="122"/>
  <c r="T120" i="122"/>
  <c r="S120" i="122"/>
  <c r="AG119" i="122"/>
  <c r="AF119" i="122"/>
  <c r="AE119" i="122"/>
  <c r="AD119" i="122"/>
  <c r="AC119" i="122"/>
  <c r="AB119" i="122"/>
  <c r="Z119" i="122"/>
  <c r="Y119" i="122"/>
  <c r="X119" i="122"/>
  <c r="W119" i="122"/>
  <c r="V119" i="122"/>
  <c r="U119" i="122"/>
  <c r="T119" i="122"/>
  <c r="S119" i="122"/>
  <c r="E119" i="122"/>
  <c r="D119" i="122"/>
  <c r="C119" i="122"/>
  <c r="B119" i="122"/>
  <c r="A119" i="122"/>
  <c r="Z118" i="122"/>
  <c r="Y118" i="122"/>
  <c r="X118" i="122"/>
  <c r="E118" i="122"/>
  <c r="D118" i="122"/>
  <c r="C118" i="122"/>
  <c r="B118" i="122"/>
  <c r="A118" i="122"/>
  <c r="Z117" i="122"/>
  <c r="Y117" i="122"/>
  <c r="X117" i="122"/>
  <c r="E117" i="122"/>
  <c r="D117" i="122"/>
  <c r="C117" i="122"/>
  <c r="B117" i="122"/>
  <c r="A117" i="122"/>
  <c r="Z116" i="122"/>
  <c r="Y116" i="122"/>
  <c r="X116" i="122"/>
  <c r="E116" i="122"/>
  <c r="D116" i="122"/>
  <c r="C116" i="122"/>
  <c r="B116" i="122"/>
  <c r="A116" i="122"/>
  <c r="Z115" i="122"/>
  <c r="Y115" i="122"/>
  <c r="X115" i="122"/>
  <c r="E115" i="122"/>
  <c r="D115" i="122"/>
  <c r="C115" i="122"/>
  <c r="B115" i="122"/>
  <c r="A115" i="122"/>
  <c r="E114" i="122"/>
  <c r="D114" i="122"/>
  <c r="C114" i="122"/>
  <c r="B114" i="122"/>
  <c r="A114" i="122"/>
  <c r="AG113" i="122"/>
  <c r="AF113" i="122"/>
  <c r="AE113" i="122"/>
  <c r="AD113" i="122"/>
  <c r="AC113" i="122"/>
  <c r="AB113" i="122"/>
  <c r="Z113" i="122"/>
  <c r="Y113" i="122"/>
  <c r="X113" i="122"/>
  <c r="W113" i="122"/>
  <c r="V113" i="122"/>
  <c r="U113" i="122"/>
  <c r="T113" i="122"/>
  <c r="S113" i="122"/>
  <c r="AG112" i="122"/>
  <c r="AF112" i="122"/>
  <c r="AE112" i="122"/>
  <c r="AD112" i="122"/>
  <c r="AC112" i="122"/>
  <c r="AB112" i="122"/>
  <c r="Z112" i="122"/>
  <c r="Y112" i="122"/>
  <c r="X112" i="122"/>
  <c r="W112" i="122"/>
  <c r="V112" i="122"/>
  <c r="U112" i="122"/>
  <c r="T112" i="122"/>
  <c r="S112" i="122"/>
  <c r="E112" i="122"/>
  <c r="D112" i="122"/>
  <c r="C112" i="122"/>
  <c r="B112" i="122"/>
  <c r="A112" i="122"/>
  <c r="Z111" i="122"/>
  <c r="Y111" i="122"/>
  <c r="X111" i="122"/>
  <c r="E111" i="122"/>
  <c r="D111" i="122"/>
  <c r="C111" i="122"/>
  <c r="B111" i="122"/>
  <c r="A111" i="122"/>
  <c r="Z110" i="122"/>
  <c r="Y110" i="122"/>
  <c r="X110" i="122"/>
  <c r="E110" i="122"/>
  <c r="D110" i="122"/>
  <c r="C110" i="122"/>
  <c r="B110" i="122"/>
  <c r="A110" i="122"/>
  <c r="Z109" i="122"/>
  <c r="Y109" i="122"/>
  <c r="X109" i="122"/>
  <c r="Z108" i="122"/>
  <c r="Y108" i="122"/>
  <c r="X108" i="122"/>
  <c r="E108" i="122"/>
  <c r="D108" i="122"/>
  <c r="C108" i="122"/>
  <c r="B108" i="122"/>
  <c r="A108" i="122"/>
  <c r="E107" i="122"/>
  <c r="D107" i="122"/>
  <c r="C107" i="122"/>
  <c r="B107" i="122"/>
  <c r="A107" i="122"/>
  <c r="Z106" i="122"/>
  <c r="Y106" i="122"/>
  <c r="X106" i="122"/>
  <c r="E106" i="122"/>
  <c r="D106" i="122"/>
  <c r="C106" i="122"/>
  <c r="B106" i="122"/>
  <c r="A106" i="122"/>
  <c r="Z105" i="122"/>
  <c r="Y105" i="122"/>
  <c r="X105" i="122"/>
  <c r="Z104" i="122"/>
  <c r="Y104" i="122"/>
  <c r="X104" i="122"/>
  <c r="E104" i="122"/>
  <c r="D104" i="122"/>
  <c r="C104" i="122"/>
  <c r="B104" i="122"/>
  <c r="A104" i="122"/>
  <c r="Z103" i="122"/>
  <c r="Y103" i="122"/>
  <c r="X103" i="122"/>
  <c r="E103" i="122"/>
  <c r="D103" i="122"/>
  <c r="C103" i="122"/>
  <c r="B103" i="122"/>
  <c r="A103" i="122"/>
  <c r="Z102" i="122"/>
  <c r="Y102" i="122"/>
  <c r="X102" i="122"/>
  <c r="E102" i="122"/>
  <c r="D102" i="122"/>
  <c r="C102" i="122"/>
  <c r="B102" i="122"/>
  <c r="A102" i="122"/>
  <c r="Z101" i="122"/>
  <c r="Y101" i="122"/>
  <c r="X101" i="122"/>
  <c r="Z99" i="122"/>
  <c r="Y99" i="122"/>
  <c r="X99" i="122"/>
  <c r="E99" i="122"/>
  <c r="D99" i="122"/>
  <c r="C99" i="122"/>
  <c r="B99" i="122"/>
  <c r="A99" i="122"/>
  <c r="Z98" i="122"/>
  <c r="Y98" i="122"/>
  <c r="X98" i="122"/>
  <c r="E98" i="122"/>
  <c r="D98" i="122"/>
  <c r="C98" i="122"/>
  <c r="B98" i="122"/>
  <c r="A98" i="122"/>
  <c r="Z97" i="122"/>
  <c r="Y97" i="122"/>
  <c r="X97" i="122"/>
  <c r="Z96" i="122"/>
  <c r="Y96" i="122"/>
  <c r="X96" i="122"/>
  <c r="E96" i="122"/>
  <c r="D96" i="122"/>
  <c r="C96" i="122"/>
  <c r="B96" i="122"/>
  <c r="A96" i="122"/>
  <c r="Z95" i="122"/>
  <c r="Y95" i="122"/>
  <c r="X95" i="122"/>
  <c r="E95" i="122"/>
  <c r="D95" i="122"/>
  <c r="C95" i="122"/>
  <c r="B95" i="122"/>
  <c r="A95" i="122"/>
  <c r="Z94" i="122"/>
  <c r="Y94" i="122"/>
  <c r="X94" i="122"/>
  <c r="E94" i="122"/>
  <c r="D94" i="122"/>
  <c r="C94" i="122"/>
  <c r="B94" i="122"/>
  <c r="A94" i="122"/>
  <c r="AG92" i="122"/>
  <c r="AF92" i="122"/>
  <c r="AE92" i="122"/>
  <c r="AD92" i="122"/>
  <c r="AC92" i="122"/>
  <c r="AB92" i="122"/>
  <c r="Z92" i="122"/>
  <c r="Y92" i="122"/>
  <c r="X92" i="122"/>
  <c r="W92" i="122"/>
  <c r="V92" i="122"/>
  <c r="U92" i="122"/>
  <c r="T92" i="122"/>
  <c r="S92" i="122"/>
  <c r="E92" i="122"/>
  <c r="D92" i="122"/>
  <c r="C92" i="122"/>
  <c r="B92" i="122"/>
  <c r="A92" i="122"/>
  <c r="AG91" i="122"/>
  <c r="AF91" i="122"/>
  <c r="AE91" i="122"/>
  <c r="AD91" i="122"/>
  <c r="AC91" i="122"/>
  <c r="AB91" i="122"/>
  <c r="Z91" i="122"/>
  <c r="Y91" i="122"/>
  <c r="X91" i="122"/>
  <c r="W91" i="122"/>
  <c r="V91" i="122"/>
  <c r="U91" i="122"/>
  <c r="T91" i="122"/>
  <c r="S91" i="122"/>
  <c r="E91" i="122"/>
  <c r="D91" i="122"/>
  <c r="C91" i="122"/>
  <c r="B91" i="122"/>
  <c r="A91" i="122"/>
  <c r="AG90" i="122"/>
  <c r="AF90" i="122"/>
  <c r="AE90" i="122"/>
  <c r="AD90" i="122"/>
  <c r="AC90" i="122"/>
  <c r="AB90" i="122"/>
  <c r="Z90" i="122"/>
  <c r="Y90" i="122"/>
  <c r="X90" i="122"/>
  <c r="W90" i="122"/>
  <c r="V90" i="122"/>
  <c r="U90" i="122"/>
  <c r="T90" i="122"/>
  <c r="S90" i="122"/>
  <c r="E90" i="122"/>
  <c r="D90" i="122"/>
  <c r="C90" i="122"/>
  <c r="B90" i="122"/>
  <c r="A90" i="122"/>
  <c r="Z89" i="122"/>
  <c r="Y89" i="122"/>
  <c r="X89" i="122"/>
  <c r="Z88" i="122"/>
  <c r="Y88" i="122"/>
  <c r="X88" i="122"/>
  <c r="E88" i="122"/>
  <c r="D88" i="122"/>
  <c r="C88" i="122"/>
  <c r="B88" i="122"/>
  <c r="A88" i="122"/>
  <c r="Z87" i="122"/>
  <c r="Y87" i="122"/>
  <c r="X87" i="122"/>
  <c r="E87" i="122"/>
  <c r="D87" i="122"/>
  <c r="C87" i="122"/>
  <c r="B87" i="122"/>
  <c r="A87" i="122"/>
  <c r="E86" i="122"/>
  <c r="D86" i="122"/>
  <c r="C86" i="122"/>
  <c r="B86" i="122"/>
  <c r="A86" i="122"/>
  <c r="AG85" i="122"/>
  <c r="AF85" i="122"/>
  <c r="AE85" i="122"/>
  <c r="AD85" i="122"/>
  <c r="AC85" i="122"/>
  <c r="AB85" i="122"/>
  <c r="Z85" i="122"/>
  <c r="Y85" i="122"/>
  <c r="X85" i="122"/>
  <c r="W85" i="122"/>
  <c r="V85" i="122"/>
  <c r="U85" i="122"/>
  <c r="T85" i="122"/>
  <c r="S85" i="122"/>
  <c r="AG84" i="122"/>
  <c r="AF84" i="122"/>
  <c r="AE84" i="122"/>
  <c r="AD84" i="122"/>
  <c r="AC84" i="122"/>
  <c r="AB84" i="122"/>
  <c r="Z84" i="122"/>
  <c r="Y84" i="122"/>
  <c r="X84" i="122"/>
  <c r="W84" i="122"/>
  <c r="V84" i="122"/>
  <c r="U84" i="122"/>
  <c r="T84" i="122"/>
  <c r="S84" i="122"/>
  <c r="E84" i="122"/>
  <c r="D84" i="122"/>
  <c r="C84" i="122"/>
  <c r="B84" i="122"/>
  <c r="A84" i="122"/>
  <c r="AG83" i="122"/>
  <c r="AF83" i="122"/>
  <c r="AE83" i="122"/>
  <c r="AD83" i="122"/>
  <c r="AC83" i="122"/>
  <c r="AB83" i="122"/>
  <c r="Z83" i="122"/>
  <c r="Y83" i="122"/>
  <c r="X83" i="122"/>
  <c r="W83" i="122"/>
  <c r="V83" i="122"/>
  <c r="U83" i="122"/>
  <c r="T83" i="122"/>
  <c r="S83" i="122"/>
  <c r="E83" i="122"/>
  <c r="D83" i="122"/>
  <c r="C83" i="122"/>
  <c r="B83" i="122"/>
  <c r="A83" i="122"/>
  <c r="Z82" i="122"/>
  <c r="Y82" i="122"/>
  <c r="X82" i="122"/>
  <c r="E82" i="122"/>
  <c r="D82" i="122"/>
  <c r="C82" i="122"/>
  <c r="B82" i="122"/>
  <c r="A82" i="122"/>
  <c r="Z81" i="122"/>
  <c r="Y81" i="122"/>
  <c r="X81" i="122"/>
  <c r="Z80" i="122"/>
  <c r="Y80" i="122"/>
  <c r="X80" i="122"/>
  <c r="E79" i="122"/>
  <c r="D79" i="122"/>
  <c r="C79" i="122"/>
  <c r="B79" i="122"/>
  <c r="A79" i="122"/>
  <c r="AG78" i="122"/>
  <c r="AF78" i="122"/>
  <c r="AE78" i="122"/>
  <c r="AD78" i="122"/>
  <c r="AC78" i="122"/>
  <c r="AB78" i="122"/>
  <c r="Z78" i="122"/>
  <c r="Y78" i="122"/>
  <c r="X78" i="122"/>
  <c r="W78" i="122"/>
  <c r="V78" i="122"/>
  <c r="U78" i="122"/>
  <c r="T78" i="122"/>
  <c r="S78" i="122"/>
  <c r="E78" i="122"/>
  <c r="D78" i="122"/>
  <c r="C78" i="122"/>
  <c r="B78" i="122"/>
  <c r="A78" i="122"/>
  <c r="AG77" i="122"/>
  <c r="AF77" i="122"/>
  <c r="AE77" i="122"/>
  <c r="AD77" i="122"/>
  <c r="AC77" i="122"/>
  <c r="AB77" i="122"/>
  <c r="Z77" i="122"/>
  <c r="Y77" i="122"/>
  <c r="X77" i="122"/>
  <c r="W77" i="122"/>
  <c r="V77" i="122"/>
  <c r="U77" i="122"/>
  <c r="T77" i="122"/>
  <c r="S77" i="122"/>
  <c r="E77" i="122"/>
  <c r="D77" i="122"/>
  <c r="C77" i="122"/>
  <c r="B77" i="122"/>
  <c r="A77" i="122"/>
  <c r="AG76" i="122"/>
  <c r="AF76" i="122"/>
  <c r="AE76" i="122"/>
  <c r="AD76" i="122"/>
  <c r="AC76" i="122"/>
  <c r="AB76" i="122"/>
  <c r="Z76" i="122"/>
  <c r="Y76" i="122"/>
  <c r="X76" i="122"/>
  <c r="W76" i="122"/>
  <c r="V76" i="122"/>
  <c r="U76" i="122"/>
  <c r="T76" i="122"/>
  <c r="S76" i="122"/>
  <c r="Z75" i="122"/>
  <c r="Y75" i="122"/>
  <c r="X75" i="122"/>
  <c r="Z74" i="122"/>
  <c r="Y74" i="122"/>
  <c r="X74" i="122"/>
  <c r="Z73" i="122"/>
  <c r="Y73" i="122"/>
  <c r="X73" i="122"/>
  <c r="E72" i="122"/>
  <c r="D72" i="122"/>
  <c r="C72" i="122"/>
  <c r="B72" i="122"/>
  <c r="A72" i="122"/>
  <c r="AG71" i="122"/>
  <c r="AF71" i="122"/>
  <c r="AE71" i="122"/>
  <c r="AD71" i="122"/>
  <c r="AC71" i="122"/>
  <c r="AB71" i="122"/>
  <c r="Z71" i="122"/>
  <c r="Y71" i="122"/>
  <c r="X71" i="122"/>
  <c r="W71" i="122"/>
  <c r="V71" i="122"/>
  <c r="U71" i="122"/>
  <c r="T71" i="122"/>
  <c r="S71" i="122"/>
  <c r="Z70" i="122"/>
  <c r="Y70" i="122"/>
  <c r="X70" i="122"/>
  <c r="Z69" i="122"/>
  <c r="Y69" i="122"/>
  <c r="X69" i="122"/>
  <c r="Z68" i="122"/>
  <c r="Y68" i="122"/>
  <c r="X68" i="122"/>
  <c r="Z67" i="122"/>
  <c r="Y67" i="122"/>
  <c r="X67" i="122"/>
  <c r="E67" i="122"/>
  <c r="D67" i="122"/>
  <c r="C67" i="122"/>
  <c r="B67" i="122"/>
  <c r="A67" i="122"/>
  <c r="Z66" i="122"/>
  <c r="Y66" i="122"/>
  <c r="X66" i="122"/>
  <c r="E66" i="122"/>
  <c r="D66" i="122"/>
  <c r="C66" i="122"/>
  <c r="B66" i="122"/>
  <c r="A66" i="122"/>
  <c r="E65" i="122"/>
  <c r="D65" i="122"/>
  <c r="C65" i="122"/>
  <c r="B65" i="122"/>
  <c r="A65" i="122"/>
  <c r="Z64" i="122"/>
  <c r="Y64" i="122"/>
  <c r="X64" i="122"/>
  <c r="Z63" i="122"/>
  <c r="Y63" i="122"/>
  <c r="X63" i="122"/>
  <c r="Z62" i="122"/>
  <c r="Y62" i="122"/>
  <c r="X62" i="122"/>
  <c r="Z61" i="122"/>
  <c r="Y61" i="122"/>
  <c r="X61" i="122"/>
  <c r="Z60" i="122"/>
  <c r="Y60" i="122"/>
  <c r="X60" i="122"/>
  <c r="E60" i="122"/>
  <c r="D60" i="122"/>
  <c r="C60" i="122"/>
  <c r="B60" i="122"/>
  <c r="A60" i="122"/>
  <c r="Z59" i="122"/>
  <c r="Y59" i="122"/>
  <c r="X59" i="122"/>
  <c r="E59" i="122"/>
  <c r="D59" i="122"/>
  <c r="C59" i="122"/>
  <c r="B59" i="122"/>
  <c r="A59" i="122"/>
  <c r="E58" i="122"/>
  <c r="D58" i="122"/>
  <c r="C58" i="122"/>
  <c r="B58" i="122"/>
  <c r="A58" i="122"/>
  <c r="E56" i="122"/>
  <c r="D56" i="122"/>
  <c r="C56" i="122"/>
  <c r="B56" i="122"/>
  <c r="A56" i="122"/>
  <c r="E55" i="122"/>
  <c r="D55" i="122"/>
  <c r="C55" i="122"/>
  <c r="B55" i="122"/>
  <c r="A55" i="122"/>
  <c r="E54" i="122"/>
  <c r="D54" i="122"/>
  <c r="C54" i="122"/>
  <c r="B54" i="122"/>
  <c r="A54" i="122"/>
  <c r="E52" i="122"/>
  <c r="D52" i="122"/>
  <c r="C52" i="122"/>
  <c r="B52" i="122"/>
  <c r="A52" i="122"/>
  <c r="E51" i="122"/>
  <c r="D51" i="122"/>
  <c r="C51" i="122"/>
  <c r="B51" i="122"/>
  <c r="A51" i="122"/>
  <c r="E50" i="122"/>
  <c r="D50" i="122"/>
  <c r="C50" i="122"/>
  <c r="B50" i="122"/>
  <c r="A50" i="122"/>
  <c r="E48" i="122"/>
  <c r="D48" i="122"/>
  <c r="C48" i="122"/>
  <c r="B48" i="122"/>
  <c r="A48" i="122"/>
  <c r="E47" i="122"/>
  <c r="D47" i="122"/>
  <c r="C47" i="122"/>
  <c r="B47" i="122"/>
  <c r="A47" i="122"/>
  <c r="E46" i="122"/>
  <c r="D46" i="122"/>
  <c r="C46" i="122"/>
  <c r="B46" i="122"/>
  <c r="A46" i="122"/>
  <c r="E40" i="122"/>
  <c r="D40" i="122"/>
  <c r="C40" i="122"/>
  <c r="B40" i="122"/>
  <c r="A40" i="122"/>
  <c r="E39" i="122"/>
  <c r="D39" i="122"/>
  <c r="C39" i="122"/>
  <c r="B39" i="122"/>
  <c r="A39" i="122"/>
  <c r="E34" i="122"/>
  <c r="D34" i="122"/>
  <c r="C34" i="122"/>
  <c r="B34" i="122"/>
  <c r="A34" i="122"/>
  <c r="E33" i="122"/>
  <c r="D33" i="122"/>
  <c r="C33" i="122"/>
  <c r="B33" i="122"/>
  <c r="A33" i="122"/>
  <c r="E32" i="122"/>
  <c r="D32" i="122"/>
  <c r="C32" i="122"/>
  <c r="B32" i="122"/>
  <c r="A32" i="122"/>
  <c r="E31" i="122"/>
  <c r="D31" i="122"/>
  <c r="C31" i="122"/>
  <c r="B31" i="122"/>
  <c r="A31" i="122"/>
  <c r="E30" i="122"/>
  <c r="D30" i="122"/>
  <c r="C30" i="122"/>
  <c r="B30" i="122"/>
  <c r="A30" i="122"/>
  <c r="G29" i="122"/>
  <c r="B43" i="164" s="1"/>
  <c r="E29" i="122"/>
  <c r="D29" i="122"/>
  <c r="C29" i="122"/>
  <c r="B29" i="122"/>
  <c r="A29" i="122"/>
  <c r="G28" i="122"/>
  <c r="B42" i="164" s="1"/>
  <c r="G27" i="122"/>
  <c r="B41" i="164" s="1"/>
  <c r="E27" i="122"/>
  <c r="D27" i="122"/>
  <c r="C27" i="122"/>
  <c r="B27" i="122"/>
  <c r="A27" i="122"/>
  <c r="E26" i="122"/>
  <c r="D26" i="122"/>
  <c r="C26" i="122"/>
  <c r="B26" i="122"/>
  <c r="A26" i="122"/>
  <c r="E25" i="122"/>
  <c r="D25" i="122"/>
  <c r="C25" i="122"/>
  <c r="B25" i="122"/>
  <c r="A25" i="122"/>
  <c r="E24" i="122"/>
  <c r="D24" i="122"/>
  <c r="C24" i="122"/>
  <c r="B24" i="122"/>
  <c r="A24" i="122"/>
  <c r="E23" i="122"/>
  <c r="D23" i="122"/>
  <c r="C23" i="122"/>
  <c r="B23" i="122"/>
  <c r="A23" i="122"/>
  <c r="E22" i="122"/>
  <c r="D22" i="122"/>
  <c r="C22" i="122"/>
  <c r="B22" i="122"/>
  <c r="A22" i="122"/>
  <c r="E21" i="122"/>
  <c r="D21" i="122"/>
  <c r="C21" i="122"/>
  <c r="B21" i="122"/>
  <c r="A21" i="122"/>
  <c r="E20" i="122"/>
  <c r="D20" i="122"/>
  <c r="C20" i="122"/>
  <c r="B20" i="122"/>
  <c r="A20" i="122"/>
  <c r="E19" i="122"/>
  <c r="D19" i="122"/>
  <c r="C19" i="122"/>
  <c r="B19" i="122"/>
  <c r="A19" i="122"/>
  <c r="E18" i="122"/>
  <c r="D18" i="122"/>
  <c r="C18" i="122"/>
  <c r="B18" i="122"/>
  <c r="A18" i="122"/>
  <c r="E17" i="122"/>
  <c r="D17" i="122"/>
  <c r="C17" i="122"/>
  <c r="B17" i="122"/>
  <c r="A17" i="122"/>
  <c r="E15" i="122"/>
  <c r="D15" i="122"/>
  <c r="C15" i="122"/>
  <c r="B15" i="122"/>
  <c r="A15" i="122"/>
  <c r="E14" i="122"/>
  <c r="D14" i="122"/>
  <c r="C14" i="122"/>
  <c r="B14" i="122"/>
  <c r="A14" i="122"/>
  <c r="E13" i="122"/>
  <c r="D13" i="122"/>
  <c r="C13" i="122"/>
  <c r="B13" i="122"/>
  <c r="A13" i="122"/>
  <c r="E12" i="122"/>
  <c r="D12" i="122"/>
  <c r="C12" i="122"/>
  <c r="B12" i="122"/>
  <c r="A12" i="122"/>
  <c r="E10" i="122"/>
  <c r="D10" i="122"/>
  <c r="C10" i="122"/>
  <c r="B10" i="122"/>
  <c r="A10" i="122"/>
  <c r="E9" i="122"/>
  <c r="D9" i="122"/>
  <c r="C9" i="122"/>
  <c r="B9" i="122"/>
  <c r="A9" i="122"/>
  <c r="E8" i="122"/>
  <c r="D8" i="122"/>
  <c r="C8" i="122"/>
  <c r="B8" i="122"/>
  <c r="A8" i="122"/>
  <c r="G7" i="122"/>
  <c r="B9" i="164" s="1"/>
  <c r="E7" i="122"/>
  <c r="D7" i="122"/>
  <c r="C7" i="122"/>
  <c r="B7" i="122"/>
  <c r="A7" i="122"/>
  <c r="G6" i="122"/>
  <c r="B8" i="164" s="1"/>
  <c r="F2" i="122"/>
  <c r="G1" i="122"/>
  <c r="B13" i="230"/>
  <c r="A1" i="230"/>
  <c r="A43" i="183"/>
  <c r="A42" i="183"/>
  <c r="A41" i="183"/>
  <c r="C12" i="230" s="1"/>
  <c r="A35" i="183"/>
  <c r="C11" i="230" s="1"/>
  <c r="A32" i="183"/>
  <c r="C10" i="230" s="1"/>
  <c r="A29" i="183"/>
  <c r="C9" i="230" s="1"/>
  <c r="A27" i="183"/>
  <c r="C8" i="230" s="1"/>
  <c r="A22" i="183"/>
  <c r="C7" i="230" s="1"/>
  <c r="A17" i="183"/>
  <c r="C6" i="230" s="1"/>
  <c r="A12" i="183"/>
  <c r="C5" i="230" s="1"/>
  <c r="A8" i="183"/>
  <c r="C4" i="230" s="1"/>
  <c r="I5" i="183"/>
  <c r="Q5" i="183" s="1"/>
  <c r="H5" i="183"/>
  <c r="P5" i="183" s="1"/>
  <c r="G5" i="183"/>
  <c r="O5" i="183" s="1"/>
  <c r="F5" i="183"/>
  <c r="E3" i="183"/>
  <c r="A1" i="183"/>
  <c r="B31" i="163"/>
  <c r="A1" i="163"/>
  <c r="A82" i="123"/>
  <c r="X81" i="123"/>
  <c r="T81" i="123"/>
  <c r="P81" i="123"/>
  <c r="X79" i="123"/>
  <c r="T79" i="123"/>
  <c r="P79" i="123"/>
  <c r="X77" i="123"/>
  <c r="T77" i="123"/>
  <c r="P77" i="123"/>
  <c r="X76" i="123"/>
  <c r="T76" i="123"/>
  <c r="P76" i="123"/>
  <c r="X74" i="123"/>
  <c r="T74" i="123"/>
  <c r="P74" i="123"/>
  <c r="X72" i="123"/>
  <c r="T72" i="123"/>
  <c r="P72" i="123"/>
  <c r="X70" i="123"/>
  <c r="T70" i="123"/>
  <c r="P70" i="123"/>
  <c r="X69" i="123"/>
  <c r="T69" i="123"/>
  <c r="P69" i="123"/>
  <c r="X68" i="123"/>
  <c r="T68" i="123"/>
  <c r="P68" i="123"/>
  <c r="X66" i="123"/>
  <c r="T66" i="123"/>
  <c r="P66" i="123"/>
  <c r="X64" i="123"/>
  <c r="T64" i="123"/>
  <c r="P64" i="123"/>
  <c r="X63" i="123"/>
  <c r="T63" i="123"/>
  <c r="P63" i="123"/>
  <c r="X62" i="123"/>
  <c r="T62" i="123"/>
  <c r="P62" i="123"/>
  <c r="X60" i="123"/>
  <c r="T60" i="123"/>
  <c r="P60" i="123"/>
  <c r="X59" i="123"/>
  <c r="T59" i="123"/>
  <c r="P59" i="123"/>
  <c r="X57" i="123"/>
  <c r="T57" i="123"/>
  <c r="P57" i="123"/>
  <c r="X55" i="123"/>
  <c r="T55" i="123"/>
  <c r="P55" i="123"/>
  <c r="X53" i="123"/>
  <c r="T53" i="123"/>
  <c r="P53" i="123"/>
  <c r="X51" i="123"/>
  <c r="T51" i="123"/>
  <c r="P51" i="123"/>
  <c r="X50" i="123"/>
  <c r="T50" i="123"/>
  <c r="P50" i="123"/>
  <c r="X48" i="123"/>
  <c r="T48" i="123"/>
  <c r="P48" i="123"/>
  <c r="X47" i="123"/>
  <c r="T47" i="123"/>
  <c r="P47" i="123"/>
  <c r="X45" i="123"/>
  <c r="T45" i="123"/>
  <c r="P45" i="123"/>
  <c r="X44" i="123"/>
  <c r="T44" i="123"/>
  <c r="P44" i="123"/>
  <c r="X42" i="123"/>
  <c r="T42" i="123"/>
  <c r="P42" i="123"/>
  <c r="X40" i="123"/>
  <c r="T40" i="123"/>
  <c r="P40" i="123"/>
  <c r="X38" i="123"/>
  <c r="T38" i="123"/>
  <c r="P38" i="123"/>
  <c r="X36" i="123"/>
  <c r="T36" i="123"/>
  <c r="P36" i="123"/>
  <c r="X35" i="123"/>
  <c r="U35" i="123"/>
  <c r="T35" i="123"/>
  <c r="P35" i="123"/>
  <c r="X33" i="123"/>
  <c r="T33" i="123"/>
  <c r="P33" i="123"/>
  <c r="X32" i="123"/>
  <c r="T32" i="123"/>
  <c r="P32" i="123"/>
  <c r="X31" i="123"/>
  <c r="T31" i="123"/>
  <c r="P31" i="123"/>
  <c r="X29" i="123"/>
  <c r="T29" i="123"/>
  <c r="P29" i="123"/>
  <c r="X28" i="123"/>
  <c r="T28" i="123"/>
  <c r="P28" i="123"/>
  <c r="X27" i="123"/>
  <c r="T27" i="123"/>
  <c r="P27" i="123"/>
  <c r="X26" i="123"/>
  <c r="T26" i="123"/>
  <c r="P26" i="123"/>
  <c r="X24" i="123"/>
  <c r="T24" i="123"/>
  <c r="P24" i="123"/>
  <c r="X23" i="123"/>
  <c r="T23" i="123"/>
  <c r="P23" i="123"/>
  <c r="X22" i="123"/>
  <c r="T22" i="123"/>
  <c r="P22" i="123"/>
  <c r="X21" i="123"/>
  <c r="T21" i="123"/>
  <c r="P21" i="123"/>
  <c r="X19" i="123"/>
  <c r="T19" i="123"/>
  <c r="P19" i="123"/>
  <c r="X17" i="123"/>
  <c r="T17" i="123"/>
  <c r="P17" i="123"/>
  <c r="X15" i="123"/>
  <c r="T15" i="123"/>
  <c r="P15" i="123"/>
  <c r="X13" i="123"/>
  <c r="T13" i="123"/>
  <c r="P13" i="123"/>
  <c r="X12" i="123"/>
  <c r="T12" i="123"/>
  <c r="P12" i="123"/>
  <c r="X11" i="123"/>
  <c r="T11" i="123"/>
  <c r="P11" i="123"/>
  <c r="X9" i="123"/>
  <c r="T9" i="123"/>
  <c r="P9" i="123"/>
  <c r="X8" i="123"/>
  <c r="T8" i="123"/>
  <c r="P8" i="123"/>
  <c r="X7" i="123"/>
  <c r="T7" i="123"/>
  <c r="P7" i="123"/>
  <c r="C5" i="123"/>
  <c r="W5" i="123" s="1"/>
  <c r="K4" i="123"/>
  <c r="G4" i="123"/>
  <c r="K3" i="123"/>
  <c r="A1" i="123"/>
  <c r="A1" i="126"/>
  <c r="A83" i="113"/>
  <c r="A82" i="113"/>
  <c r="P81" i="113"/>
  <c r="H79" i="239" s="1"/>
  <c r="N81" i="113"/>
  <c r="L81" i="113"/>
  <c r="G79" i="239" s="1"/>
  <c r="J81" i="113"/>
  <c r="H81" i="113"/>
  <c r="F79" i="239" s="1"/>
  <c r="F81" i="113"/>
  <c r="P79" i="113"/>
  <c r="H77" i="239" s="1"/>
  <c r="N79" i="113"/>
  <c r="L79" i="113"/>
  <c r="G77" i="239" s="1"/>
  <c r="J79" i="113"/>
  <c r="H79" i="113"/>
  <c r="F77" i="239" s="1"/>
  <c r="F79" i="113"/>
  <c r="P77" i="113"/>
  <c r="H75" i="239" s="1"/>
  <c r="N77" i="113"/>
  <c r="L77" i="113"/>
  <c r="G75" i="239" s="1"/>
  <c r="J77" i="113"/>
  <c r="H77" i="113"/>
  <c r="F75" i="239" s="1"/>
  <c r="F77" i="113"/>
  <c r="P76" i="113"/>
  <c r="H74" i="239" s="1"/>
  <c r="N76" i="113"/>
  <c r="L76" i="113"/>
  <c r="G74" i="239" s="1"/>
  <c r="J76" i="113"/>
  <c r="H76" i="113"/>
  <c r="F74" i="239" s="1"/>
  <c r="F76" i="113"/>
  <c r="P74" i="113"/>
  <c r="H72" i="239" s="1"/>
  <c r="N74" i="113"/>
  <c r="L74" i="113"/>
  <c r="G72" i="239" s="1"/>
  <c r="J74" i="113"/>
  <c r="H74" i="113"/>
  <c r="F72" i="239" s="1"/>
  <c r="F74" i="113"/>
  <c r="P72" i="113"/>
  <c r="H70" i="239" s="1"/>
  <c r="N72" i="113"/>
  <c r="L72" i="113"/>
  <c r="G70" i="239" s="1"/>
  <c r="J72" i="113"/>
  <c r="H72" i="113"/>
  <c r="F70" i="239" s="1"/>
  <c r="F72" i="113"/>
  <c r="P70" i="113"/>
  <c r="H68" i="239" s="1"/>
  <c r="N70" i="113"/>
  <c r="L70" i="113"/>
  <c r="G68" i="239" s="1"/>
  <c r="J70" i="113"/>
  <c r="H70" i="113"/>
  <c r="F68" i="239" s="1"/>
  <c r="F70" i="113"/>
  <c r="P69" i="113"/>
  <c r="H67" i="239" s="1"/>
  <c r="N69" i="113"/>
  <c r="L69" i="113"/>
  <c r="G67" i="239" s="1"/>
  <c r="J69" i="113"/>
  <c r="H69" i="113"/>
  <c r="F67" i="239" s="1"/>
  <c r="F69" i="113"/>
  <c r="P68" i="113"/>
  <c r="H66" i="239" s="1"/>
  <c r="N68" i="113"/>
  <c r="L68" i="113"/>
  <c r="G66" i="239" s="1"/>
  <c r="J68" i="113"/>
  <c r="H68" i="113"/>
  <c r="F66" i="239" s="1"/>
  <c r="F68" i="113"/>
  <c r="P66" i="113"/>
  <c r="H64" i="239" s="1"/>
  <c r="N66" i="113"/>
  <c r="L66" i="113"/>
  <c r="G64" i="239" s="1"/>
  <c r="J66" i="113"/>
  <c r="H66" i="113"/>
  <c r="F64" i="239" s="1"/>
  <c r="F66" i="113"/>
  <c r="P64" i="113"/>
  <c r="H62" i="239" s="1"/>
  <c r="N64" i="113"/>
  <c r="L64" i="113"/>
  <c r="G62" i="239" s="1"/>
  <c r="J64" i="113"/>
  <c r="H64" i="113"/>
  <c r="F62" i="239" s="1"/>
  <c r="F64" i="113"/>
  <c r="P63" i="113"/>
  <c r="H61" i="239" s="1"/>
  <c r="N63" i="113"/>
  <c r="L63" i="113"/>
  <c r="G61" i="239" s="1"/>
  <c r="J63" i="113"/>
  <c r="H63" i="113"/>
  <c r="F61" i="239" s="1"/>
  <c r="F63" i="113"/>
  <c r="P62" i="113"/>
  <c r="H60" i="239" s="1"/>
  <c r="N62" i="113"/>
  <c r="L62" i="113"/>
  <c r="G60" i="239" s="1"/>
  <c r="J62" i="113"/>
  <c r="H62" i="113"/>
  <c r="F60" i="239" s="1"/>
  <c r="F62" i="113"/>
  <c r="P60" i="113"/>
  <c r="H58" i="239" s="1"/>
  <c r="N60" i="113"/>
  <c r="L60" i="113"/>
  <c r="G58" i="239" s="1"/>
  <c r="J60" i="113"/>
  <c r="H60" i="113"/>
  <c r="F58" i="239" s="1"/>
  <c r="F60" i="113"/>
  <c r="P59" i="113"/>
  <c r="H57" i="239" s="1"/>
  <c r="N59" i="113"/>
  <c r="L59" i="113"/>
  <c r="G57" i="239" s="1"/>
  <c r="J59" i="113"/>
  <c r="H59" i="113"/>
  <c r="F57" i="239" s="1"/>
  <c r="F59" i="113"/>
  <c r="P57" i="113"/>
  <c r="H55" i="239" s="1"/>
  <c r="N57" i="113"/>
  <c r="L57" i="113"/>
  <c r="G55" i="239" s="1"/>
  <c r="J57" i="113"/>
  <c r="H57" i="113"/>
  <c r="F55" i="239" s="1"/>
  <c r="F57" i="113"/>
  <c r="P55" i="113"/>
  <c r="H53" i="239" s="1"/>
  <c r="N55" i="113"/>
  <c r="L55" i="113"/>
  <c r="G53" i="239" s="1"/>
  <c r="J55" i="113"/>
  <c r="H55" i="113"/>
  <c r="F53" i="239" s="1"/>
  <c r="F55" i="113"/>
  <c r="P53" i="113"/>
  <c r="H51" i="239" s="1"/>
  <c r="N53" i="113"/>
  <c r="L53" i="113"/>
  <c r="G51" i="239" s="1"/>
  <c r="J53" i="113"/>
  <c r="H53" i="113"/>
  <c r="F51" i="239" s="1"/>
  <c r="F53" i="113"/>
  <c r="P51" i="113"/>
  <c r="H49" i="239" s="1"/>
  <c r="N51" i="113"/>
  <c r="L51" i="113"/>
  <c r="G49" i="239" s="1"/>
  <c r="H51" i="113"/>
  <c r="F49" i="239" s="1"/>
  <c r="F51" i="113"/>
  <c r="P50" i="113"/>
  <c r="H48" i="239" s="1"/>
  <c r="N50" i="113"/>
  <c r="L50" i="113"/>
  <c r="G48" i="239" s="1"/>
  <c r="J50" i="113"/>
  <c r="H50" i="113"/>
  <c r="F48" i="239" s="1"/>
  <c r="F50" i="113"/>
  <c r="P48" i="113"/>
  <c r="H46" i="239" s="1"/>
  <c r="N48" i="113"/>
  <c r="L48" i="113"/>
  <c r="G46" i="239" s="1"/>
  <c r="J48" i="113"/>
  <c r="H48" i="113"/>
  <c r="F46" i="239" s="1"/>
  <c r="F48" i="113"/>
  <c r="P47" i="113"/>
  <c r="H45" i="239" s="1"/>
  <c r="N47" i="113"/>
  <c r="L47" i="113"/>
  <c r="G45" i="239" s="1"/>
  <c r="J47" i="113"/>
  <c r="H47" i="113"/>
  <c r="F45" i="239" s="1"/>
  <c r="F47" i="113"/>
  <c r="P45" i="113"/>
  <c r="H43" i="239" s="1"/>
  <c r="N45" i="113"/>
  <c r="L45" i="113"/>
  <c r="G43" i="239" s="1"/>
  <c r="J45" i="113"/>
  <c r="H45" i="113"/>
  <c r="F43" i="239" s="1"/>
  <c r="F45" i="113"/>
  <c r="P44" i="113"/>
  <c r="H42" i="239" s="1"/>
  <c r="N44" i="113"/>
  <c r="L44" i="113"/>
  <c r="G42" i="239" s="1"/>
  <c r="J44" i="113"/>
  <c r="H44" i="113"/>
  <c r="F42" i="239" s="1"/>
  <c r="F44" i="113"/>
  <c r="P42" i="113"/>
  <c r="H40" i="239" s="1"/>
  <c r="N42" i="113"/>
  <c r="L42" i="113"/>
  <c r="G40" i="239" s="1"/>
  <c r="J42" i="113"/>
  <c r="H42" i="113"/>
  <c r="F40" i="239" s="1"/>
  <c r="F42" i="113"/>
  <c r="P40" i="113"/>
  <c r="H38" i="239" s="1"/>
  <c r="N40" i="113"/>
  <c r="L40" i="113"/>
  <c r="G38" i="239" s="1"/>
  <c r="J40" i="113"/>
  <c r="H40" i="113"/>
  <c r="F38" i="239" s="1"/>
  <c r="F40" i="113"/>
  <c r="P38" i="113"/>
  <c r="H36" i="239" s="1"/>
  <c r="N38" i="113"/>
  <c r="L38" i="113"/>
  <c r="G36" i="239" s="1"/>
  <c r="J38" i="113"/>
  <c r="H38" i="113"/>
  <c r="F36" i="239" s="1"/>
  <c r="F38" i="113"/>
  <c r="P36" i="113"/>
  <c r="H34" i="239" s="1"/>
  <c r="N36" i="113"/>
  <c r="L36" i="113"/>
  <c r="G34" i="239" s="1"/>
  <c r="J36" i="113"/>
  <c r="H36" i="113"/>
  <c r="F34" i="239" s="1"/>
  <c r="F36" i="113"/>
  <c r="P35" i="113"/>
  <c r="H33" i="239" s="1"/>
  <c r="N35" i="113"/>
  <c r="L35" i="113"/>
  <c r="G33" i="239" s="1"/>
  <c r="J35" i="113"/>
  <c r="H35" i="113"/>
  <c r="F33" i="239" s="1"/>
  <c r="F35" i="113"/>
  <c r="P33" i="113"/>
  <c r="H31" i="239" s="1"/>
  <c r="N33" i="113"/>
  <c r="L33" i="113"/>
  <c r="G31" i="239" s="1"/>
  <c r="J33" i="113"/>
  <c r="H33" i="113"/>
  <c r="F31" i="239" s="1"/>
  <c r="F33" i="113"/>
  <c r="P32" i="113"/>
  <c r="H30" i="239" s="1"/>
  <c r="N32" i="113"/>
  <c r="L32" i="113"/>
  <c r="G30" i="239" s="1"/>
  <c r="J32" i="113"/>
  <c r="H32" i="113"/>
  <c r="F30" i="239" s="1"/>
  <c r="F32" i="113"/>
  <c r="P31" i="113"/>
  <c r="H29" i="239" s="1"/>
  <c r="N31" i="113"/>
  <c r="L31" i="113"/>
  <c r="G29" i="239" s="1"/>
  <c r="J31" i="113"/>
  <c r="H31" i="113"/>
  <c r="F29" i="239" s="1"/>
  <c r="F31" i="113"/>
  <c r="P29" i="113"/>
  <c r="H27" i="239" s="1"/>
  <c r="N29" i="113"/>
  <c r="L29" i="113"/>
  <c r="G27" i="239" s="1"/>
  <c r="J29" i="113"/>
  <c r="H29" i="113"/>
  <c r="F27" i="239" s="1"/>
  <c r="F29" i="113"/>
  <c r="P28" i="113"/>
  <c r="H26" i="239" s="1"/>
  <c r="N28" i="113"/>
  <c r="L28" i="113"/>
  <c r="G26" i="239" s="1"/>
  <c r="J28" i="113"/>
  <c r="H28" i="113"/>
  <c r="F26" i="239" s="1"/>
  <c r="F28" i="113"/>
  <c r="P27" i="113"/>
  <c r="H25" i="239" s="1"/>
  <c r="N27" i="113"/>
  <c r="L27" i="113"/>
  <c r="G25" i="239" s="1"/>
  <c r="J27" i="113"/>
  <c r="H27" i="113"/>
  <c r="F25" i="239" s="1"/>
  <c r="F27" i="113"/>
  <c r="N26" i="113"/>
  <c r="J26" i="113"/>
  <c r="H26" i="113"/>
  <c r="F24" i="239" s="1"/>
  <c r="F26" i="113"/>
  <c r="P24" i="113"/>
  <c r="H22" i="239" s="1"/>
  <c r="N24" i="113"/>
  <c r="L24" i="113"/>
  <c r="J24" i="113"/>
  <c r="H24" i="113"/>
  <c r="F22" i="239" s="1"/>
  <c r="F24" i="113"/>
  <c r="P23" i="113"/>
  <c r="H21" i="239" s="1"/>
  <c r="N23" i="113"/>
  <c r="L23" i="113"/>
  <c r="J23" i="113"/>
  <c r="H23" i="113"/>
  <c r="F21" i="239" s="1"/>
  <c r="F23" i="113"/>
  <c r="P22" i="113"/>
  <c r="H20" i="239" s="1"/>
  <c r="N22" i="113"/>
  <c r="L22" i="113"/>
  <c r="G20" i="239" s="1"/>
  <c r="J22" i="113"/>
  <c r="H22" i="113"/>
  <c r="F20" i="239" s="1"/>
  <c r="F22" i="113"/>
  <c r="P21" i="113"/>
  <c r="H19" i="239" s="1"/>
  <c r="N21" i="113"/>
  <c r="L21" i="113"/>
  <c r="J21" i="113"/>
  <c r="H21" i="113"/>
  <c r="F19" i="239" s="1"/>
  <c r="F21" i="113"/>
  <c r="P19" i="113"/>
  <c r="H17" i="239" s="1"/>
  <c r="N19" i="113"/>
  <c r="L19" i="113"/>
  <c r="G17" i="239" s="1"/>
  <c r="J19" i="113"/>
  <c r="H19" i="113"/>
  <c r="F17" i="239" s="1"/>
  <c r="F19" i="113"/>
  <c r="P17" i="113"/>
  <c r="H15" i="239" s="1"/>
  <c r="N17" i="113"/>
  <c r="L17" i="113"/>
  <c r="G15" i="239" s="1"/>
  <c r="J17" i="113"/>
  <c r="H17" i="113"/>
  <c r="F15" i="239" s="1"/>
  <c r="F17" i="113"/>
  <c r="P15" i="113"/>
  <c r="H13" i="239" s="1"/>
  <c r="N15" i="113"/>
  <c r="L15" i="113"/>
  <c r="G13" i="239" s="1"/>
  <c r="H15" i="113"/>
  <c r="F13" i="239" s="1"/>
  <c r="F15" i="113"/>
  <c r="P13" i="113"/>
  <c r="H11" i="239" s="1"/>
  <c r="N13" i="113"/>
  <c r="L13" i="113"/>
  <c r="G11" i="239" s="1"/>
  <c r="J13" i="113"/>
  <c r="H13" i="113"/>
  <c r="F11" i="239" s="1"/>
  <c r="F13" i="113"/>
  <c r="P12" i="113"/>
  <c r="H10" i="239" s="1"/>
  <c r="N12" i="113"/>
  <c r="L12" i="113"/>
  <c r="G10" i="239" s="1"/>
  <c r="J12" i="113"/>
  <c r="H12" i="113"/>
  <c r="F10" i="239" s="1"/>
  <c r="F12" i="113"/>
  <c r="P11" i="113"/>
  <c r="H9" i="239" s="1"/>
  <c r="N11" i="113"/>
  <c r="L11" i="113"/>
  <c r="G9" i="239" s="1"/>
  <c r="J11" i="113"/>
  <c r="H11" i="113"/>
  <c r="F9" i="239" s="1"/>
  <c r="F11" i="113"/>
  <c r="P9" i="113"/>
  <c r="H7" i="239" s="1"/>
  <c r="N9" i="113"/>
  <c r="L9" i="113"/>
  <c r="G7" i="239" s="1"/>
  <c r="J9" i="113"/>
  <c r="H9" i="113"/>
  <c r="F7" i="239" s="1"/>
  <c r="F9" i="113"/>
  <c r="P8" i="113"/>
  <c r="H6" i="239" s="1"/>
  <c r="N8" i="113"/>
  <c r="L8" i="113"/>
  <c r="G6" i="239" s="1"/>
  <c r="J8" i="113"/>
  <c r="H8" i="113"/>
  <c r="F6" i="239" s="1"/>
  <c r="F8" i="113"/>
  <c r="P7" i="113"/>
  <c r="H5" i="239" s="1"/>
  <c r="N7" i="113"/>
  <c r="L7" i="113"/>
  <c r="G5" i="239" s="1"/>
  <c r="J7" i="113"/>
  <c r="H7" i="113"/>
  <c r="F5" i="239" s="1"/>
  <c r="F7" i="113"/>
  <c r="I5" i="113"/>
  <c r="G5" i="126" s="1"/>
  <c r="I5" i="126" s="1"/>
  <c r="G5" i="113"/>
  <c r="O5" i="113" s="1"/>
  <c r="E3" i="113"/>
  <c r="F3" i="126" s="1"/>
  <c r="A1" i="113"/>
  <c r="I94" i="2"/>
  <c r="H94" i="2"/>
  <c r="A94" i="2"/>
  <c r="I93" i="2"/>
  <c r="H93" i="2"/>
  <c r="G93" i="2"/>
  <c r="A93" i="2"/>
  <c r="A92" i="2"/>
  <c r="I91" i="2"/>
  <c r="H91" i="2"/>
  <c r="G91" i="2"/>
  <c r="A91" i="2"/>
  <c r="I90" i="2"/>
  <c r="H90" i="2"/>
  <c r="G90" i="2"/>
  <c r="A90" i="2"/>
  <c r="A89" i="2"/>
  <c r="I88" i="2"/>
  <c r="H88" i="2"/>
  <c r="G88" i="2"/>
  <c r="A88" i="2"/>
  <c r="I87" i="2"/>
  <c r="H87" i="2"/>
  <c r="G87" i="2"/>
  <c r="A87" i="2"/>
  <c r="I86" i="2"/>
  <c r="H86" i="2"/>
  <c r="G86" i="2"/>
  <c r="A86" i="2"/>
  <c r="H85" i="2"/>
  <c r="A85" i="2"/>
  <c r="I84" i="2"/>
  <c r="H84" i="2"/>
  <c r="G84" i="2"/>
  <c r="A84" i="2"/>
  <c r="A83" i="2"/>
  <c r="I82" i="2"/>
  <c r="H82" i="2"/>
  <c r="G82" i="2"/>
  <c r="A82" i="2"/>
  <c r="I81" i="2"/>
  <c r="H81" i="2"/>
  <c r="G81" i="2"/>
  <c r="A81" i="2"/>
  <c r="I80" i="2"/>
  <c r="H80" i="2"/>
  <c r="G80" i="2"/>
  <c r="A80" i="2"/>
  <c r="I79" i="2"/>
  <c r="H79" i="2"/>
  <c r="G79" i="2"/>
  <c r="A79" i="2"/>
  <c r="I78" i="2"/>
  <c r="H78" i="2"/>
  <c r="G78" i="2"/>
  <c r="A78" i="2"/>
  <c r="I77" i="2"/>
  <c r="H77" i="2"/>
  <c r="G77" i="2"/>
  <c r="A77" i="2"/>
  <c r="I76" i="2"/>
  <c r="H76" i="2"/>
  <c r="G76" i="2"/>
  <c r="A76" i="2"/>
  <c r="I75" i="2"/>
  <c r="H75" i="2"/>
  <c r="G75" i="2"/>
  <c r="A75" i="2"/>
  <c r="I74" i="2"/>
  <c r="H74" i="2"/>
  <c r="G74" i="2"/>
  <c r="A74" i="2"/>
  <c r="I73" i="2"/>
  <c r="H73" i="2"/>
  <c r="G73" i="2"/>
  <c r="A73" i="2"/>
  <c r="I72" i="2"/>
  <c r="H72" i="2"/>
  <c r="G72" i="2"/>
  <c r="A72" i="2"/>
  <c r="I71" i="2"/>
  <c r="H71" i="2"/>
  <c r="G71" i="2"/>
  <c r="A71" i="2"/>
  <c r="I70" i="2"/>
  <c r="H70" i="2"/>
  <c r="G70" i="2"/>
  <c r="A70" i="2"/>
  <c r="I69" i="2"/>
  <c r="H69" i="2"/>
  <c r="G69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" i="2"/>
  <c r="I293" i="225"/>
  <c r="I291" i="225"/>
  <c r="I289" i="225"/>
  <c r="O287" i="225"/>
  <c r="N287" i="225"/>
  <c r="M287" i="225"/>
  <c r="I255" i="225"/>
  <c r="I253" i="225"/>
  <c r="I251" i="225"/>
  <c r="O249" i="225"/>
  <c r="N249" i="225"/>
  <c r="M249" i="225"/>
  <c r="I217" i="225"/>
  <c r="I215" i="225"/>
  <c r="I213" i="225"/>
  <c r="O211" i="225"/>
  <c r="N211" i="225"/>
  <c r="M211" i="225"/>
  <c r="F177" i="225"/>
  <c r="F178" i="225" s="1"/>
  <c r="D174" i="225"/>
  <c r="G165" i="225"/>
  <c r="F165" i="225"/>
  <c r="F180" i="225" s="1"/>
  <c r="E165" i="225"/>
  <c r="E177" i="225" s="1"/>
  <c r="J164" i="225"/>
  <c r="O150" i="225"/>
  <c r="N150" i="225"/>
  <c r="M150" i="225"/>
  <c r="L150" i="225"/>
  <c r="K150" i="225"/>
  <c r="J150" i="225"/>
  <c r="F147" i="225"/>
  <c r="A146" i="225"/>
  <c r="O145" i="225"/>
  <c r="N145" i="225"/>
  <c r="M145" i="225"/>
  <c r="L145" i="225"/>
  <c r="K145" i="225"/>
  <c r="J145" i="225"/>
  <c r="I145" i="225"/>
  <c r="H145" i="225"/>
  <c r="G145" i="225"/>
  <c r="F145" i="225"/>
  <c r="E145" i="225"/>
  <c r="D145" i="225"/>
  <c r="C145" i="225"/>
  <c r="J144" i="225"/>
  <c r="G141" i="225"/>
  <c r="E138" i="225"/>
  <c r="C135" i="225"/>
  <c r="C131" i="225"/>
  <c r="F127" i="225"/>
  <c r="L126" i="225"/>
  <c r="G126" i="225"/>
  <c r="G138" i="225" s="1"/>
  <c r="G139" i="225" s="1"/>
  <c r="F126" i="225"/>
  <c r="E126" i="225"/>
  <c r="C126" i="225"/>
  <c r="D125" i="225"/>
  <c r="D121" i="225"/>
  <c r="D117" i="225"/>
  <c r="E114" i="225"/>
  <c r="C113" i="225"/>
  <c r="G108" i="225"/>
  <c r="A107" i="225"/>
  <c r="O106" i="225"/>
  <c r="N106" i="225"/>
  <c r="M106" i="225"/>
  <c r="L106" i="225"/>
  <c r="K106" i="225"/>
  <c r="J106" i="225"/>
  <c r="I106" i="225"/>
  <c r="H106" i="225"/>
  <c r="G106" i="225"/>
  <c r="F106" i="225"/>
  <c r="E106" i="225"/>
  <c r="D106" i="225"/>
  <c r="C106" i="225"/>
  <c r="F99" i="225"/>
  <c r="C99" i="225"/>
  <c r="C138" i="225" s="1"/>
  <c r="D98" i="225"/>
  <c r="D137" i="225" s="1"/>
  <c r="C98" i="225"/>
  <c r="C137" i="225" s="1"/>
  <c r="D97" i="225"/>
  <c r="D136" i="225" s="1"/>
  <c r="C97" i="225"/>
  <c r="C136" i="225" s="1"/>
  <c r="D96" i="225"/>
  <c r="D135" i="225" s="1"/>
  <c r="C96" i="225"/>
  <c r="C174" i="225" s="1"/>
  <c r="D95" i="225"/>
  <c r="D134" i="225" s="1"/>
  <c r="C95" i="225"/>
  <c r="C134" i="225" s="1"/>
  <c r="D94" i="225"/>
  <c r="D133" i="225" s="1"/>
  <c r="C94" i="225"/>
  <c r="C133" i="225" s="1"/>
  <c r="D93" i="225"/>
  <c r="D132" i="225" s="1"/>
  <c r="C93" i="225"/>
  <c r="C132" i="225" s="1"/>
  <c r="D92" i="225"/>
  <c r="D131" i="225" s="1"/>
  <c r="C92" i="225"/>
  <c r="C170" i="225" s="1"/>
  <c r="D91" i="225"/>
  <c r="D130" i="225" s="1"/>
  <c r="C91" i="225"/>
  <c r="C130" i="225" s="1"/>
  <c r="D90" i="225"/>
  <c r="D129" i="225" s="1"/>
  <c r="C90" i="225"/>
  <c r="C129" i="225" s="1"/>
  <c r="D89" i="225"/>
  <c r="D128" i="225" s="1"/>
  <c r="C89" i="225"/>
  <c r="C128" i="225" s="1"/>
  <c r="G88" i="225"/>
  <c r="G127" i="225" s="1"/>
  <c r="F88" i="225"/>
  <c r="F166" i="225" s="1"/>
  <c r="E88" i="225"/>
  <c r="E127" i="225" s="1"/>
  <c r="D88" i="225"/>
  <c r="D127" i="225" s="1"/>
  <c r="C88" i="225"/>
  <c r="C127" i="225" s="1"/>
  <c r="B88" i="225"/>
  <c r="B127" i="225" s="1"/>
  <c r="O87" i="225"/>
  <c r="O126" i="225" s="1"/>
  <c r="N87" i="225"/>
  <c r="N126" i="225" s="1"/>
  <c r="M87" i="225"/>
  <c r="M126" i="225" s="1"/>
  <c r="L87" i="225"/>
  <c r="L165" i="225" s="1"/>
  <c r="K87" i="225"/>
  <c r="K126" i="225" s="1"/>
  <c r="J87" i="225"/>
  <c r="J126" i="225" s="1"/>
  <c r="I87" i="225"/>
  <c r="I126" i="225" s="1"/>
  <c r="G87" i="225"/>
  <c r="F87" i="225"/>
  <c r="E87" i="225"/>
  <c r="E99" i="225" s="1"/>
  <c r="D87" i="225"/>
  <c r="D126" i="225" s="1"/>
  <c r="C87" i="225"/>
  <c r="C165" i="225" s="1"/>
  <c r="B87" i="225"/>
  <c r="B126" i="225" s="1"/>
  <c r="O86" i="225"/>
  <c r="O125" i="225" s="1"/>
  <c r="N86" i="225"/>
  <c r="N125" i="225" s="1"/>
  <c r="M86" i="225"/>
  <c r="M125" i="225" s="1"/>
  <c r="L86" i="225"/>
  <c r="L125" i="225" s="1"/>
  <c r="K86" i="225"/>
  <c r="K125" i="225" s="1"/>
  <c r="J86" i="225"/>
  <c r="J125" i="225" s="1"/>
  <c r="D86" i="225"/>
  <c r="D164" i="225" s="1"/>
  <c r="C86" i="225"/>
  <c r="C125" i="225" s="1"/>
  <c r="D85" i="225"/>
  <c r="D124" i="225" s="1"/>
  <c r="C85" i="225"/>
  <c r="C124" i="225" s="1"/>
  <c r="D84" i="225"/>
  <c r="D123" i="225" s="1"/>
  <c r="C84" i="225"/>
  <c r="C123" i="225" s="1"/>
  <c r="D83" i="225"/>
  <c r="D122" i="225" s="1"/>
  <c r="C83" i="225"/>
  <c r="C122" i="225" s="1"/>
  <c r="D82" i="225"/>
  <c r="D160" i="225" s="1"/>
  <c r="C82" i="225"/>
  <c r="C121" i="225" s="1"/>
  <c r="D81" i="225"/>
  <c r="D120" i="225" s="1"/>
  <c r="C81" i="225"/>
  <c r="C120" i="225" s="1"/>
  <c r="D80" i="225"/>
  <c r="D119" i="225" s="1"/>
  <c r="C80" i="225"/>
  <c r="C119" i="225" s="1"/>
  <c r="D79" i="225"/>
  <c r="D118" i="225" s="1"/>
  <c r="C79" i="225"/>
  <c r="C118" i="225" s="1"/>
  <c r="D78" i="225"/>
  <c r="D156" i="225" s="1"/>
  <c r="C78" i="225"/>
  <c r="C117" i="225" s="1"/>
  <c r="D77" i="225"/>
  <c r="D116" i="225" s="1"/>
  <c r="C77" i="225"/>
  <c r="C116" i="225" s="1"/>
  <c r="D76" i="225"/>
  <c r="D115" i="225" s="1"/>
  <c r="C76" i="225"/>
  <c r="C115" i="225" s="1"/>
  <c r="G75" i="225"/>
  <c r="G114" i="225" s="1"/>
  <c r="F75" i="225"/>
  <c r="F114" i="225" s="1"/>
  <c r="E75" i="225"/>
  <c r="E153" i="225" s="1"/>
  <c r="D75" i="225"/>
  <c r="D114" i="225" s="1"/>
  <c r="C75" i="225"/>
  <c r="C114" i="225" s="1"/>
  <c r="B75" i="225"/>
  <c r="B114" i="225" s="1"/>
  <c r="G74" i="225"/>
  <c r="G113" i="225" s="1"/>
  <c r="F74" i="225"/>
  <c r="F113" i="225" s="1"/>
  <c r="E74" i="225"/>
  <c r="E113" i="225" s="1"/>
  <c r="D74" i="225"/>
  <c r="D113" i="225" s="1"/>
  <c r="C74" i="225"/>
  <c r="C152" i="225" s="1"/>
  <c r="B74" i="225"/>
  <c r="B113" i="225" s="1"/>
  <c r="O69" i="225"/>
  <c r="O147" i="225" s="1"/>
  <c r="N69" i="225"/>
  <c r="N147" i="225" s="1"/>
  <c r="M69" i="225"/>
  <c r="M147" i="225" s="1"/>
  <c r="L69" i="225"/>
  <c r="L147" i="225" s="1"/>
  <c r="K69" i="225"/>
  <c r="K147" i="225" s="1"/>
  <c r="J69" i="225"/>
  <c r="G69" i="225"/>
  <c r="G147" i="225" s="1"/>
  <c r="F69" i="225"/>
  <c r="F108" i="225" s="1"/>
  <c r="E69" i="225"/>
  <c r="E147" i="225" s="1"/>
  <c r="D69" i="225"/>
  <c r="D147" i="225" s="1"/>
  <c r="C69" i="225"/>
  <c r="C147" i="225" s="1"/>
  <c r="B69" i="225"/>
  <c r="B147" i="225" s="1"/>
  <c r="O67" i="225"/>
  <c r="N67" i="225"/>
  <c r="M67" i="225"/>
  <c r="L67" i="225"/>
  <c r="K67" i="225"/>
  <c r="J67" i="225"/>
  <c r="I67" i="225"/>
  <c r="H67" i="225"/>
  <c r="G67" i="225"/>
  <c r="F67" i="225"/>
  <c r="E67" i="225"/>
  <c r="D67" i="225"/>
  <c r="C67" i="225"/>
  <c r="O66" i="225"/>
  <c r="O144" i="225" s="1"/>
  <c r="N66" i="225"/>
  <c r="N144" i="225" s="1"/>
  <c r="M66" i="225"/>
  <c r="M144" i="225" s="1"/>
  <c r="L66" i="225"/>
  <c r="L144" i="225" s="1"/>
  <c r="K66" i="225"/>
  <c r="K144" i="225" s="1"/>
  <c r="J66" i="225"/>
  <c r="J105" i="225" s="1"/>
  <c r="I66" i="225"/>
  <c r="I144" i="225" s="1"/>
  <c r="H66" i="225"/>
  <c r="H144" i="225" s="1"/>
  <c r="G66" i="225"/>
  <c r="G144" i="225" s="1"/>
  <c r="F66" i="225"/>
  <c r="F144" i="225" s="1"/>
  <c r="E66" i="225"/>
  <c r="E144" i="225" s="1"/>
  <c r="D66" i="225"/>
  <c r="D144" i="225" s="1"/>
  <c r="C66" i="225"/>
  <c r="C144" i="225" s="1"/>
  <c r="A63" i="225"/>
  <c r="A62" i="225"/>
  <c r="A61" i="225"/>
  <c r="A60" i="225"/>
  <c r="A59" i="225"/>
  <c r="A58" i="225"/>
  <c r="A57" i="225"/>
  <c r="A56" i="225"/>
  <c r="A55" i="225"/>
  <c r="A54" i="225"/>
  <c r="A53" i="225"/>
  <c r="A52" i="225"/>
  <c r="A50" i="225"/>
  <c r="G44" i="225"/>
  <c r="F44" i="225"/>
  <c r="E44" i="225"/>
  <c r="I43" i="225"/>
  <c r="I96" i="225" s="1"/>
  <c r="G43" i="225"/>
  <c r="F43" i="225"/>
  <c r="E43" i="225"/>
  <c r="G42" i="225"/>
  <c r="F42" i="225"/>
  <c r="E42" i="225"/>
  <c r="G41" i="225"/>
  <c r="F41" i="225"/>
  <c r="E41" i="225"/>
  <c r="O40" i="225"/>
  <c r="N40" i="225"/>
  <c r="M40" i="225"/>
  <c r="J40" i="225"/>
  <c r="J94" i="225" s="1"/>
  <c r="J133" i="225" s="1"/>
  <c r="J172" i="225" s="1"/>
  <c r="G40" i="225"/>
  <c r="F40" i="225"/>
  <c r="E40" i="225"/>
  <c r="O39" i="225"/>
  <c r="N39" i="225"/>
  <c r="M39" i="225"/>
  <c r="G39" i="225"/>
  <c r="F39" i="225"/>
  <c r="E39" i="225"/>
  <c r="O38" i="225"/>
  <c r="N38" i="225"/>
  <c r="M38" i="225"/>
  <c r="I38" i="225"/>
  <c r="I92" i="225" s="1"/>
  <c r="I131" i="225" s="1"/>
  <c r="I170" i="225" s="1"/>
  <c r="G38" i="225"/>
  <c r="F38" i="225"/>
  <c r="E38" i="225"/>
  <c r="J37" i="225"/>
  <c r="J91" i="225" s="1"/>
  <c r="J130" i="225" s="1"/>
  <c r="J169" i="225" s="1"/>
  <c r="I37" i="225"/>
  <c r="I91" i="225" s="1"/>
  <c r="I130" i="225" s="1"/>
  <c r="I169" i="225" s="1"/>
  <c r="G37" i="225"/>
  <c r="F37" i="225"/>
  <c r="E37" i="225"/>
  <c r="G36" i="225"/>
  <c r="F36" i="225"/>
  <c r="E36" i="225"/>
  <c r="G35" i="225"/>
  <c r="F35" i="225"/>
  <c r="E35" i="225"/>
  <c r="A34" i="225"/>
  <c r="A88" i="225" s="1"/>
  <c r="G33" i="225"/>
  <c r="F33" i="225"/>
  <c r="E33" i="225"/>
  <c r="I32" i="225"/>
  <c r="I86" i="225" s="1"/>
  <c r="G32" i="225"/>
  <c r="F32" i="225"/>
  <c r="E32" i="225"/>
  <c r="B32" i="225"/>
  <c r="B45" i="225" s="1"/>
  <c r="B99" i="225" s="1"/>
  <c r="A32" i="225"/>
  <c r="A86" i="225" s="1"/>
  <c r="G31" i="225"/>
  <c r="F31" i="225"/>
  <c r="E31" i="225"/>
  <c r="B31" i="225"/>
  <c r="B85" i="225" s="1"/>
  <c r="A31" i="225"/>
  <c r="A85" i="225" s="1"/>
  <c r="G30" i="225"/>
  <c r="F30" i="225"/>
  <c r="E30" i="225"/>
  <c r="B30" i="225"/>
  <c r="B84" i="225" s="1"/>
  <c r="A30" i="225"/>
  <c r="A84" i="225" s="1"/>
  <c r="I29" i="225"/>
  <c r="I82" i="225" s="1"/>
  <c r="G29" i="225"/>
  <c r="O62" i="225" s="1"/>
  <c r="F29" i="225"/>
  <c r="E29" i="225"/>
  <c r="H80" i="113" s="1"/>
  <c r="B29" i="225"/>
  <c r="B42" i="225" s="1"/>
  <c r="B96" i="225" s="1"/>
  <c r="A29" i="225"/>
  <c r="A83" i="225" s="1"/>
  <c r="G28" i="225"/>
  <c r="F28" i="225"/>
  <c r="E28" i="225"/>
  <c r="B28" i="225"/>
  <c r="B82" i="225" s="1"/>
  <c r="A28" i="225"/>
  <c r="A82" i="225" s="1"/>
  <c r="I27" i="225"/>
  <c r="I80" i="225" s="1"/>
  <c r="G27" i="225"/>
  <c r="F27" i="225"/>
  <c r="E27" i="225"/>
  <c r="B27" i="225"/>
  <c r="B40" i="225" s="1"/>
  <c r="B94" i="225" s="1"/>
  <c r="A27" i="225"/>
  <c r="A81" i="225" s="1"/>
  <c r="O26" i="225"/>
  <c r="N26" i="225"/>
  <c r="M26" i="225"/>
  <c r="I26" i="225"/>
  <c r="I79" i="225" s="1"/>
  <c r="G26" i="225"/>
  <c r="F26" i="225"/>
  <c r="E26" i="225"/>
  <c r="B26" i="225"/>
  <c r="B80" i="225" s="1"/>
  <c r="A26" i="225"/>
  <c r="A39" i="225" s="1"/>
  <c r="A93" i="225" s="1"/>
  <c r="I25" i="225"/>
  <c r="I78" i="225" s="1"/>
  <c r="G25" i="225"/>
  <c r="F25" i="225"/>
  <c r="E25" i="225"/>
  <c r="B25" i="225"/>
  <c r="B79" i="225" s="1"/>
  <c r="A25" i="225"/>
  <c r="A79" i="225" s="1"/>
  <c r="O24" i="225"/>
  <c r="N24" i="225"/>
  <c r="M24" i="225"/>
  <c r="I24" i="225"/>
  <c r="I77" i="225" s="1"/>
  <c r="G24" i="225"/>
  <c r="F24" i="225"/>
  <c r="E24" i="225"/>
  <c r="B24" i="225"/>
  <c r="B78" i="225" s="1"/>
  <c r="A24" i="225"/>
  <c r="A78" i="225" s="1"/>
  <c r="O23" i="225"/>
  <c r="N23" i="225"/>
  <c r="M23" i="225"/>
  <c r="I23" i="225"/>
  <c r="I76" i="225" s="1"/>
  <c r="G23" i="225"/>
  <c r="F23" i="225"/>
  <c r="E23" i="225"/>
  <c r="B23" i="225"/>
  <c r="B77" i="225" s="1"/>
  <c r="A23" i="225"/>
  <c r="A77" i="225" s="1"/>
  <c r="I22" i="225"/>
  <c r="I75" i="225" s="1"/>
  <c r="G22" i="225"/>
  <c r="O56" i="225" s="1"/>
  <c r="F22" i="225"/>
  <c r="J80" i="113" s="1"/>
  <c r="J40" i="183" s="1"/>
  <c r="E22" i="225"/>
  <c r="F80" i="113" s="1"/>
  <c r="F40" i="183" s="1"/>
  <c r="B22" i="225"/>
  <c r="B76" i="225" s="1"/>
  <c r="A22" i="225"/>
  <c r="A21" i="225"/>
  <c r="A75" i="225" s="1"/>
  <c r="O19" i="225"/>
  <c r="X80" i="123" s="1"/>
  <c r="N19" i="225"/>
  <c r="T80" i="123" s="1"/>
  <c r="M19" i="225"/>
  <c r="P80" i="123" s="1"/>
  <c r="I19" i="225"/>
  <c r="I73" i="225" s="1"/>
  <c r="I18" i="225"/>
  <c r="I72" i="225" s="1"/>
  <c r="G18" i="225"/>
  <c r="O53" i="225" s="1"/>
  <c r="F18" i="225"/>
  <c r="N53" i="225" s="1"/>
  <c r="E18" i="225"/>
  <c r="M53" i="225" s="1"/>
  <c r="D16" i="225"/>
  <c r="L16" i="225" s="1"/>
  <c r="L70" i="225" s="1"/>
  <c r="I15" i="225"/>
  <c r="I69" i="225" s="1"/>
  <c r="A15" i="225"/>
  <c r="A20" i="225" s="1"/>
  <c r="A74" i="225" s="1"/>
  <c r="A13" i="225"/>
  <c r="A2" i="225"/>
  <c r="A14" i="225" s="1"/>
  <c r="I293" i="216"/>
  <c r="I291" i="216"/>
  <c r="I289" i="216"/>
  <c r="O287" i="216"/>
  <c r="N287" i="216"/>
  <c r="M287" i="216"/>
  <c r="I255" i="216"/>
  <c r="I253" i="216"/>
  <c r="I251" i="216"/>
  <c r="O249" i="216"/>
  <c r="N249" i="216"/>
  <c r="M249" i="216"/>
  <c r="I217" i="216"/>
  <c r="I215" i="216"/>
  <c r="I213" i="216"/>
  <c r="O211" i="216"/>
  <c r="N211" i="216"/>
  <c r="M211" i="216"/>
  <c r="C173" i="216"/>
  <c r="G165" i="216"/>
  <c r="G177" i="216" s="1"/>
  <c r="G178" i="216" s="1"/>
  <c r="F165" i="216"/>
  <c r="F177" i="216" s="1"/>
  <c r="F178" i="216" s="1"/>
  <c r="E165" i="216"/>
  <c r="E177" i="216" s="1"/>
  <c r="C162" i="216"/>
  <c r="D159" i="216"/>
  <c r="C155" i="216"/>
  <c r="C154" i="216"/>
  <c r="F152" i="216"/>
  <c r="O150" i="216"/>
  <c r="N150" i="216"/>
  <c r="M150" i="216"/>
  <c r="L150" i="216"/>
  <c r="K150" i="216"/>
  <c r="J150" i="216"/>
  <c r="N147" i="216"/>
  <c r="F147" i="216"/>
  <c r="D147" i="216"/>
  <c r="A146" i="216"/>
  <c r="O145" i="216"/>
  <c r="N145" i="216"/>
  <c r="M145" i="216"/>
  <c r="L145" i="216"/>
  <c r="K145" i="216"/>
  <c r="J145" i="216"/>
  <c r="I145" i="216"/>
  <c r="H145" i="216"/>
  <c r="G145" i="216"/>
  <c r="F145" i="216"/>
  <c r="E145" i="216"/>
  <c r="D145" i="216"/>
  <c r="C145" i="216"/>
  <c r="J144" i="216"/>
  <c r="H144" i="216"/>
  <c r="E138" i="216"/>
  <c r="C138" i="216"/>
  <c r="C137" i="216"/>
  <c r="C135" i="216"/>
  <c r="C134" i="216"/>
  <c r="C131" i="216"/>
  <c r="C130" i="216"/>
  <c r="F127" i="216"/>
  <c r="D127" i="216"/>
  <c r="L126" i="216"/>
  <c r="J126" i="216"/>
  <c r="G126" i="216"/>
  <c r="G138" i="216" s="1"/>
  <c r="G139" i="216" s="1"/>
  <c r="G141" i="216" s="1"/>
  <c r="F126" i="216"/>
  <c r="E126" i="216"/>
  <c r="C126" i="216"/>
  <c r="O125" i="216"/>
  <c r="D125" i="216"/>
  <c r="D124" i="216"/>
  <c r="D121" i="216"/>
  <c r="D120" i="216"/>
  <c r="D117" i="216"/>
  <c r="D116" i="216"/>
  <c r="E114" i="216"/>
  <c r="C114" i="216"/>
  <c r="C113" i="216"/>
  <c r="O108" i="216"/>
  <c r="G108" i="216"/>
  <c r="E108" i="216"/>
  <c r="A107" i="216"/>
  <c r="O106" i="216"/>
  <c r="N106" i="216"/>
  <c r="M106" i="216"/>
  <c r="L106" i="216"/>
  <c r="K106" i="216"/>
  <c r="J106" i="216"/>
  <c r="I106" i="216"/>
  <c r="H106" i="216"/>
  <c r="G106" i="216"/>
  <c r="F106" i="216"/>
  <c r="E106" i="216"/>
  <c r="D106" i="216"/>
  <c r="C106" i="216"/>
  <c r="F99" i="216"/>
  <c r="C99" i="216"/>
  <c r="C177" i="216" s="1"/>
  <c r="D98" i="216"/>
  <c r="D176" i="216" s="1"/>
  <c r="C98" i="216"/>
  <c r="C176" i="216" s="1"/>
  <c r="D97" i="216"/>
  <c r="D175" i="216" s="1"/>
  <c r="C97" i="216"/>
  <c r="C175" i="216" s="1"/>
  <c r="D96" i="216"/>
  <c r="C96" i="216"/>
  <c r="C174" i="216" s="1"/>
  <c r="D95" i="216"/>
  <c r="D173" i="216" s="1"/>
  <c r="C95" i="216"/>
  <c r="D94" i="216"/>
  <c r="D172" i="216" s="1"/>
  <c r="C94" i="216"/>
  <c r="C172" i="216" s="1"/>
  <c r="D93" i="216"/>
  <c r="D171" i="216" s="1"/>
  <c r="C93" i="216"/>
  <c r="C171" i="216" s="1"/>
  <c r="D92" i="216"/>
  <c r="C92" i="216"/>
  <c r="C170" i="216" s="1"/>
  <c r="D91" i="216"/>
  <c r="D169" i="216" s="1"/>
  <c r="C91" i="216"/>
  <c r="C169" i="216" s="1"/>
  <c r="D90" i="216"/>
  <c r="D168" i="216" s="1"/>
  <c r="C90" i="216"/>
  <c r="C168" i="216" s="1"/>
  <c r="D89" i="216"/>
  <c r="D167" i="216" s="1"/>
  <c r="C89" i="216"/>
  <c r="C167" i="216" s="1"/>
  <c r="G88" i="216"/>
  <c r="F88" i="216"/>
  <c r="F166" i="216" s="1"/>
  <c r="E88" i="216"/>
  <c r="E166" i="216" s="1"/>
  <c r="D88" i="216"/>
  <c r="D166" i="216" s="1"/>
  <c r="C88" i="216"/>
  <c r="C166" i="216" s="1"/>
  <c r="B88" i="216"/>
  <c r="B166" i="216" s="1"/>
  <c r="O87" i="216"/>
  <c r="O165" i="216" s="1"/>
  <c r="N87" i="216"/>
  <c r="N165" i="216" s="1"/>
  <c r="M87" i="216"/>
  <c r="L87" i="216"/>
  <c r="L165" i="216" s="1"/>
  <c r="K87" i="216"/>
  <c r="K165" i="216" s="1"/>
  <c r="J87" i="216"/>
  <c r="J165" i="216" s="1"/>
  <c r="I87" i="216"/>
  <c r="I165" i="216" s="1"/>
  <c r="G87" i="216"/>
  <c r="F87" i="216"/>
  <c r="E87" i="216"/>
  <c r="E99" i="216" s="1"/>
  <c r="D87" i="216"/>
  <c r="C87" i="216"/>
  <c r="C165" i="216" s="1"/>
  <c r="B87" i="216"/>
  <c r="B165" i="216" s="1"/>
  <c r="O86" i="216"/>
  <c r="O164" i="216" s="1"/>
  <c r="N86" i="216"/>
  <c r="N164" i="216" s="1"/>
  <c r="M86" i="216"/>
  <c r="M164" i="216" s="1"/>
  <c r="L86" i="216"/>
  <c r="L164" i="216" s="1"/>
  <c r="K86" i="216"/>
  <c r="K164" i="216" s="1"/>
  <c r="J86" i="216"/>
  <c r="D86" i="216"/>
  <c r="D164" i="216" s="1"/>
  <c r="C86" i="216"/>
  <c r="C125" i="216" s="1"/>
  <c r="D85" i="216"/>
  <c r="D163" i="216" s="1"/>
  <c r="C85" i="216"/>
  <c r="C124" i="216" s="1"/>
  <c r="D84" i="216"/>
  <c r="D123" i="216" s="1"/>
  <c r="C84" i="216"/>
  <c r="C123" i="216" s="1"/>
  <c r="D83" i="216"/>
  <c r="D161" i="216" s="1"/>
  <c r="C83" i="216"/>
  <c r="D82" i="216"/>
  <c r="D160" i="216" s="1"/>
  <c r="C82" i="216"/>
  <c r="C160" i="216" s="1"/>
  <c r="D81" i="216"/>
  <c r="C81" i="216"/>
  <c r="C159" i="216" s="1"/>
  <c r="D80" i="216"/>
  <c r="D158" i="216" s="1"/>
  <c r="C80" i="216"/>
  <c r="C158" i="216" s="1"/>
  <c r="D79" i="216"/>
  <c r="D157" i="216" s="1"/>
  <c r="C79" i="216"/>
  <c r="D78" i="216"/>
  <c r="D156" i="216" s="1"/>
  <c r="C78" i="216"/>
  <c r="C117" i="216" s="1"/>
  <c r="D77" i="216"/>
  <c r="D155" i="216" s="1"/>
  <c r="C77" i="216"/>
  <c r="C116" i="216" s="1"/>
  <c r="D76" i="216"/>
  <c r="D154" i="216" s="1"/>
  <c r="C76" i="216"/>
  <c r="C115" i="216" s="1"/>
  <c r="G75" i="216"/>
  <c r="G153" i="216" s="1"/>
  <c r="F75" i="216"/>
  <c r="E75" i="216"/>
  <c r="E153" i="216" s="1"/>
  <c r="D75" i="216"/>
  <c r="D114" i="216" s="1"/>
  <c r="C75" i="216"/>
  <c r="C153" i="216" s="1"/>
  <c r="B75" i="216"/>
  <c r="B114" i="216" s="1"/>
  <c r="G74" i="216"/>
  <c r="G113" i="216" s="1"/>
  <c r="F74" i="216"/>
  <c r="F113" i="216" s="1"/>
  <c r="E74" i="216"/>
  <c r="E152" i="216" s="1"/>
  <c r="D74" i="216"/>
  <c r="C74" i="216"/>
  <c r="C152" i="216" s="1"/>
  <c r="B74" i="216"/>
  <c r="B113" i="216" s="1"/>
  <c r="O69" i="216"/>
  <c r="O147" i="216" s="1"/>
  <c r="N69" i="216"/>
  <c r="N108" i="216" s="1"/>
  <c r="M69" i="216"/>
  <c r="M147" i="216" s="1"/>
  <c r="L69" i="216"/>
  <c r="L147" i="216" s="1"/>
  <c r="K69" i="216"/>
  <c r="K147" i="216" s="1"/>
  <c r="J69" i="216"/>
  <c r="G69" i="216"/>
  <c r="G147" i="216" s="1"/>
  <c r="F69" i="216"/>
  <c r="F108" i="216" s="1"/>
  <c r="E69" i="216"/>
  <c r="E147" i="216" s="1"/>
  <c r="D69" i="216"/>
  <c r="D108" i="216" s="1"/>
  <c r="C69" i="216"/>
  <c r="C147" i="216" s="1"/>
  <c r="B69" i="216"/>
  <c r="B147" i="216" s="1"/>
  <c r="O67" i="216"/>
  <c r="N67" i="216"/>
  <c r="M67" i="216"/>
  <c r="L67" i="216"/>
  <c r="K67" i="216"/>
  <c r="J67" i="216"/>
  <c r="I67" i="216"/>
  <c r="H67" i="216"/>
  <c r="G67" i="216"/>
  <c r="F67" i="216"/>
  <c r="E67" i="216"/>
  <c r="D67" i="216"/>
  <c r="C67" i="216"/>
  <c r="O66" i="216"/>
  <c r="O144" i="216" s="1"/>
  <c r="N66" i="216"/>
  <c r="N144" i="216" s="1"/>
  <c r="M66" i="216"/>
  <c r="M144" i="216" s="1"/>
  <c r="L66" i="216"/>
  <c r="L144" i="216" s="1"/>
  <c r="K66" i="216"/>
  <c r="K144" i="216" s="1"/>
  <c r="J66" i="216"/>
  <c r="J105" i="216" s="1"/>
  <c r="I66" i="216"/>
  <c r="I144" i="216" s="1"/>
  <c r="H66" i="216"/>
  <c r="H105" i="216" s="1"/>
  <c r="G66" i="216"/>
  <c r="G144" i="216" s="1"/>
  <c r="F66" i="216"/>
  <c r="F144" i="216" s="1"/>
  <c r="E66" i="216"/>
  <c r="E144" i="216" s="1"/>
  <c r="D66" i="216"/>
  <c r="D144" i="216" s="1"/>
  <c r="C66" i="216"/>
  <c r="C144" i="216" s="1"/>
  <c r="A63" i="216"/>
  <c r="O62" i="216"/>
  <c r="A62" i="216"/>
  <c r="A61" i="216"/>
  <c r="A60" i="216"/>
  <c r="A59" i="216"/>
  <c r="A58" i="216"/>
  <c r="A57" i="216"/>
  <c r="A56" i="216"/>
  <c r="A55" i="216"/>
  <c r="A54" i="216"/>
  <c r="A53" i="216"/>
  <c r="A52" i="216"/>
  <c r="A50" i="216"/>
  <c r="G44" i="216"/>
  <c r="F44" i="216"/>
  <c r="E44" i="216"/>
  <c r="I43" i="216"/>
  <c r="I96" i="216" s="1"/>
  <c r="G43" i="216"/>
  <c r="F43" i="216"/>
  <c r="E43" i="216"/>
  <c r="G42" i="216"/>
  <c r="F42" i="216"/>
  <c r="E42" i="216"/>
  <c r="G41" i="216"/>
  <c r="F41" i="216"/>
  <c r="E41" i="216"/>
  <c r="O40" i="216"/>
  <c r="N40" i="216"/>
  <c r="M40" i="216"/>
  <c r="J40" i="216"/>
  <c r="J94" i="216" s="1"/>
  <c r="J133" i="216" s="1"/>
  <c r="J172" i="216" s="1"/>
  <c r="G40" i="216"/>
  <c r="F40" i="216"/>
  <c r="E40" i="216"/>
  <c r="O39" i="216"/>
  <c r="N39" i="216"/>
  <c r="M39" i="216"/>
  <c r="G39" i="216"/>
  <c r="F39" i="216"/>
  <c r="E39" i="216"/>
  <c r="O38" i="216"/>
  <c r="N38" i="216"/>
  <c r="M38" i="216"/>
  <c r="I38" i="216"/>
  <c r="I92" i="216" s="1"/>
  <c r="I131" i="216" s="1"/>
  <c r="I170" i="216" s="1"/>
  <c r="G38" i="216"/>
  <c r="F38" i="216"/>
  <c r="E38" i="216"/>
  <c r="J37" i="216"/>
  <c r="J91" i="216" s="1"/>
  <c r="J130" i="216" s="1"/>
  <c r="J169" i="216" s="1"/>
  <c r="I37" i="216"/>
  <c r="I91" i="216" s="1"/>
  <c r="I130" i="216" s="1"/>
  <c r="I169" i="216" s="1"/>
  <c r="G37" i="216"/>
  <c r="F37" i="216"/>
  <c r="E37" i="216"/>
  <c r="G36" i="216"/>
  <c r="F36" i="216"/>
  <c r="E36" i="216"/>
  <c r="G35" i="216"/>
  <c r="F35" i="216"/>
  <c r="E35" i="216"/>
  <c r="A34" i="216"/>
  <c r="A46" i="216" s="1"/>
  <c r="A100" i="216" s="1"/>
  <c r="G33" i="216"/>
  <c r="F33" i="216"/>
  <c r="E33" i="216"/>
  <c r="I32" i="216"/>
  <c r="I34" i="216" s="1"/>
  <c r="I88" i="216" s="1"/>
  <c r="G32" i="216"/>
  <c r="F32" i="216"/>
  <c r="E32" i="216"/>
  <c r="B32" i="216"/>
  <c r="B86" i="216" s="1"/>
  <c r="A32" i="216"/>
  <c r="A86" i="216" s="1"/>
  <c r="G31" i="216"/>
  <c r="F31" i="216"/>
  <c r="E31" i="216"/>
  <c r="B31" i="216"/>
  <c r="B85" i="216" s="1"/>
  <c r="B163" i="216" s="1"/>
  <c r="A31" i="216"/>
  <c r="A85" i="216" s="1"/>
  <c r="G30" i="216"/>
  <c r="F30" i="216"/>
  <c r="E30" i="216"/>
  <c r="B30" i="216"/>
  <c r="B84" i="216" s="1"/>
  <c r="A30" i="216"/>
  <c r="A84" i="216" s="1"/>
  <c r="I29" i="216"/>
  <c r="I82" i="216" s="1"/>
  <c r="G29" i="216"/>
  <c r="P78" i="113" s="1"/>
  <c r="F29" i="216"/>
  <c r="E29" i="216"/>
  <c r="H78" i="113" s="1"/>
  <c r="B29" i="216"/>
  <c r="B42" i="216" s="1"/>
  <c r="B96" i="216" s="1"/>
  <c r="A29" i="216"/>
  <c r="A42" i="216" s="1"/>
  <c r="A96" i="216" s="1"/>
  <c r="G28" i="216"/>
  <c r="F28" i="216"/>
  <c r="E28" i="216"/>
  <c r="B28" i="216"/>
  <c r="B82" i="216" s="1"/>
  <c r="A28" i="216"/>
  <c r="A82" i="216" s="1"/>
  <c r="I27" i="216"/>
  <c r="I80" i="216" s="1"/>
  <c r="I158" i="216" s="1"/>
  <c r="G27" i="216"/>
  <c r="F27" i="216"/>
  <c r="E27" i="216"/>
  <c r="B27" i="216"/>
  <c r="B40" i="216" s="1"/>
  <c r="B94" i="216" s="1"/>
  <c r="A27" i="216"/>
  <c r="A40" i="216" s="1"/>
  <c r="A94" i="216" s="1"/>
  <c r="O26" i="216"/>
  <c r="N26" i="216"/>
  <c r="M26" i="216"/>
  <c r="I26" i="216"/>
  <c r="I79" i="216" s="1"/>
  <c r="G26" i="216"/>
  <c r="F26" i="216"/>
  <c r="E26" i="216"/>
  <c r="B26" i="216"/>
  <c r="B39" i="216" s="1"/>
  <c r="B93" i="216" s="1"/>
  <c r="A26" i="216"/>
  <c r="A39" i="216" s="1"/>
  <c r="A93" i="216" s="1"/>
  <c r="I25" i="216"/>
  <c r="I78" i="216" s="1"/>
  <c r="G25" i="216"/>
  <c r="F25" i="216"/>
  <c r="E25" i="216"/>
  <c r="B25" i="216"/>
  <c r="B79" i="216" s="1"/>
  <c r="B157" i="216" s="1"/>
  <c r="A25" i="216"/>
  <c r="A79" i="216" s="1"/>
  <c r="O24" i="216"/>
  <c r="N24" i="216"/>
  <c r="M24" i="216"/>
  <c r="I24" i="216"/>
  <c r="I77" i="216" s="1"/>
  <c r="G24" i="216"/>
  <c r="F24" i="216"/>
  <c r="E24" i="216"/>
  <c r="B24" i="216"/>
  <c r="B78" i="216" s="1"/>
  <c r="A24" i="216"/>
  <c r="A78" i="216" s="1"/>
  <c r="O23" i="216"/>
  <c r="N23" i="216"/>
  <c r="M23" i="216"/>
  <c r="I23" i="216"/>
  <c r="I76" i="216" s="1"/>
  <c r="G23" i="216"/>
  <c r="F23" i="216"/>
  <c r="E23" i="216"/>
  <c r="B23" i="216"/>
  <c r="B77" i="216" s="1"/>
  <c r="A23" i="216"/>
  <c r="A77" i="216" s="1"/>
  <c r="I22" i="216"/>
  <c r="I75" i="216" s="1"/>
  <c r="I153" i="216" s="1"/>
  <c r="G22" i="216"/>
  <c r="N78" i="113" s="1"/>
  <c r="N39" i="183" s="1"/>
  <c r="F22" i="216"/>
  <c r="E22" i="216"/>
  <c r="F78" i="113" s="1"/>
  <c r="F39" i="183" s="1"/>
  <c r="B22" i="216"/>
  <c r="B35" i="216" s="1"/>
  <c r="B89" i="216" s="1"/>
  <c r="A22" i="216"/>
  <c r="A35" i="216" s="1"/>
  <c r="A89" i="216" s="1"/>
  <c r="A21" i="216"/>
  <c r="A75" i="216" s="1"/>
  <c r="O19" i="216"/>
  <c r="X78" i="123" s="1"/>
  <c r="N19" i="216"/>
  <c r="T78" i="123" s="1"/>
  <c r="M19" i="216"/>
  <c r="P78" i="123" s="1"/>
  <c r="I19" i="216"/>
  <c r="I73" i="216" s="1"/>
  <c r="I18" i="216"/>
  <c r="I72" i="216" s="1"/>
  <c r="G18" i="216"/>
  <c r="O53" i="216" s="1"/>
  <c r="F18" i="216"/>
  <c r="N53" i="216" s="1"/>
  <c r="E18" i="216"/>
  <c r="M53" i="216" s="1"/>
  <c r="D16" i="216"/>
  <c r="D70" i="216" s="1"/>
  <c r="A15" i="216"/>
  <c r="A20" i="216" s="1"/>
  <c r="A74" i="216" s="1"/>
  <c r="A13" i="216"/>
  <c r="A2" i="216"/>
  <c r="I293" i="224"/>
  <c r="I291" i="224"/>
  <c r="I289" i="224"/>
  <c r="O287" i="224"/>
  <c r="N287" i="224"/>
  <c r="M287" i="224"/>
  <c r="I255" i="224"/>
  <c r="I253" i="224"/>
  <c r="I251" i="224"/>
  <c r="O249" i="224"/>
  <c r="N249" i="224"/>
  <c r="M249" i="224"/>
  <c r="I217" i="224"/>
  <c r="I215" i="224"/>
  <c r="I213" i="224"/>
  <c r="O211" i="224"/>
  <c r="N211" i="224"/>
  <c r="M211" i="224"/>
  <c r="D175" i="224"/>
  <c r="D171" i="224"/>
  <c r="D167" i="224"/>
  <c r="G165" i="224"/>
  <c r="G177" i="224" s="1"/>
  <c r="G178" i="224" s="1"/>
  <c r="F165" i="224"/>
  <c r="E165" i="224"/>
  <c r="E177" i="224" s="1"/>
  <c r="E178" i="224" s="1"/>
  <c r="L164" i="224"/>
  <c r="C158" i="224"/>
  <c r="C154" i="224"/>
  <c r="F152" i="224"/>
  <c r="O150" i="224"/>
  <c r="N150" i="224"/>
  <c r="M150" i="224"/>
  <c r="L150" i="224"/>
  <c r="K150" i="224"/>
  <c r="J150" i="224"/>
  <c r="J147" i="224"/>
  <c r="A146" i="224"/>
  <c r="O145" i="224"/>
  <c r="N145" i="224"/>
  <c r="M145" i="224"/>
  <c r="L145" i="224"/>
  <c r="K145" i="224"/>
  <c r="J145" i="224"/>
  <c r="I145" i="224"/>
  <c r="H145" i="224"/>
  <c r="G145" i="224"/>
  <c r="F145" i="224"/>
  <c r="E145" i="224"/>
  <c r="D145" i="224"/>
  <c r="C145" i="224"/>
  <c r="N144" i="224"/>
  <c r="L144" i="224"/>
  <c r="F144" i="224"/>
  <c r="D144" i="224"/>
  <c r="F139" i="224"/>
  <c r="C137" i="224"/>
  <c r="C136" i="224"/>
  <c r="C133" i="224"/>
  <c r="C132" i="224"/>
  <c r="C129" i="224"/>
  <c r="C128" i="224"/>
  <c r="B127" i="224"/>
  <c r="N126" i="224"/>
  <c r="G126" i="224"/>
  <c r="F126" i="224"/>
  <c r="F138" i="224" s="1"/>
  <c r="E126" i="224"/>
  <c r="M125" i="224"/>
  <c r="K125" i="224"/>
  <c r="D123" i="224"/>
  <c r="D122" i="224"/>
  <c r="D119" i="224"/>
  <c r="D118" i="224"/>
  <c r="D115" i="224"/>
  <c r="G114" i="224"/>
  <c r="G113" i="224"/>
  <c r="E113" i="224"/>
  <c r="M108" i="224"/>
  <c r="K108" i="224"/>
  <c r="C108" i="224"/>
  <c r="O106" i="224"/>
  <c r="N106" i="224"/>
  <c r="M106" i="224"/>
  <c r="L106" i="224"/>
  <c r="K106" i="224"/>
  <c r="J106" i="224"/>
  <c r="I106" i="224"/>
  <c r="H106" i="224"/>
  <c r="G106" i="224"/>
  <c r="F106" i="224"/>
  <c r="E106" i="224"/>
  <c r="D106" i="224"/>
  <c r="C106" i="224"/>
  <c r="N105" i="224"/>
  <c r="L105" i="224"/>
  <c r="F105" i="224"/>
  <c r="D105" i="224"/>
  <c r="C99" i="224"/>
  <c r="C138" i="224" s="1"/>
  <c r="D98" i="224"/>
  <c r="C98" i="224"/>
  <c r="C176" i="224" s="1"/>
  <c r="D97" i="224"/>
  <c r="D136" i="224" s="1"/>
  <c r="C97" i="224"/>
  <c r="C175" i="224" s="1"/>
  <c r="D96" i="224"/>
  <c r="D135" i="224" s="1"/>
  <c r="C96" i="224"/>
  <c r="C135" i="224" s="1"/>
  <c r="D95" i="224"/>
  <c r="D134" i="224" s="1"/>
  <c r="C95" i="224"/>
  <c r="C134" i="224" s="1"/>
  <c r="D94" i="224"/>
  <c r="C94" i="224"/>
  <c r="C172" i="224" s="1"/>
  <c r="D93" i="224"/>
  <c r="D132" i="224" s="1"/>
  <c r="C93" i="224"/>
  <c r="C171" i="224" s="1"/>
  <c r="D92" i="224"/>
  <c r="D131" i="224" s="1"/>
  <c r="C92" i="224"/>
  <c r="C131" i="224" s="1"/>
  <c r="D91" i="224"/>
  <c r="D130" i="224" s="1"/>
  <c r="C91" i="224"/>
  <c r="C130" i="224" s="1"/>
  <c r="D90" i="224"/>
  <c r="C90" i="224"/>
  <c r="C168" i="224" s="1"/>
  <c r="D89" i="224"/>
  <c r="D128" i="224" s="1"/>
  <c r="C89" i="224"/>
  <c r="C167" i="224" s="1"/>
  <c r="G88" i="224"/>
  <c r="G127" i="224" s="1"/>
  <c r="F88" i="224"/>
  <c r="F127" i="224" s="1"/>
  <c r="E88" i="224"/>
  <c r="E127" i="224" s="1"/>
  <c r="D88" i="224"/>
  <c r="D127" i="224" s="1"/>
  <c r="C88" i="224"/>
  <c r="B88" i="224"/>
  <c r="B166" i="224" s="1"/>
  <c r="O87" i="224"/>
  <c r="O126" i="224" s="1"/>
  <c r="N87" i="224"/>
  <c r="N165" i="224" s="1"/>
  <c r="M87" i="224"/>
  <c r="M126" i="224" s="1"/>
  <c r="L87" i="224"/>
  <c r="L126" i="224" s="1"/>
  <c r="K87" i="224"/>
  <c r="K126" i="224" s="1"/>
  <c r="J87" i="224"/>
  <c r="J126" i="224" s="1"/>
  <c r="I87" i="224"/>
  <c r="G87" i="224"/>
  <c r="G99" i="224" s="1"/>
  <c r="G100" i="224" s="1"/>
  <c r="F87" i="224"/>
  <c r="E87" i="224"/>
  <c r="E99" i="224" s="1"/>
  <c r="E100" i="224" s="1"/>
  <c r="D87" i="224"/>
  <c r="D126" i="224" s="1"/>
  <c r="C87" i="224"/>
  <c r="C126" i="224" s="1"/>
  <c r="B87" i="224"/>
  <c r="B126" i="224" s="1"/>
  <c r="O86" i="224"/>
  <c r="O125" i="224" s="1"/>
  <c r="N86" i="224"/>
  <c r="M86" i="224"/>
  <c r="M164" i="224" s="1"/>
  <c r="L86" i="224"/>
  <c r="L125" i="224" s="1"/>
  <c r="K86" i="224"/>
  <c r="K164" i="224" s="1"/>
  <c r="J86" i="224"/>
  <c r="J125" i="224" s="1"/>
  <c r="D86" i="224"/>
  <c r="D125" i="224" s="1"/>
  <c r="C86" i="224"/>
  <c r="C125" i="224" s="1"/>
  <c r="D85" i="224"/>
  <c r="D124" i="224" s="1"/>
  <c r="C85" i="224"/>
  <c r="D84" i="224"/>
  <c r="D162" i="224" s="1"/>
  <c r="C84" i="224"/>
  <c r="C123" i="224" s="1"/>
  <c r="D83" i="224"/>
  <c r="D161" i="224" s="1"/>
  <c r="C83" i="224"/>
  <c r="C122" i="224" s="1"/>
  <c r="D82" i="224"/>
  <c r="D121" i="224" s="1"/>
  <c r="C82" i="224"/>
  <c r="C121" i="224" s="1"/>
  <c r="D81" i="224"/>
  <c r="D120" i="224" s="1"/>
  <c r="C81" i="224"/>
  <c r="D80" i="224"/>
  <c r="D158" i="224" s="1"/>
  <c r="C80" i="224"/>
  <c r="C119" i="224" s="1"/>
  <c r="D79" i="224"/>
  <c r="D157" i="224" s="1"/>
  <c r="C79" i="224"/>
  <c r="C118" i="224" s="1"/>
  <c r="D78" i="224"/>
  <c r="D117" i="224" s="1"/>
  <c r="C78" i="224"/>
  <c r="C117" i="224" s="1"/>
  <c r="D77" i="224"/>
  <c r="D116" i="224" s="1"/>
  <c r="C77" i="224"/>
  <c r="D76" i="224"/>
  <c r="D154" i="224" s="1"/>
  <c r="C76" i="224"/>
  <c r="C115" i="224" s="1"/>
  <c r="G75" i="224"/>
  <c r="G153" i="224" s="1"/>
  <c r="F75" i="224"/>
  <c r="F114" i="224" s="1"/>
  <c r="E75" i="224"/>
  <c r="E114" i="224" s="1"/>
  <c r="D75" i="224"/>
  <c r="D114" i="224" s="1"/>
  <c r="C75" i="224"/>
  <c r="C114" i="224" s="1"/>
  <c r="B75" i="224"/>
  <c r="G74" i="224"/>
  <c r="G152" i="224" s="1"/>
  <c r="F74" i="224"/>
  <c r="F113" i="224" s="1"/>
  <c r="E74" i="224"/>
  <c r="E152" i="224" s="1"/>
  <c r="D74" i="224"/>
  <c r="D113" i="224" s="1"/>
  <c r="C74" i="224"/>
  <c r="C113" i="224" s="1"/>
  <c r="B74" i="224"/>
  <c r="B113" i="224" s="1"/>
  <c r="O69" i="224"/>
  <c r="O147" i="224" s="1"/>
  <c r="N69" i="224"/>
  <c r="M69" i="224"/>
  <c r="M147" i="224" s="1"/>
  <c r="L69" i="224"/>
  <c r="L108" i="224" s="1"/>
  <c r="K69" i="224"/>
  <c r="K147" i="224" s="1"/>
  <c r="J69" i="224"/>
  <c r="J108" i="224" s="1"/>
  <c r="G69" i="224"/>
  <c r="G147" i="224" s="1"/>
  <c r="F69" i="224"/>
  <c r="F147" i="224" s="1"/>
  <c r="E69" i="224"/>
  <c r="E147" i="224" s="1"/>
  <c r="D69" i="224"/>
  <c r="C69" i="224"/>
  <c r="C147" i="224" s="1"/>
  <c r="B69" i="224"/>
  <c r="B108" i="224" s="1"/>
  <c r="O67" i="224"/>
  <c r="N67" i="224"/>
  <c r="M67" i="224"/>
  <c r="L67" i="224"/>
  <c r="K67" i="224"/>
  <c r="J67" i="224"/>
  <c r="I67" i="224"/>
  <c r="H67" i="224"/>
  <c r="G67" i="224"/>
  <c r="F67" i="224"/>
  <c r="E67" i="224"/>
  <c r="D67" i="224"/>
  <c r="C67" i="224"/>
  <c r="O66" i="224"/>
  <c r="N66" i="224"/>
  <c r="M66" i="224"/>
  <c r="L66" i="224"/>
  <c r="K66" i="224"/>
  <c r="K144" i="224" s="1"/>
  <c r="J66" i="224"/>
  <c r="J144" i="224" s="1"/>
  <c r="I66" i="224"/>
  <c r="I144" i="224" s="1"/>
  <c r="H66" i="224"/>
  <c r="H144" i="224" s="1"/>
  <c r="G66" i="224"/>
  <c r="F66" i="224"/>
  <c r="E66" i="224"/>
  <c r="D66" i="224"/>
  <c r="C66" i="224"/>
  <c r="C144" i="224" s="1"/>
  <c r="A63" i="224"/>
  <c r="A62" i="224"/>
  <c r="A61" i="224"/>
  <c r="A60" i="224"/>
  <c r="A59" i="224"/>
  <c r="A58" i="224"/>
  <c r="A57" i="224"/>
  <c r="A56" i="224"/>
  <c r="A55" i="224"/>
  <c r="A54" i="224"/>
  <c r="A53" i="224"/>
  <c r="A52" i="224"/>
  <c r="A50" i="224"/>
  <c r="G44" i="224"/>
  <c r="F44" i="224"/>
  <c r="E44" i="224"/>
  <c r="I43" i="224"/>
  <c r="I96" i="224" s="1"/>
  <c r="G43" i="224"/>
  <c r="F43" i="224"/>
  <c r="E43" i="224"/>
  <c r="G42" i="224"/>
  <c r="F42" i="224"/>
  <c r="E42" i="224"/>
  <c r="G41" i="224"/>
  <c r="F41" i="224"/>
  <c r="E41" i="224"/>
  <c r="O40" i="224"/>
  <c r="N40" i="224"/>
  <c r="M40" i="224"/>
  <c r="J40" i="224"/>
  <c r="J94" i="224" s="1"/>
  <c r="J133" i="224" s="1"/>
  <c r="J172" i="224" s="1"/>
  <c r="G40" i="224"/>
  <c r="F40" i="224"/>
  <c r="E40" i="224"/>
  <c r="O39" i="224"/>
  <c r="N39" i="224"/>
  <c r="M39" i="224"/>
  <c r="G39" i="224"/>
  <c r="F39" i="224"/>
  <c r="E39" i="224"/>
  <c r="O38" i="224"/>
  <c r="N38" i="224"/>
  <c r="M38" i="224"/>
  <c r="I38" i="224"/>
  <c r="I92" i="224" s="1"/>
  <c r="I131" i="224" s="1"/>
  <c r="I170" i="224" s="1"/>
  <c r="G38" i="224"/>
  <c r="F38" i="224"/>
  <c r="E38" i="224"/>
  <c r="J37" i="224"/>
  <c r="J91" i="224" s="1"/>
  <c r="J130" i="224" s="1"/>
  <c r="J169" i="224" s="1"/>
  <c r="I37" i="224"/>
  <c r="I91" i="224" s="1"/>
  <c r="I130" i="224" s="1"/>
  <c r="I169" i="224" s="1"/>
  <c r="G37" i="224"/>
  <c r="F37" i="224"/>
  <c r="E37" i="224"/>
  <c r="G36" i="224"/>
  <c r="F36" i="224"/>
  <c r="E36" i="224"/>
  <c r="G35" i="224"/>
  <c r="F35" i="224"/>
  <c r="E35" i="224"/>
  <c r="A34" i="224"/>
  <c r="A46" i="224" s="1"/>
  <c r="A100" i="224" s="1"/>
  <c r="G33" i="224"/>
  <c r="I32" i="224"/>
  <c r="I34" i="224" s="1"/>
  <c r="I88" i="224" s="1"/>
  <c r="G32" i="224"/>
  <c r="F32" i="224"/>
  <c r="E32" i="224"/>
  <c r="B32" i="224"/>
  <c r="B86" i="224" s="1"/>
  <c r="A32" i="224"/>
  <c r="A86" i="224" s="1"/>
  <c r="G31" i="224"/>
  <c r="F31" i="224"/>
  <c r="E31" i="224"/>
  <c r="B31" i="224"/>
  <c r="B44" i="224" s="1"/>
  <c r="B98" i="224" s="1"/>
  <c r="A31" i="224"/>
  <c r="A85" i="224" s="1"/>
  <c r="G30" i="224"/>
  <c r="F30" i="224"/>
  <c r="E30" i="224"/>
  <c r="B30" i="224"/>
  <c r="B84" i="224" s="1"/>
  <c r="A30" i="224"/>
  <c r="A84" i="224" s="1"/>
  <c r="I29" i="224"/>
  <c r="I82" i="224" s="1"/>
  <c r="G29" i="224"/>
  <c r="P75" i="113" s="1"/>
  <c r="F29" i="224"/>
  <c r="L75" i="113" s="1"/>
  <c r="E29" i="224"/>
  <c r="H75" i="113" s="1"/>
  <c r="B29" i="224"/>
  <c r="B83" i="224" s="1"/>
  <c r="A29" i="224"/>
  <c r="A83" i="224" s="1"/>
  <c r="G28" i="224"/>
  <c r="F28" i="224"/>
  <c r="E28" i="224"/>
  <c r="B28" i="224"/>
  <c r="B82" i="224" s="1"/>
  <c r="B160" i="224" s="1"/>
  <c r="A28" i="224"/>
  <c r="A82" i="224" s="1"/>
  <c r="I27" i="224"/>
  <c r="I80" i="224" s="1"/>
  <c r="G27" i="224"/>
  <c r="F27" i="224"/>
  <c r="E27" i="224"/>
  <c r="B27" i="224"/>
  <c r="B81" i="224" s="1"/>
  <c r="A27" i="224"/>
  <c r="A81" i="224" s="1"/>
  <c r="O26" i="224"/>
  <c r="N26" i="224"/>
  <c r="M26" i="224"/>
  <c r="I26" i="224"/>
  <c r="I79" i="224" s="1"/>
  <c r="G26" i="224"/>
  <c r="F26" i="224"/>
  <c r="E26" i="224"/>
  <c r="B26" i="224"/>
  <c r="B80" i="224" s="1"/>
  <c r="A26" i="224"/>
  <c r="A80" i="224" s="1"/>
  <c r="I25" i="224"/>
  <c r="I78" i="224" s="1"/>
  <c r="G25" i="224"/>
  <c r="F25" i="224"/>
  <c r="E25" i="224"/>
  <c r="B25" i="224"/>
  <c r="B79" i="224" s="1"/>
  <c r="A25" i="224"/>
  <c r="A79" i="224" s="1"/>
  <c r="O24" i="224"/>
  <c r="N24" i="224"/>
  <c r="M24" i="224"/>
  <c r="I24" i="224"/>
  <c r="I77" i="224" s="1"/>
  <c r="I155" i="224" s="1"/>
  <c r="G24" i="224"/>
  <c r="F24" i="224"/>
  <c r="E24" i="224"/>
  <c r="B24" i="224"/>
  <c r="B37" i="224" s="1"/>
  <c r="B91" i="224" s="1"/>
  <c r="A24" i="224"/>
  <c r="J39" i="224" s="1"/>
  <c r="J93" i="224" s="1"/>
  <c r="J132" i="224" s="1"/>
  <c r="J171" i="224" s="1"/>
  <c r="O23" i="224"/>
  <c r="N23" i="224"/>
  <c r="M23" i="224"/>
  <c r="I23" i="224"/>
  <c r="I76" i="224" s="1"/>
  <c r="G23" i="224"/>
  <c r="F23" i="224"/>
  <c r="E23" i="224"/>
  <c r="B23" i="224"/>
  <c r="B77" i="224" s="1"/>
  <c r="A23" i="224"/>
  <c r="A36" i="224" s="1"/>
  <c r="A90" i="224" s="1"/>
  <c r="I22" i="224"/>
  <c r="I75" i="224" s="1"/>
  <c r="G22" i="224"/>
  <c r="F22" i="224"/>
  <c r="E22" i="224"/>
  <c r="B22" i="224"/>
  <c r="B76" i="224" s="1"/>
  <c r="A22" i="224"/>
  <c r="A76" i="224" s="1"/>
  <c r="A21" i="224"/>
  <c r="A75" i="224" s="1"/>
  <c r="O19" i="224"/>
  <c r="X75" i="123" s="1"/>
  <c r="N19" i="224"/>
  <c r="T75" i="123" s="1"/>
  <c r="M19" i="224"/>
  <c r="P75" i="123" s="1"/>
  <c r="I19" i="224"/>
  <c r="I73" i="224" s="1"/>
  <c r="I151" i="224" s="1"/>
  <c r="I18" i="224"/>
  <c r="I72" i="224" s="1"/>
  <c r="G18" i="224"/>
  <c r="O53" i="224" s="1"/>
  <c r="F18" i="224"/>
  <c r="N53" i="224" s="1"/>
  <c r="E18" i="224"/>
  <c r="M53" i="224" s="1"/>
  <c r="D16" i="224"/>
  <c r="D70" i="224" s="1"/>
  <c r="A15" i="224"/>
  <c r="A69" i="224" s="1"/>
  <c r="A13" i="224"/>
  <c r="A2" i="224"/>
  <c r="A14" i="224" s="1"/>
  <c r="A66" i="224" s="1"/>
  <c r="I293" i="223"/>
  <c r="I291" i="223"/>
  <c r="I289" i="223"/>
  <c r="O287" i="223"/>
  <c r="N287" i="223"/>
  <c r="M287" i="223"/>
  <c r="I255" i="223"/>
  <c r="I253" i="223"/>
  <c r="I251" i="223"/>
  <c r="O249" i="223"/>
  <c r="N249" i="223"/>
  <c r="M249" i="223"/>
  <c r="I217" i="223"/>
  <c r="I215" i="223"/>
  <c r="I213" i="223"/>
  <c r="O211" i="223"/>
  <c r="N211" i="223"/>
  <c r="M211" i="223"/>
  <c r="F178" i="223"/>
  <c r="F180" i="223" s="1"/>
  <c r="B166" i="223"/>
  <c r="G165" i="223"/>
  <c r="F165" i="223"/>
  <c r="F177" i="223" s="1"/>
  <c r="E165" i="223"/>
  <c r="O150" i="223"/>
  <c r="N150" i="223"/>
  <c r="M150" i="223"/>
  <c r="L150" i="223"/>
  <c r="K150" i="223"/>
  <c r="J150" i="223"/>
  <c r="G147" i="223"/>
  <c r="A146" i="223"/>
  <c r="O145" i="223"/>
  <c r="N145" i="223"/>
  <c r="M145" i="223"/>
  <c r="L145" i="223"/>
  <c r="K145" i="223"/>
  <c r="J145" i="223"/>
  <c r="I145" i="223"/>
  <c r="H145" i="223"/>
  <c r="G145" i="223"/>
  <c r="F145" i="223"/>
  <c r="E145" i="223"/>
  <c r="D145" i="223"/>
  <c r="C145" i="223"/>
  <c r="K144" i="223"/>
  <c r="E144" i="223"/>
  <c r="F138" i="223"/>
  <c r="F139" i="223" s="1"/>
  <c r="D136" i="223"/>
  <c r="D135" i="223"/>
  <c r="C134" i="223"/>
  <c r="D131" i="223"/>
  <c r="D128" i="223"/>
  <c r="M126" i="223"/>
  <c r="G126" i="223"/>
  <c r="G138" i="223" s="1"/>
  <c r="G139" i="223" s="1"/>
  <c r="F126" i="223"/>
  <c r="E126" i="223"/>
  <c r="E138" i="223" s="1"/>
  <c r="D138" i="223" s="1"/>
  <c r="J125" i="223"/>
  <c r="C121" i="223"/>
  <c r="C120" i="223"/>
  <c r="C119" i="223"/>
  <c r="C117" i="223"/>
  <c r="C116" i="223"/>
  <c r="C115" i="223"/>
  <c r="D114" i="223"/>
  <c r="B114" i="223"/>
  <c r="F113" i="223"/>
  <c r="B113" i="223"/>
  <c r="O111" i="223"/>
  <c r="N111" i="223"/>
  <c r="M111" i="223"/>
  <c r="L111" i="223"/>
  <c r="K111" i="223"/>
  <c r="J111" i="223"/>
  <c r="N108" i="223"/>
  <c r="L108" i="223"/>
  <c r="J108" i="223"/>
  <c r="D108" i="223"/>
  <c r="B108" i="223"/>
  <c r="A107" i="223"/>
  <c r="O106" i="223"/>
  <c r="N106" i="223"/>
  <c r="M106" i="223"/>
  <c r="L106" i="223"/>
  <c r="K106" i="223"/>
  <c r="J106" i="223"/>
  <c r="I106" i="223"/>
  <c r="H106" i="223"/>
  <c r="G106" i="223"/>
  <c r="F106" i="223"/>
  <c r="E106" i="223"/>
  <c r="D106" i="223"/>
  <c r="C106" i="223"/>
  <c r="G99" i="223"/>
  <c r="C99" i="223"/>
  <c r="C177" i="223" s="1"/>
  <c r="D98" i="223"/>
  <c r="C98" i="223"/>
  <c r="C137" i="223" s="1"/>
  <c r="D97" i="223"/>
  <c r="D175" i="223" s="1"/>
  <c r="C97" i="223"/>
  <c r="D96" i="223"/>
  <c r="D174" i="223" s="1"/>
  <c r="C96" i="223"/>
  <c r="D95" i="223"/>
  <c r="C95" i="223"/>
  <c r="C173" i="223" s="1"/>
  <c r="D94" i="223"/>
  <c r="C94" i="223"/>
  <c r="C133" i="223" s="1"/>
  <c r="D93" i="223"/>
  <c r="D171" i="223" s="1"/>
  <c r="C93" i="223"/>
  <c r="D92" i="223"/>
  <c r="D170" i="223" s="1"/>
  <c r="C92" i="223"/>
  <c r="D91" i="223"/>
  <c r="C91" i="223"/>
  <c r="C169" i="223" s="1"/>
  <c r="D90" i="223"/>
  <c r="C90" i="223"/>
  <c r="C129" i="223" s="1"/>
  <c r="D89" i="223"/>
  <c r="D167" i="223" s="1"/>
  <c r="C89" i="223"/>
  <c r="G88" i="223"/>
  <c r="G166" i="223" s="1"/>
  <c r="F88" i="223"/>
  <c r="E88" i="223"/>
  <c r="D88" i="223"/>
  <c r="D166" i="223" s="1"/>
  <c r="C88" i="223"/>
  <c r="B88" i="223"/>
  <c r="B127" i="223" s="1"/>
  <c r="O87" i="223"/>
  <c r="O165" i="223" s="1"/>
  <c r="N87" i="223"/>
  <c r="M87" i="223"/>
  <c r="M165" i="223" s="1"/>
  <c r="L87" i="223"/>
  <c r="K87" i="223"/>
  <c r="J87" i="223"/>
  <c r="J165" i="223" s="1"/>
  <c r="I87" i="223"/>
  <c r="G87" i="223"/>
  <c r="F87" i="223"/>
  <c r="E87" i="223"/>
  <c r="D87" i="223"/>
  <c r="D165" i="223" s="1"/>
  <c r="C87" i="223"/>
  <c r="B87" i="223"/>
  <c r="O86" i="223"/>
  <c r="O164" i="223" s="1"/>
  <c r="N86" i="223"/>
  <c r="M86" i="223"/>
  <c r="M125" i="223" s="1"/>
  <c r="L86" i="223"/>
  <c r="L164" i="223" s="1"/>
  <c r="K86" i="223"/>
  <c r="J86" i="223"/>
  <c r="J164" i="223" s="1"/>
  <c r="D86" i="223"/>
  <c r="C86" i="223"/>
  <c r="D85" i="223"/>
  <c r="D163" i="223" s="1"/>
  <c r="C85" i="223"/>
  <c r="D84" i="223"/>
  <c r="D123" i="223" s="1"/>
  <c r="C84" i="223"/>
  <c r="C162" i="223" s="1"/>
  <c r="D83" i="223"/>
  <c r="C83" i="223"/>
  <c r="C161" i="223" s="1"/>
  <c r="D82" i="223"/>
  <c r="C82" i="223"/>
  <c r="C160" i="223" s="1"/>
  <c r="D81" i="223"/>
  <c r="D159" i="223" s="1"/>
  <c r="C81" i="223"/>
  <c r="C159" i="223" s="1"/>
  <c r="D80" i="223"/>
  <c r="D119" i="223" s="1"/>
  <c r="C80" i="223"/>
  <c r="C158" i="223" s="1"/>
  <c r="D79" i="223"/>
  <c r="C79" i="223"/>
  <c r="C157" i="223" s="1"/>
  <c r="D78" i="223"/>
  <c r="D156" i="223" s="1"/>
  <c r="C78" i="223"/>
  <c r="C156" i="223" s="1"/>
  <c r="D77" i="223"/>
  <c r="D155" i="223" s="1"/>
  <c r="C77" i="223"/>
  <c r="C155" i="223" s="1"/>
  <c r="D76" i="223"/>
  <c r="D154" i="223" s="1"/>
  <c r="C76" i="223"/>
  <c r="C154" i="223" s="1"/>
  <c r="G75" i="223"/>
  <c r="F75" i="223"/>
  <c r="F153" i="223" s="1"/>
  <c r="E75" i="223"/>
  <c r="E153" i="223" s="1"/>
  <c r="D75" i="223"/>
  <c r="D153" i="223" s="1"/>
  <c r="C75" i="223"/>
  <c r="C153" i="223" s="1"/>
  <c r="B75" i="223"/>
  <c r="B153" i="223" s="1"/>
  <c r="G74" i="223"/>
  <c r="G152" i="223" s="1"/>
  <c r="F74" i="223"/>
  <c r="F152" i="223" s="1"/>
  <c r="E74" i="223"/>
  <c r="D74" i="223"/>
  <c r="D152" i="223" s="1"/>
  <c r="C74" i="223"/>
  <c r="C152" i="223" s="1"/>
  <c r="B74" i="223"/>
  <c r="B152" i="223" s="1"/>
  <c r="O69" i="223"/>
  <c r="O147" i="223" s="1"/>
  <c r="N69" i="223"/>
  <c r="N147" i="223" s="1"/>
  <c r="M69" i="223"/>
  <c r="M147" i="223" s="1"/>
  <c r="L69" i="223"/>
  <c r="L147" i="223" s="1"/>
  <c r="K69" i="223"/>
  <c r="J69" i="223"/>
  <c r="J147" i="223" s="1"/>
  <c r="G69" i="223"/>
  <c r="G108" i="223" s="1"/>
  <c r="F69" i="223"/>
  <c r="F147" i="223" s="1"/>
  <c r="E69" i="223"/>
  <c r="E147" i="223" s="1"/>
  <c r="D69" i="223"/>
  <c r="D147" i="223" s="1"/>
  <c r="C69" i="223"/>
  <c r="C147" i="223" s="1"/>
  <c r="B69" i="223"/>
  <c r="B147" i="223" s="1"/>
  <c r="O67" i="223"/>
  <c r="N67" i="223"/>
  <c r="M67" i="223"/>
  <c r="L67" i="223"/>
  <c r="K67" i="223"/>
  <c r="J67" i="223"/>
  <c r="I67" i="223"/>
  <c r="H67" i="223"/>
  <c r="G67" i="223"/>
  <c r="F67" i="223"/>
  <c r="E67" i="223"/>
  <c r="D67" i="223"/>
  <c r="C67" i="223"/>
  <c r="O66" i="223"/>
  <c r="O144" i="223" s="1"/>
  <c r="N66" i="223"/>
  <c r="N144" i="223" s="1"/>
  <c r="M66" i="223"/>
  <c r="M144" i="223" s="1"/>
  <c r="L66" i="223"/>
  <c r="L144" i="223" s="1"/>
  <c r="K66" i="223"/>
  <c r="K105" i="223" s="1"/>
  <c r="J66" i="223"/>
  <c r="J144" i="223" s="1"/>
  <c r="I66" i="223"/>
  <c r="I144" i="223" s="1"/>
  <c r="H66" i="223"/>
  <c r="H105" i="223" s="1"/>
  <c r="G66" i="223"/>
  <c r="G144" i="223" s="1"/>
  <c r="F66" i="223"/>
  <c r="F144" i="223" s="1"/>
  <c r="E66" i="223"/>
  <c r="E105" i="223" s="1"/>
  <c r="D66" i="223"/>
  <c r="C66" i="223"/>
  <c r="C144" i="223" s="1"/>
  <c r="A63" i="223"/>
  <c r="N62" i="223"/>
  <c r="A62" i="223"/>
  <c r="A61" i="223"/>
  <c r="A60" i="223"/>
  <c r="A59" i="223"/>
  <c r="A58" i="223"/>
  <c r="A57" i="223"/>
  <c r="A56" i="223"/>
  <c r="A55" i="223"/>
  <c r="A54" i="223"/>
  <c r="A53" i="223"/>
  <c r="A52" i="223"/>
  <c r="A50" i="223"/>
  <c r="G44" i="223"/>
  <c r="F44" i="223"/>
  <c r="E44" i="223"/>
  <c r="I43" i="223"/>
  <c r="I96" i="223" s="1"/>
  <c r="G43" i="223"/>
  <c r="F43" i="223"/>
  <c r="E43" i="223"/>
  <c r="G42" i="223"/>
  <c r="F42" i="223"/>
  <c r="E42" i="223"/>
  <c r="G41" i="223"/>
  <c r="F41" i="223"/>
  <c r="E41" i="223"/>
  <c r="O40" i="223"/>
  <c r="N40" i="223"/>
  <c r="M40" i="223"/>
  <c r="J40" i="223"/>
  <c r="J94" i="223" s="1"/>
  <c r="J133" i="223" s="1"/>
  <c r="J172" i="223" s="1"/>
  <c r="G40" i="223"/>
  <c r="F40" i="223"/>
  <c r="E40" i="223"/>
  <c r="O39" i="223"/>
  <c r="N39" i="223"/>
  <c r="M39" i="223"/>
  <c r="G39" i="223"/>
  <c r="F39" i="223"/>
  <c r="E39" i="223"/>
  <c r="O38" i="223"/>
  <c r="N38" i="223"/>
  <c r="M38" i="223"/>
  <c r="I38" i="223"/>
  <c r="I92" i="223" s="1"/>
  <c r="I131" i="223" s="1"/>
  <c r="I170" i="223" s="1"/>
  <c r="G38" i="223"/>
  <c r="F38" i="223"/>
  <c r="E38" i="223"/>
  <c r="J37" i="223"/>
  <c r="J91" i="223" s="1"/>
  <c r="J130" i="223" s="1"/>
  <c r="J169" i="223" s="1"/>
  <c r="I37" i="223"/>
  <c r="I91" i="223" s="1"/>
  <c r="I130" i="223" s="1"/>
  <c r="I169" i="223" s="1"/>
  <c r="G37" i="223"/>
  <c r="F37" i="223"/>
  <c r="E37" i="223"/>
  <c r="G36" i="223"/>
  <c r="F36" i="223"/>
  <c r="E36" i="223"/>
  <c r="G35" i="223"/>
  <c r="O56" i="223" s="1"/>
  <c r="F35" i="223"/>
  <c r="E35" i="223"/>
  <c r="A34" i="223"/>
  <c r="A88" i="223" s="1"/>
  <c r="G33" i="223"/>
  <c r="F33" i="223"/>
  <c r="I32" i="223"/>
  <c r="I86" i="223" s="1"/>
  <c r="G32" i="223"/>
  <c r="F32" i="223"/>
  <c r="E32" i="223"/>
  <c r="B32" i="223"/>
  <c r="B45" i="223" s="1"/>
  <c r="B99" i="223" s="1"/>
  <c r="A32" i="223"/>
  <c r="A45" i="223" s="1"/>
  <c r="A99" i="223" s="1"/>
  <c r="G31" i="223"/>
  <c r="F31" i="223"/>
  <c r="E31" i="223"/>
  <c r="B31" i="223"/>
  <c r="B85" i="223" s="1"/>
  <c r="A31" i="223"/>
  <c r="A85" i="223" s="1"/>
  <c r="G30" i="223"/>
  <c r="F30" i="223"/>
  <c r="E30" i="223"/>
  <c r="B30" i="223"/>
  <c r="B84" i="223" s="1"/>
  <c r="B162" i="223" s="1"/>
  <c r="A30" i="223"/>
  <c r="A84" i="223" s="1"/>
  <c r="I29" i="223"/>
  <c r="I82" i="223" s="1"/>
  <c r="G29" i="223"/>
  <c r="F29" i="223"/>
  <c r="L73" i="113" s="1"/>
  <c r="E29" i="223"/>
  <c r="B29" i="223"/>
  <c r="B83" i="223" s="1"/>
  <c r="A29" i="223"/>
  <c r="A83" i="223" s="1"/>
  <c r="G28" i="223"/>
  <c r="F28" i="223"/>
  <c r="E28" i="223"/>
  <c r="B28" i="223"/>
  <c r="B41" i="223" s="1"/>
  <c r="B95" i="223" s="1"/>
  <c r="A28" i="223"/>
  <c r="A82" i="223" s="1"/>
  <c r="I27" i="223"/>
  <c r="I80" i="223" s="1"/>
  <c r="G27" i="223"/>
  <c r="F27" i="223"/>
  <c r="E27" i="223"/>
  <c r="B27" i="223"/>
  <c r="B81" i="223" s="1"/>
  <c r="A27" i="223"/>
  <c r="A81" i="223" s="1"/>
  <c r="O26" i="223"/>
  <c r="N26" i="223"/>
  <c r="M26" i="223"/>
  <c r="I26" i="223"/>
  <c r="I79" i="223" s="1"/>
  <c r="G26" i="223"/>
  <c r="F26" i="223"/>
  <c r="E26" i="223"/>
  <c r="B26" i="223"/>
  <c r="B80" i="223" s="1"/>
  <c r="A26" i="223"/>
  <c r="A80" i="223" s="1"/>
  <c r="I25" i="223"/>
  <c r="I78" i="223" s="1"/>
  <c r="G25" i="223"/>
  <c r="F25" i="223"/>
  <c r="E25" i="223"/>
  <c r="B25" i="223"/>
  <c r="B79" i="223" s="1"/>
  <c r="A25" i="223"/>
  <c r="A79" i="223" s="1"/>
  <c r="O24" i="223"/>
  <c r="N24" i="223"/>
  <c r="M24" i="223"/>
  <c r="I24" i="223"/>
  <c r="I77" i="223" s="1"/>
  <c r="I155" i="223" s="1"/>
  <c r="G24" i="223"/>
  <c r="F24" i="223"/>
  <c r="E24" i="223"/>
  <c r="B24" i="223"/>
  <c r="B78" i="223" s="1"/>
  <c r="B156" i="223" s="1"/>
  <c r="A24" i="223"/>
  <c r="J39" i="223" s="1"/>
  <c r="J93" i="223" s="1"/>
  <c r="J132" i="223" s="1"/>
  <c r="J171" i="223" s="1"/>
  <c r="O23" i="223"/>
  <c r="N23" i="223"/>
  <c r="M23" i="223"/>
  <c r="I23" i="223"/>
  <c r="I76" i="223" s="1"/>
  <c r="G23" i="223"/>
  <c r="F23" i="223"/>
  <c r="E23" i="223"/>
  <c r="B23" i="223"/>
  <c r="B77" i="223" s="1"/>
  <c r="A23" i="223"/>
  <c r="A77" i="223" s="1"/>
  <c r="A155" i="223" s="1"/>
  <c r="I22" i="223"/>
  <c r="I75" i="223" s="1"/>
  <c r="G22" i="223"/>
  <c r="F22" i="223"/>
  <c r="N56" i="223" s="1"/>
  <c r="E22" i="223"/>
  <c r="F73" i="113" s="1"/>
  <c r="F37" i="183" s="1"/>
  <c r="B22" i="223"/>
  <c r="B76" i="223" s="1"/>
  <c r="A22" i="223"/>
  <c r="A76" i="223" s="1"/>
  <c r="A21" i="223"/>
  <c r="A33" i="223" s="1"/>
  <c r="A87" i="223" s="1"/>
  <c r="O19" i="223"/>
  <c r="X73" i="123" s="1"/>
  <c r="N19" i="223"/>
  <c r="T73" i="123" s="1"/>
  <c r="M19" i="223"/>
  <c r="P73" i="123" s="1"/>
  <c r="I19" i="223"/>
  <c r="I73" i="223" s="1"/>
  <c r="I151" i="223" s="1"/>
  <c r="I18" i="223"/>
  <c r="I72" i="223" s="1"/>
  <c r="G18" i="223"/>
  <c r="O53" i="223" s="1"/>
  <c r="F18" i="223"/>
  <c r="N53" i="223" s="1"/>
  <c r="E18" i="223"/>
  <c r="M53" i="223" s="1"/>
  <c r="D16" i="223"/>
  <c r="L16" i="223" s="1"/>
  <c r="L70" i="223" s="1"/>
  <c r="I15" i="223"/>
  <c r="I69" i="223" s="1"/>
  <c r="A15" i="223"/>
  <c r="A69" i="223" s="1"/>
  <c r="A13" i="223"/>
  <c r="A2" i="223"/>
  <c r="A14" i="223" s="1"/>
  <c r="A66" i="223" s="1"/>
  <c r="I293" i="222"/>
  <c r="I291" i="222"/>
  <c r="I289" i="222"/>
  <c r="O287" i="222"/>
  <c r="N287" i="222"/>
  <c r="M287" i="222"/>
  <c r="I255" i="222"/>
  <c r="I253" i="222"/>
  <c r="I251" i="222"/>
  <c r="O249" i="222"/>
  <c r="N249" i="222"/>
  <c r="M249" i="222"/>
  <c r="I217" i="222"/>
  <c r="I215" i="222"/>
  <c r="I213" i="222"/>
  <c r="O211" i="222"/>
  <c r="N211" i="222"/>
  <c r="M211" i="222"/>
  <c r="E178" i="222"/>
  <c r="E180" i="222" s="1"/>
  <c r="E177" i="222"/>
  <c r="D175" i="222"/>
  <c r="D174" i="222"/>
  <c r="D173" i="222"/>
  <c r="D171" i="222"/>
  <c r="D170" i="222"/>
  <c r="D169" i="222"/>
  <c r="D167" i="222"/>
  <c r="G166" i="222"/>
  <c r="E166" i="222"/>
  <c r="O165" i="222"/>
  <c r="M165" i="222"/>
  <c r="K165" i="222"/>
  <c r="G165" i="222"/>
  <c r="G177" i="222" s="1"/>
  <c r="G178" i="222" s="1"/>
  <c r="G180" i="222" s="1"/>
  <c r="F165" i="222"/>
  <c r="E165" i="222"/>
  <c r="D165" i="222"/>
  <c r="B165" i="222"/>
  <c r="L164" i="222"/>
  <c r="J164" i="222"/>
  <c r="C164" i="222"/>
  <c r="C162" i="222"/>
  <c r="C161" i="222"/>
  <c r="C160" i="222"/>
  <c r="C158" i="222"/>
  <c r="C157" i="222"/>
  <c r="C156" i="222"/>
  <c r="C154" i="222"/>
  <c r="F153" i="222"/>
  <c r="D153" i="222"/>
  <c r="F152" i="222"/>
  <c r="D152" i="222"/>
  <c r="B152" i="222"/>
  <c r="O150" i="222"/>
  <c r="N150" i="222"/>
  <c r="M150" i="222"/>
  <c r="L150" i="222"/>
  <c r="K150" i="222"/>
  <c r="J150" i="222"/>
  <c r="N147" i="222"/>
  <c r="J147" i="222"/>
  <c r="F147" i="222"/>
  <c r="D147" i="222"/>
  <c r="A146" i="222"/>
  <c r="O145" i="222"/>
  <c r="N145" i="222"/>
  <c r="M145" i="222"/>
  <c r="L145" i="222"/>
  <c r="K145" i="222"/>
  <c r="J145" i="222"/>
  <c r="I145" i="222"/>
  <c r="H145" i="222"/>
  <c r="G145" i="222"/>
  <c r="F145" i="222"/>
  <c r="E145" i="222"/>
  <c r="D145" i="222"/>
  <c r="C145" i="222"/>
  <c r="G138" i="222"/>
  <c r="G139" i="222" s="1"/>
  <c r="G141" i="222" s="1"/>
  <c r="C138" i="222"/>
  <c r="C130" i="222"/>
  <c r="J126" i="222"/>
  <c r="G126" i="222"/>
  <c r="F126" i="222"/>
  <c r="F138" i="222" s="1"/>
  <c r="F139" i="222" s="1"/>
  <c r="F141" i="222" s="1"/>
  <c r="E126" i="222"/>
  <c r="E138" i="222" s="1"/>
  <c r="O125" i="222"/>
  <c r="D120" i="222"/>
  <c r="C114" i="222"/>
  <c r="O111" i="222"/>
  <c r="N111" i="222"/>
  <c r="M111" i="222"/>
  <c r="L111" i="222"/>
  <c r="K111" i="222"/>
  <c r="J111" i="222"/>
  <c r="M108" i="222"/>
  <c r="G108" i="222"/>
  <c r="C108" i="222"/>
  <c r="A107" i="222"/>
  <c r="O106" i="222"/>
  <c r="N106" i="222"/>
  <c r="M106" i="222"/>
  <c r="L106" i="222"/>
  <c r="K106" i="222"/>
  <c r="J106" i="222"/>
  <c r="I106" i="222"/>
  <c r="H106" i="222"/>
  <c r="G106" i="222"/>
  <c r="F106" i="222"/>
  <c r="E106" i="222"/>
  <c r="D106" i="222"/>
  <c r="C106" i="222"/>
  <c r="O105" i="222"/>
  <c r="K105" i="222"/>
  <c r="I105" i="222"/>
  <c r="G105" i="222"/>
  <c r="C105" i="222"/>
  <c r="F99" i="222"/>
  <c r="F100" i="222" s="1"/>
  <c r="C99" i="222"/>
  <c r="C177" i="222" s="1"/>
  <c r="D98" i="222"/>
  <c r="D137" i="222" s="1"/>
  <c r="C98" i="222"/>
  <c r="C176" i="222" s="1"/>
  <c r="D97" i="222"/>
  <c r="D136" i="222" s="1"/>
  <c r="C97" i="222"/>
  <c r="D96" i="222"/>
  <c r="D135" i="222" s="1"/>
  <c r="C96" i="222"/>
  <c r="C135" i="222" s="1"/>
  <c r="D95" i="222"/>
  <c r="D134" i="222" s="1"/>
  <c r="C95" i="222"/>
  <c r="C173" i="222" s="1"/>
  <c r="D94" i="222"/>
  <c r="D133" i="222" s="1"/>
  <c r="C94" i="222"/>
  <c r="C172" i="222" s="1"/>
  <c r="D93" i="222"/>
  <c r="D132" i="222" s="1"/>
  <c r="C93" i="222"/>
  <c r="D92" i="222"/>
  <c r="D131" i="222" s="1"/>
  <c r="C92" i="222"/>
  <c r="C131" i="222" s="1"/>
  <c r="D91" i="222"/>
  <c r="D130" i="222" s="1"/>
  <c r="C91" i="222"/>
  <c r="C169" i="222" s="1"/>
  <c r="D90" i="222"/>
  <c r="D129" i="222" s="1"/>
  <c r="C90" i="222"/>
  <c r="C168" i="222" s="1"/>
  <c r="D89" i="222"/>
  <c r="D128" i="222" s="1"/>
  <c r="C89" i="222"/>
  <c r="G88" i="222"/>
  <c r="G127" i="222" s="1"/>
  <c r="F88" i="222"/>
  <c r="F127" i="222" s="1"/>
  <c r="E88" i="222"/>
  <c r="E127" i="222" s="1"/>
  <c r="D88" i="222"/>
  <c r="D166" i="222" s="1"/>
  <c r="C88" i="222"/>
  <c r="C127" i="222" s="1"/>
  <c r="B88" i="222"/>
  <c r="B166" i="222" s="1"/>
  <c r="O87" i="222"/>
  <c r="O126" i="222" s="1"/>
  <c r="N87" i="222"/>
  <c r="N165" i="222" s="1"/>
  <c r="M87" i="222"/>
  <c r="M126" i="222" s="1"/>
  <c r="L87" i="222"/>
  <c r="L126" i="222" s="1"/>
  <c r="K87" i="222"/>
  <c r="K126" i="222" s="1"/>
  <c r="J87" i="222"/>
  <c r="J165" i="222" s="1"/>
  <c r="I87" i="222"/>
  <c r="I126" i="222" s="1"/>
  <c r="G87" i="222"/>
  <c r="G99" i="222" s="1"/>
  <c r="F87" i="222"/>
  <c r="E87" i="222"/>
  <c r="D87" i="222"/>
  <c r="D126" i="222" s="1"/>
  <c r="C87" i="222"/>
  <c r="C126" i="222" s="1"/>
  <c r="B87" i="222"/>
  <c r="B126" i="222" s="1"/>
  <c r="O86" i="222"/>
  <c r="O164" i="222" s="1"/>
  <c r="N86" i="222"/>
  <c r="N125" i="222" s="1"/>
  <c r="M86" i="222"/>
  <c r="M164" i="222" s="1"/>
  <c r="L86" i="222"/>
  <c r="L125" i="222" s="1"/>
  <c r="K86" i="222"/>
  <c r="J86" i="222"/>
  <c r="J125" i="222" s="1"/>
  <c r="D86" i="222"/>
  <c r="D125" i="222" s="1"/>
  <c r="C86" i="222"/>
  <c r="C125" i="222" s="1"/>
  <c r="D85" i="222"/>
  <c r="D163" i="222" s="1"/>
  <c r="C85" i="222"/>
  <c r="C124" i="222" s="1"/>
  <c r="D84" i="222"/>
  <c r="D162" i="222" s="1"/>
  <c r="C84" i="222"/>
  <c r="C123" i="222" s="1"/>
  <c r="D83" i="222"/>
  <c r="D161" i="222" s="1"/>
  <c r="C83" i="222"/>
  <c r="C122" i="222" s="1"/>
  <c r="D82" i="222"/>
  <c r="D121" i="222" s="1"/>
  <c r="C82" i="222"/>
  <c r="C121" i="222" s="1"/>
  <c r="D81" i="222"/>
  <c r="D159" i="222" s="1"/>
  <c r="C81" i="222"/>
  <c r="C120" i="222" s="1"/>
  <c r="D80" i="222"/>
  <c r="D158" i="222" s="1"/>
  <c r="C80" i="222"/>
  <c r="C119" i="222" s="1"/>
  <c r="D79" i="222"/>
  <c r="C79" i="222"/>
  <c r="C118" i="222" s="1"/>
  <c r="D78" i="222"/>
  <c r="D117" i="222" s="1"/>
  <c r="C78" i="222"/>
  <c r="C117" i="222" s="1"/>
  <c r="D77" i="222"/>
  <c r="D155" i="222" s="1"/>
  <c r="C77" i="222"/>
  <c r="C116" i="222" s="1"/>
  <c r="D76" i="222"/>
  <c r="D154" i="222" s="1"/>
  <c r="C76" i="222"/>
  <c r="C115" i="222" s="1"/>
  <c r="G75" i="222"/>
  <c r="F75" i="222"/>
  <c r="F114" i="222" s="1"/>
  <c r="E75" i="222"/>
  <c r="E114" i="222" s="1"/>
  <c r="D75" i="222"/>
  <c r="D114" i="222" s="1"/>
  <c r="C75" i="222"/>
  <c r="C153" i="222" s="1"/>
  <c r="B75" i="222"/>
  <c r="B114" i="222" s="1"/>
  <c r="G74" i="222"/>
  <c r="G152" i="222" s="1"/>
  <c r="F74" i="222"/>
  <c r="F113" i="222" s="1"/>
  <c r="E74" i="222"/>
  <c r="D74" i="222"/>
  <c r="D113" i="222" s="1"/>
  <c r="C74" i="222"/>
  <c r="C113" i="222" s="1"/>
  <c r="B74" i="222"/>
  <c r="B113" i="222" s="1"/>
  <c r="O69" i="222"/>
  <c r="N69" i="222"/>
  <c r="N108" i="222" s="1"/>
  <c r="M69" i="222"/>
  <c r="M147" i="222" s="1"/>
  <c r="L69" i="222"/>
  <c r="L108" i="222" s="1"/>
  <c r="K69" i="222"/>
  <c r="J69" i="222"/>
  <c r="J108" i="222" s="1"/>
  <c r="G69" i="222"/>
  <c r="G147" i="222" s="1"/>
  <c r="F69" i="222"/>
  <c r="F108" i="222" s="1"/>
  <c r="E69" i="222"/>
  <c r="D69" i="222"/>
  <c r="D108" i="222" s="1"/>
  <c r="C69" i="222"/>
  <c r="C147" i="222" s="1"/>
  <c r="B69" i="222"/>
  <c r="B108" i="222" s="1"/>
  <c r="O67" i="222"/>
  <c r="N67" i="222"/>
  <c r="M67" i="222"/>
  <c r="L67" i="222"/>
  <c r="K67" i="222"/>
  <c r="J67" i="222"/>
  <c r="I67" i="222"/>
  <c r="H67" i="222"/>
  <c r="G67" i="222"/>
  <c r="F67" i="222"/>
  <c r="E67" i="222"/>
  <c r="D67" i="222"/>
  <c r="C67" i="222"/>
  <c r="O66" i="222"/>
  <c r="O144" i="222" s="1"/>
  <c r="N66" i="222"/>
  <c r="N105" i="222" s="1"/>
  <c r="M66" i="222"/>
  <c r="M144" i="222" s="1"/>
  <c r="L66" i="222"/>
  <c r="K66" i="222"/>
  <c r="K144" i="222" s="1"/>
  <c r="J66" i="222"/>
  <c r="J105" i="222" s="1"/>
  <c r="I66" i="222"/>
  <c r="I144" i="222" s="1"/>
  <c r="H66" i="222"/>
  <c r="H105" i="222" s="1"/>
  <c r="G66" i="222"/>
  <c r="G144" i="222" s="1"/>
  <c r="F66" i="222"/>
  <c r="F105" i="222" s="1"/>
  <c r="E66" i="222"/>
  <c r="E144" i="222" s="1"/>
  <c r="D66" i="222"/>
  <c r="C66" i="222"/>
  <c r="C144" i="222" s="1"/>
  <c r="A63" i="222"/>
  <c r="N62" i="222"/>
  <c r="A62" i="222"/>
  <c r="A61" i="222"/>
  <c r="A60" i="222"/>
  <c r="A59" i="222"/>
  <c r="A58" i="222"/>
  <c r="A57" i="222"/>
  <c r="A56" i="222"/>
  <c r="A55" i="222"/>
  <c r="A54" i="222"/>
  <c r="A53" i="222"/>
  <c r="A52" i="222"/>
  <c r="A50" i="222"/>
  <c r="G44" i="222"/>
  <c r="F44" i="222"/>
  <c r="E44" i="222"/>
  <c r="I43" i="222"/>
  <c r="I96" i="222" s="1"/>
  <c r="G43" i="222"/>
  <c r="F43" i="222"/>
  <c r="E43" i="222"/>
  <c r="G42" i="222"/>
  <c r="F42" i="222"/>
  <c r="E42" i="222"/>
  <c r="G41" i="222"/>
  <c r="F41" i="222"/>
  <c r="E41" i="222"/>
  <c r="O40" i="222"/>
  <c r="N40" i="222"/>
  <c r="M40" i="222"/>
  <c r="J40" i="222"/>
  <c r="J94" i="222" s="1"/>
  <c r="J133" i="222" s="1"/>
  <c r="J172" i="222" s="1"/>
  <c r="G40" i="222"/>
  <c r="F40" i="222"/>
  <c r="E40" i="222"/>
  <c r="O39" i="222"/>
  <c r="N39" i="222"/>
  <c r="M39" i="222"/>
  <c r="G39" i="222"/>
  <c r="F39" i="222"/>
  <c r="E39" i="222"/>
  <c r="O38" i="222"/>
  <c r="N38" i="222"/>
  <c r="M38" i="222"/>
  <c r="I38" i="222"/>
  <c r="I92" i="222" s="1"/>
  <c r="I131" i="222" s="1"/>
  <c r="I170" i="222" s="1"/>
  <c r="G38" i="222"/>
  <c r="F38" i="222"/>
  <c r="E38" i="222"/>
  <c r="J37" i="222"/>
  <c r="J91" i="222" s="1"/>
  <c r="J130" i="222" s="1"/>
  <c r="J169" i="222" s="1"/>
  <c r="I37" i="222"/>
  <c r="I91" i="222" s="1"/>
  <c r="I130" i="222" s="1"/>
  <c r="I169" i="222" s="1"/>
  <c r="G37" i="222"/>
  <c r="F37" i="222"/>
  <c r="E37" i="222"/>
  <c r="G36" i="222"/>
  <c r="F36" i="222"/>
  <c r="E36" i="222"/>
  <c r="G35" i="222"/>
  <c r="F35" i="222"/>
  <c r="E35" i="222"/>
  <c r="A34" i="222"/>
  <c r="A46" i="222" s="1"/>
  <c r="A100" i="222" s="1"/>
  <c r="G33" i="222"/>
  <c r="I32" i="222"/>
  <c r="I86" i="222" s="1"/>
  <c r="G32" i="222"/>
  <c r="F32" i="222"/>
  <c r="E32" i="222"/>
  <c r="B32" i="222"/>
  <c r="B86" i="222" s="1"/>
  <c r="A32" i="222"/>
  <c r="A86" i="222" s="1"/>
  <c r="G31" i="222"/>
  <c r="F31" i="222"/>
  <c r="E31" i="222"/>
  <c r="B31" i="222"/>
  <c r="B85" i="222" s="1"/>
  <c r="A31" i="222"/>
  <c r="A85" i="222" s="1"/>
  <c r="G30" i="222"/>
  <c r="F30" i="222"/>
  <c r="E30" i="222"/>
  <c r="B30" i="222"/>
  <c r="B84" i="222" s="1"/>
  <c r="A30" i="222"/>
  <c r="A84" i="222" s="1"/>
  <c r="I29" i="222"/>
  <c r="I82" i="222" s="1"/>
  <c r="G29" i="222"/>
  <c r="F29" i="222"/>
  <c r="L71" i="113" s="1"/>
  <c r="E29" i="222"/>
  <c r="B29" i="222"/>
  <c r="B42" i="222" s="1"/>
  <c r="B96" i="222" s="1"/>
  <c r="A29" i="222"/>
  <c r="A83" i="222" s="1"/>
  <c r="G28" i="222"/>
  <c r="F28" i="222"/>
  <c r="E28" i="222"/>
  <c r="B28" i="222"/>
  <c r="B82" i="222" s="1"/>
  <c r="A28" i="222"/>
  <c r="A82" i="222" s="1"/>
  <c r="I27" i="222"/>
  <c r="I80" i="222" s="1"/>
  <c r="G27" i="222"/>
  <c r="F27" i="222"/>
  <c r="E27" i="222"/>
  <c r="B27" i="222"/>
  <c r="B40" i="222" s="1"/>
  <c r="B94" i="222" s="1"/>
  <c r="A27" i="222"/>
  <c r="A81" i="222" s="1"/>
  <c r="O26" i="222"/>
  <c r="N26" i="222"/>
  <c r="M26" i="222"/>
  <c r="I26" i="222"/>
  <c r="I79" i="222" s="1"/>
  <c r="G26" i="222"/>
  <c r="F26" i="222"/>
  <c r="E26" i="222"/>
  <c r="B26" i="222"/>
  <c r="B80" i="222" s="1"/>
  <c r="A26" i="222"/>
  <c r="A39" i="222" s="1"/>
  <c r="A93" i="222" s="1"/>
  <c r="I25" i="222"/>
  <c r="I78" i="222" s="1"/>
  <c r="G25" i="222"/>
  <c r="F25" i="222"/>
  <c r="E25" i="222"/>
  <c r="B25" i="222"/>
  <c r="B79" i="222" s="1"/>
  <c r="A25" i="222"/>
  <c r="A79" i="222" s="1"/>
  <c r="O24" i="222"/>
  <c r="N24" i="222"/>
  <c r="M24" i="222"/>
  <c r="I24" i="222"/>
  <c r="I77" i="222" s="1"/>
  <c r="G24" i="222"/>
  <c r="F24" i="222"/>
  <c r="E24" i="222"/>
  <c r="B24" i="222"/>
  <c r="B78" i="222" s="1"/>
  <c r="A24" i="222"/>
  <c r="A78" i="222" s="1"/>
  <c r="O23" i="222"/>
  <c r="N23" i="222"/>
  <c r="M23" i="222"/>
  <c r="I23" i="222"/>
  <c r="I76" i="222" s="1"/>
  <c r="G23" i="222"/>
  <c r="F23" i="222"/>
  <c r="E23" i="222"/>
  <c r="B23" i="222"/>
  <c r="B77" i="222" s="1"/>
  <c r="A23" i="222"/>
  <c r="A77" i="222" s="1"/>
  <c r="I22" i="222"/>
  <c r="I75" i="222" s="1"/>
  <c r="G22" i="222"/>
  <c r="F22" i="222"/>
  <c r="E22" i="222"/>
  <c r="B22" i="222"/>
  <c r="B35" i="222" s="1"/>
  <c r="B89" i="222" s="1"/>
  <c r="A22" i="222"/>
  <c r="A76" i="222" s="1"/>
  <c r="A21" i="222"/>
  <c r="A75" i="222" s="1"/>
  <c r="O19" i="222"/>
  <c r="X71" i="123" s="1"/>
  <c r="N19" i="222"/>
  <c r="T71" i="123" s="1"/>
  <c r="M19" i="222"/>
  <c r="P71" i="123" s="1"/>
  <c r="I19" i="222"/>
  <c r="I73" i="222" s="1"/>
  <c r="I18" i="222"/>
  <c r="I72" i="222" s="1"/>
  <c r="G18" i="222"/>
  <c r="O53" i="222" s="1"/>
  <c r="F18" i="222"/>
  <c r="N53" i="222" s="1"/>
  <c r="E18" i="222"/>
  <c r="M53" i="222" s="1"/>
  <c r="D16" i="222"/>
  <c r="D70" i="222" s="1"/>
  <c r="I15" i="222"/>
  <c r="I69" i="222" s="1"/>
  <c r="A15" i="222"/>
  <c r="A69" i="222" s="1"/>
  <c r="A13" i="222"/>
  <c r="A2" i="222"/>
  <c r="A14" i="222" s="1"/>
  <c r="I294" i="220"/>
  <c r="I292" i="220"/>
  <c r="I290" i="220"/>
  <c r="O288" i="220"/>
  <c r="N288" i="220"/>
  <c r="M288" i="220"/>
  <c r="I256" i="220"/>
  <c r="I254" i="220"/>
  <c r="I252" i="220"/>
  <c r="O250" i="220"/>
  <c r="N250" i="220"/>
  <c r="M250" i="220"/>
  <c r="G217" i="220"/>
  <c r="G216" i="220"/>
  <c r="D214" i="220"/>
  <c r="D212" i="220"/>
  <c r="C205" i="220"/>
  <c r="O204" i="220"/>
  <c r="G204" i="220"/>
  <c r="G219" i="220" s="1"/>
  <c r="F204" i="220"/>
  <c r="F216" i="220" s="1"/>
  <c r="F217" i="220" s="1"/>
  <c r="E204" i="220"/>
  <c r="E216" i="220" s="1"/>
  <c r="E217" i="220" s="1"/>
  <c r="N203" i="220"/>
  <c r="L203" i="220"/>
  <c r="C195" i="220"/>
  <c r="C194" i="220"/>
  <c r="O189" i="220"/>
  <c r="N189" i="220"/>
  <c r="M189" i="220"/>
  <c r="L189" i="220"/>
  <c r="K189" i="220"/>
  <c r="J189" i="220"/>
  <c r="D186" i="220"/>
  <c r="B186" i="220"/>
  <c r="A185" i="220"/>
  <c r="O184" i="220"/>
  <c r="N184" i="220"/>
  <c r="M184" i="220"/>
  <c r="L184" i="220"/>
  <c r="K184" i="220"/>
  <c r="J184" i="220"/>
  <c r="I184" i="220"/>
  <c r="H184" i="220"/>
  <c r="G184" i="220"/>
  <c r="F184" i="220"/>
  <c r="E184" i="220"/>
  <c r="D184" i="220"/>
  <c r="C184" i="220"/>
  <c r="N183" i="220"/>
  <c r="C177" i="220"/>
  <c r="C176" i="220"/>
  <c r="D166" i="220"/>
  <c r="G165" i="220"/>
  <c r="G177" i="220" s="1"/>
  <c r="G178" i="220" s="1"/>
  <c r="F165" i="220"/>
  <c r="E165" i="220"/>
  <c r="E177" i="220" s="1"/>
  <c r="O164" i="220"/>
  <c r="M164" i="220"/>
  <c r="D155" i="220"/>
  <c r="O150" i="220"/>
  <c r="N150" i="220"/>
  <c r="M150" i="220"/>
  <c r="L150" i="220"/>
  <c r="K150" i="220"/>
  <c r="J150" i="220"/>
  <c r="G147" i="220"/>
  <c r="C147" i="220"/>
  <c r="O145" i="220"/>
  <c r="N145" i="220"/>
  <c r="M145" i="220"/>
  <c r="L145" i="220"/>
  <c r="K145" i="220"/>
  <c r="J145" i="220"/>
  <c r="I145" i="220"/>
  <c r="H145" i="220"/>
  <c r="G145" i="220"/>
  <c r="F145" i="220"/>
  <c r="E145" i="220"/>
  <c r="D145" i="220"/>
  <c r="C145" i="220"/>
  <c r="J144" i="220"/>
  <c r="F144" i="220"/>
  <c r="E139" i="220"/>
  <c r="E141" i="220" s="1"/>
  <c r="I69" i="113" s="1"/>
  <c r="O69" i="123" s="1"/>
  <c r="E138" i="220"/>
  <c r="C137" i="220"/>
  <c r="D136" i="220"/>
  <c r="C135" i="220"/>
  <c r="D134" i="220"/>
  <c r="C133" i="220"/>
  <c r="D132" i="220"/>
  <c r="C131" i="220"/>
  <c r="D130" i="220"/>
  <c r="C129" i="220"/>
  <c r="D128" i="220"/>
  <c r="F127" i="220"/>
  <c r="E127" i="220"/>
  <c r="B127" i="220"/>
  <c r="O126" i="220"/>
  <c r="L126" i="220"/>
  <c r="K126" i="220"/>
  <c r="G126" i="220"/>
  <c r="F126" i="220"/>
  <c r="E126" i="220"/>
  <c r="C126" i="220"/>
  <c r="B126" i="220"/>
  <c r="M125" i="220"/>
  <c r="L125" i="220"/>
  <c r="D125" i="220"/>
  <c r="C125" i="220"/>
  <c r="D123" i="220"/>
  <c r="C123" i="220"/>
  <c r="D121" i="220"/>
  <c r="C121" i="220"/>
  <c r="D119" i="220"/>
  <c r="C119" i="220"/>
  <c r="D117" i="220"/>
  <c r="C117" i="220"/>
  <c r="D115" i="220"/>
  <c r="C115" i="220"/>
  <c r="E114" i="220"/>
  <c r="D114" i="220"/>
  <c r="G113" i="220"/>
  <c r="F113" i="220"/>
  <c r="C113" i="220"/>
  <c r="B113" i="220"/>
  <c r="O111" i="220"/>
  <c r="N111" i="220"/>
  <c r="M111" i="220"/>
  <c r="L111" i="220"/>
  <c r="K111" i="220"/>
  <c r="J111" i="220"/>
  <c r="J108" i="220"/>
  <c r="O106" i="220"/>
  <c r="N106" i="220"/>
  <c r="M106" i="220"/>
  <c r="L106" i="220"/>
  <c r="K106" i="220"/>
  <c r="J106" i="220"/>
  <c r="I106" i="220"/>
  <c r="H106" i="220"/>
  <c r="G106" i="220"/>
  <c r="F106" i="220"/>
  <c r="E106" i="220"/>
  <c r="D106" i="220"/>
  <c r="C106" i="220"/>
  <c r="D105" i="220"/>
  <c r="C99" i="220"/>
  <c r="C216" i="220" s="1"/>
  <c r="D98" i="220"/>
  <c r="D176" i="220" s="1"/>
  <c r="C98" i="220"/>
  <c r="C215" i="220" s="1"/>
  <c r="D97" i="220"/>
  <c r="D175" i="220" s="1"/>
  <c r="C97" i="220"/>
  <c r="D96" i="220"/>
  <c r="C96" i="220"/>
  <c r="D95" i="220"/>
  <c r="D173" i="220" s="1"/>
  <c r="C95" i="220"/>
  <c r="C212" i="220" s="1"/>
  <c r="D94" i="220"/>
  <c r="D172" i="220" s="1"/>
  <c r="C94" i="220"/>
  <c r="C211" i="220" s="1"/>
  <c r="D93" i="220"/>
  <c r="D171" i="220" s="1"/>
  <c r="C93" i="220"/>
  <c r="D92" i="220"/>
  <c r="C92" i="220"/>
  <c r="D91" i="220"/>
  <c r="D169" i="220" s="1"/>
  <c r="C91" i="220"/>
  <c r="C208" i="220" s="1"/>
  <c r="D90" i="220"/>
  <c r="D168" i="220" s="1"/>
  <c r="C90" i="220"/>
  <c r="C207" i="220" s="1"/>
  <c r="D89" i="220"/>
  <c r="D167" i="220" s="1"/>
  <c r="C89" i="220"/>
  <c r="G88" i="220"/>
  <c r="F88" i="220"/>
  <c r="E88" i="220"/>
  <c r="E166" i="220" s="1"/>
  <c r="D88" i="220"/>
  <c r="D205" i="220" s="1"/>
  <c r="C88" i="220"/>
  <c r="C166" i="220" s="1"/>
  <c r="B88" i="220"/>
  <c r="B205" i="220" s="1"/>
  <c r="O87" i="220"/>
  <c r="O165" i="220" s="1"/>
  <c r="N87" i="220"/>
  <c r="M87" i="220"/>
  <c r="L87" i="220"/>
  <c r="K87" i="220"/>
  <c r="K165" i="220" s="1"/>
  <c r="J87" i="220"/>
  <c r="J204" i="220" s="1"/>
  <c r="I87" i="220"/>
  <c r="I165" i="220" s="1"/>
  <c r="G87" i="220"/>
  <c r="G99" i="220" s="1"/>
  <c r="G100" i="220" s="1"/>
  <c r="F87" i="220"/>
  <c r="F99" i="220" s="1"/>
  <c r="E87" i="220"/>
  <c r="D87" i="220"/>
  <c r="C87" i="220"/>
  <c r="B87" i="220"/>
  <c r="B165" i="220" s="1"/>
  <c r="O86" i="220"/>
  <c r="O203" i="220" s="1"/>
  <c r="N86" i="220"/>
  <c r="N164" i="220" s="1"/>
  <c r="M86" i="220"/>
  <c r="M203" i="220" s="1"/>
  <c r="L86" i="220"/>
  <c r="L164" i="220" s="1"/>
  <c r="K86" i="220"/>
  <c r="J86" i="220"/>
  <c r="D86" i="220"/>
  <c r="C86" i="220"/>
  <c r="C164" i="220" s="1"/>
  <c r="D85" i="220"/>
  <c r="D202" i="220" s="1"/>
  <c r="C85" i="220"/>
  <c r="C163" i="220" s="1"/>
  <c r="D84" i="220"/>
  <c r="D201" i="220" s="1"/>
  <c r="C84" i="220"/>
  <c r="C162" i="220" s="1"/>
  <c r="D83" i="220"/>
  <c r="C83" i="220"/>
  <c r="D82" i="220"/>
  <c r="C82" i="220"/>
  <c r="C160" i="220" s="1"/>
  <c r="D81" i="220"/>
  <c r="D198" i="220" s="1"/>
  <c r="C81" i="220"/>
  <c r="C159" i="220" s="1"/>
  <c r="D80" i="220"/>
  <c r="D197" i="220" s="1"/>
  <c r="C80" i="220"/>
  <c r="C158" i="220" s="1"/>
  <c r="D79" i="220"/>
  <c r="C79" i="220"/>
  <c r="D78" i="220"/>
  <c r="C78" i="220"/>
  <c r="C156" i="220" s="1"/>
  <c r="D77" i="220"/>
  <c r="D194" i="220" s="1"/>
  <c r="C77" i="220"/>
  <c r="C155" i="220" s="1"/>
  <c r="D76" i="220"/>
  <c r="D193" i="220" s="1"/>
  <c r="C76" i="220"/>
  <c r="C154" i="220" s="1"/>
  <c r="G75" i="220"/>
  <c r="F75" i="220"/>
  <c r="E75" i="220"/>
  <c r="D75" i="220"/>
  <c r="D153" i="220" s="1"/>
  <c r="C75" i="220"/>
  <c r="C192" i="220" s="1"/>
  <c r="B75" i="220"/>
  <c r="B153" i="220" s="1"/>
  <c r="G74" i="220"/>
  <c r="G191" i="220" s="1"/>
  <c r="F74" i="220"/>
  <c r="F152" i="220" s="1"/>
  <c r="E74" i="220"/>
  <c r="D74" i="220"/>
  <c r="C74" i="220"/>
  <c r="B74" i="220"/>
  <c r="B152" i="220" s="1"/>
  <c r="O69" i="220"/>
  <c r="N69" i="220"/>
  <c r="N147" i="220" s="1"/>
  <c r="M69" i="220"/>
  <c r="M186" i="220" s="1"/>
  <c r="L69" i="220"/>
  <c r="L147" i="220" s="1"/>
  <c r="K69" i="220"/>
  <c r="K108" i="220" s="1"/>
  <c r="J69" i="220"/>
  <c r="G69" i="220"/>
  <c r="G186" i="220" s="1"/>
  <c r="F69" i="220"/>
  <c r="E69" i="220"/>
  <c r="D69" i="220"/>
  <c r="D147" i="220" s="1"/>
  <c r="C69" i="220"/>
  <c r="C186" i="220" s="1"/>
  <c r="B69" i="220"/>
  <c r="B147" i="220" s="1"/>
  <c r="O67" i="220"/>
  <c r="N67" i="220"/>
  <c r="M67" i="220"/>
  <c r="L67" i="220"/>
  <c r="K67" i="220"/>
  <c r="J67" i="220"/>
  <c r="I67" i="220"/>
  <c r="H67" i="220"/>
  <c r="G67" i="220"/>
  <c r="F67" i="220"/>
  <c r="E67" i="220"/>
  <c r="D67" i="220"/>
  <c r="C67" i="220"/>
  <c r="O66" i="220"/>
  <c r="N66" i="220"/>
  <c r="N144" i="220" s="1"/>
  <c r="M66" i="220"/>
  <c r="L66" i="220"/>
  <c r="L144" i="220" s="1"/>
  <c r="K66" i="220"/>
  <c r="J66" i="220"/>
  <c r="J183" i="220" s="1"/>
  <c r="I66" i="220"/>
  <c r="H66" i="220"/>
  <c r="H144" i="220" s="1"/>
  <c r="G66" i="220"/>
  <c r="F66" i="220"/>
  <c r="F105" i="220" s="1"/>
  <c r="E66" i="220"/>
  <c r="D66" i="220"/>
  <c r="C66" i="220"/>
  <c r="C105" i="220" s="1"/>
  <c r="A63" i="220"/>
  <c r="A62" i="220"/>
  <c r="A61" i="220"/>
  <c r="A60" i="220"/>
  <c r="A59" i="220"/>
  <c r="A58" i="220"/>
  <c r="A57" i="220"/>
  <c r="A56" i="220"/>
  <c r="A55" i="220"/>
  <c r="A54" i="220"/>
  <c r="A53" i="220"/>
  <c r="A52" i="220"/>
  <c r="A50" i="220"/>
  <c r="G44" i="220"/>
  <c r="F44" i="220"/>
  <c r="E44" i="220"/>
  <c r="I43" i="220"/>
  <c r="I96" i="220" s="1"/>
  <c r="G43" i="220"/>
  <c r="F43" i="220"/>
  <c r="E43" i="220"/>
  <c r="G42" i="220"/>
  <c r="F42" i="220"/>
  <c r="E42" i="220"/>
  <c r="G41" i="220"/>
  <c r="F41" i="220"/>
  <c r="E41" i="220"/>
  <c r="O40" i="220"/>
  <c r="N40" i="220"/>
  <c r="M40" i="220"/>
  <c r="J40" i="220"/>
  <c r="J94" i="220" s="1"/>
  <c r="J133" i="220" s="1"/>
  <c r="J172" i="220" s="1"/>
  <c r="J211" i="220" s="1"/>
  <c r="G40" i="220"/>
  <c r="F40" i="220"/>
  <c r="E40" i="220"/>
  <c r="O39" i="220"/>
  <c r="N39" i="220"/>
  <c r="M39" i="220"/>
  <c r="G39" i="220"/>
  <c r="F39" i="220"/>
  <c r="E39" i="220"/>
  <c r="O38" i="220"/>
  <c r="N38" i="220"/>
  <c r="M38" i="220"/>
  <c r="I38" i="220"/>
  <c r="I92" i="220" s="1"/>
  <c r="I131" i="220" s="1"/>
  <c r="I170" i="220" s="1"/>
  <c r="I209" i="220" s="1"/>
  <c r="G38" i="220"/>
  <c r="F38" i="220"/>
  <c r="E38" i="220"/>
  <c r="J37" i="220"/>
  <c r="J91" i="220" s="1"/>
  <c r="J130" i="220" s="1"/>
  <c r="J169" i="220" s="1"/>
  <c r="J208" i="220" s="1"/>
  <c r="I37" i="220"/>
  <c r="I91" i="220" s="1"/>
  <c r="I130" i="220" s="1"/>
  <c r="I169" i="220" s="1"/>
  <c r="I208" i="220" s="1"/>
  <c r="G37" i="220"/>
  <c r="F37" i="220"/>
  <c r="E37" i="220"/>
  <c r="G36" i="220"/>
  <c r="F36" i="220"/>
  <c r="E36" i="220"/>
  <c r="G35" i="220"/>
  <c r="F35" i="220"/>
  <c r="E35" i="220"/>
  <c r="A34" i="220"/>
  <c r="A88" i="220" s="1"/>
  <c r="F33" i="220"/>
  <c r="I32" i="220"/>
  <c r="I34" i="220" s="1"/>
  <c r="I88" i="220" s="1"/>
  <c r="G32" i="220"/>
  <c r="F32" i="220"/>
  <c r="E32" i="220"/>
  <c r="B32" i="220"/>
  <c r="B86" i="220" s="1"/>
  <c r="A32" i="220"/>
  <c r="A45" i="220" s="1"/>
  <c r="A99" i="220" s="1"/>
  <c r="G31" i="220"/>
  <c r="F31" i="220"/>
  <c r="E31" i="220"/>
  <c r="B31" i="220"/>
  <c r="B85" i="220" s="1"/>
  <c r="A31" i="220"/>
  <c r="A85" i="220" s="1"/>
  <c r="G30" i="220"/>
  <c r="F30" i="220"/>
  <c r="E30" i="220"/>
  <c r="B30" i="220"/>
  <c r="B84" i="220" s="1"/>
  <c r="A30" i="220"/>
  <c r="A84" i="220" s="1"/>
  <c r="I29" i="220"/>
  <c r="I82" i="220" s="1"/>
  <c r="G29" i="220"/>
  <c r="P67" i="113" s="1"/>
  <c r="F29" i="220"/>
  <c r="L67" i="113" s="1"/>
  <c r="E29" i="220"/>
  <c r="M62" i="220" s="1"/>
  <c r="B29" i="220"/>
  <c r="B83" i="220" s="1"/>
  <c r="A29" i="220"/>
  <c r="A42" i="220" s="1"/>
  <c r="A96" i="220" s="1"/>
  <c r="G28" i="220"/>
  <c r="F28" i="220"/>
  <c r="E28" i="220"/>
  <c r="B28" i="220"/>
  <c r="B82" i="220" s="1"/>
  <c r="A28" i="220"/>
  <c r="A82" i="220" s="1"/>
  <c r="I27" i="220"/>
  <c r="I80" i="220" s="1"/>
  <c r="G27" i="220"/>
  <c r="F27" i="220"/>
  <c r="E27" i="220"/>
  <c r="B27" i="220"/>
  <c r="B81" i="220" s="1"/>
  <c r="A27" i="220"/>
  <c r="A40" i="220" s="1"/>
  <c r="A94" i="220" s="1"/>
  <c r="O26" i="220"/>
  <c r="N26" i="220"/>
  <c r="M26" i="220"/>
  <c r="I26" i="220"/>
  <c r="I79" i="220" s="1"/>
  <c r="G26" i="220"/>
  <c r="F26" i="220"/>
  <c r="E26" i="220"/>
  <c r="B26" i="220"/>
  <c r="B39" i="220" s="1"/>
  <c r="B93" i="220" s="1"/>
  <c r="A26" i="220"/>
  <c r="A80" i="220" s="1"/>
  <c r="I25" i="220"/>
  <c r="I78" i="220" s="1"/>
  <c r="G25" i="220"/>
  <c r="F25" i="220"/>
  <c r="E25" i="220"/>
  <c r="B25" i="220"/>
  <c r="B79" i="220" s="1"/>
  <c r="A25" i="220"/>
  <c r="A79" i="220" s="1"/>
  <c r="O24" i="220"/>
  <c r="N24" i="220"/>
  <c r="M24" i="220"/>
  <c r="I24" i="220"/>
  <c r="I77" i="220" s="1"/>
  <c r="G24" i="220"/>
  <c r="F24" i="220"/>
  <c r="E24" i="220"/>
  <c r="B24" i="220"/>
  <c r="B78" i="220" s="1"/>
  <c r="A24" i="220"/>
  <c r="J39" i="220" s="1"/>
  <c r="J93" i="220" s="1"/>
  <c r="J132" i="220" s="1"/>
  <c r="J171" i="220" s="1"/>
  <c r="J210" i="220" s="1"/>
  <c r="O23" i="220"/>
  <c r="N23" i="220"/>
  <c r="M23" i="220"/>
  <c r="I23" i="220"/>
  <c r="I76" i="220" s="1"/>
  <c r="G23" i="220"/>
  <c r="F23" i="220"/>
  <c r="E23" i="220"/>
  <c r="B23" i="220"/>
  <c r="B36" i="220" s="1"/>
  <c r="B90" i="220" s="1"/>
  <c r="A23" i="220"/>
  <c r="A77" i="220" s="1"/>
  <c r="I22" i="220"/>
  <c r="I75" i="220" s="1"/>
  <c r="G22" i="220"/>
  <c r="F22" i="220"/>
  <c r="E22" i="220"/>
  <c r="B22" i="220"/>
  <c r="B76" i="220" s="1"/>
  <c r="A22" i="220"/>
  <c r="A35" i="220" s="1"/>
  <c r="A89" i="220" s="1"/>
  <c r="A21" i="220"/>
  <c r="A75" i="220" s="1"/>
  <c r="O19" i="220"/>
  <c r="X67" i="123" s="1"/>
  <c r="N19" i="220"/>
  <c r="T67" i="123" s="1"/>
  <c r="M19" i="220"/>
  <c r="P67" i="123" s="1"/>
  <c r="I19" i="220"/>
  <c r="I73" i="220" s="1"/>
  <c r="I18" i="220"/>
  <c r="I72" i="220" s="1"/>
  <c r="G18" i="220"/>
  <c r="O53" i="220" s="1"/>
  <c r="F18" i="220"/>
  <c r="N53" i="220" s="1"/>
  <c r="E18" i="220"/>
  <c r="M53" i="220" s="1"/>
  <c r="D16" i="220"/>
  <c r="I15" i="220"/>
  <c r="I69" i="220" s="1"/>
  <c r="A15" i="220"/>
  <c r="A69" i="220" s="1"/>
  <c r="A13" i="220"/>
  <c r="A2" i="220"/>
  <c r="I294" i="219"/>
  <c r="I292" i="219"/>
  <c r="I290" i="219"/>
  <c r="O288" i="219"/>
  <c r="N288" i="219"/>
  <c r="M288" i="219"/>
  <c r="I256" i="219"/>
  <c r="I254" i="219"/>
  <c r="I252" i="219"/>
  <c r="O250" i="219"/>
  <c r="N250" i="219"/>
  <c r="M250" i="219"/>
  <c r="F217" i="219"/>
  <c r="F216" i="219"/>
  <c r="E216" i="219"/>
  <c r="C215" i="219"/>
  <c r="C211" i="219"/>
  <c r="C207" i="219"/>
  <c r="B205" i="219"/>
  <c r="G204" i="219"/>
  <c r="F204" i="219"/>
  <c r="E204" i="219"/>
  <c r="M203" i="219"/>
  <c r="D201" i="219"/>
  <c r="D197" i="219"/>
  <c r="D193" i="219"/>
  <c r="G191" i="219"/>
  <c r="O189" i="219"/>
  <c r="N189" i="219"/>
  <c r="M189" i="219"/>
  <c r="L189" i="219"/>
  <c r="K189" i="219"/>
  <c r="J189" i="219"/>
  <c r="L186" i="219"/>
  <c r="K186" i="219"/>
  <c r="B186" i="219"/>
  <c r="A185" i="219"/>
  <c r="O184" i="219"/>
  <c r="N184" i="219"/>
  <c r="M184" i="219"/>
  <c r="L184" i="219"/>
  <c r="K184" i="219"/>
  <c r="J184" i="219"/>
  <c r="I184" i="219"/>
  <c r="H184" i="219"/>
  <c r="G184" i="219"/>
  <c r="F184" i="219"/>
  <c r="E184" i="219"/>
  <c r="D184" i="219"/>
  <c r="C184" i="219"/>
  <c r="N183" i="219"/>
  <c r="M183" i="219"/>
  <c r="F183" i="219"/>
  <c r="E183" i="219"/>
  <c r="C176" i="219"/>
  <c r="D175" i="219"/>
  <c r="C172" i="219"/>
  <c r="D171" i="219"/>
  <c r="C168" i="219"/>
  <c r="D167" i="219"/>
  <c r="B166" i="219"/>
  <c r="O165" i="219"/>
  <c r="G165" i="219"/>
  <c r="F165" i="219"/>
  <c r="E165" i="219"/>
  <c r="E177" i="219" s="1"/>
  <c r="M164" i="219"/>
  <c r="L164" i="219"/>
  <c r="D162" i="219"/>
  <c r="C162" i="219"/>
  <c r="D158" i="219"/>
  <c r="C158" i="219"/>
  <c r="D154" i="219"/>
  <c r="C154" i="219"/>
  <c r="G152" i="219"/>
  <c r="F152" i="219"/>
  <c r="O150" i="219"/>
  <c r="N150" i="219"/>
  <c r="M150" i="219"/>
  <c r="L150" i="219"/>
  <c r="K150" i="219"/>
  <c r="J150" i="219"/>
  <c r="K147" i="219"/>
  <c r="J147" i="219"/>
  <c r="O145" i="219"/>
  <c r="N145" i="219"/>
  <c r="M145" i="219"/>
  <c r="L145" i="219"/>
  <c r="K145" i="219"/>
  <c r="J145" i="219"/>
  <c r="I145" i="219"/>
  <c r="H145" i="219"/>
  <c r="G145" i="219"/>
  <c r="F145" i="219"/>
  <c r="E145" i="219"/>
  <c r="D145" i="219"/>
  <c r="C145" i="219"/>
  <c r="L144" i="219"/>
  <c r="K144" i="219"/>
  <c r="D144" i="219"/>
  <c r="C144" i="219"/>
  <c r="G138" i="219"/>
  <c r="G139" i="219" s="1"/>
  <c r="F138" i="219"/>
  <c r="F139" i="219" s="1"/>
  <c r="C136" i="219"/>
  <c r="D135" i="219"/>
  <c r="C132" i="219"/>
  <c r="D131" i="219"/>
  <c r="C128" i="219"/>
  <c r="G127" i="219"/>
  <c r="N126" i="219"/>
  <c r="M126" i="219"/>
  <c r="G126" i="219"/>
  <c r="G141" i="219" s="1"/>
  <c r="F126" i="219"/>
  <c r="E126" i="219"/>
  <c r="D126" i="219"/>
  <c r="K125" i="219"/>
  <c r="J125" i="219"/>
  <c r="D122" i="219"/>
  <c r="C122" i="219"/>
  <c r="D118" i="219"/>
  <c r="C118" i="219"/>
  <c r="G114" i="219"/>
  <c r="F114" i="219"/>
  <c r="E113" i="219"/>
  <c r="D113" i="219"/>
  <c r="O111" i="219"/>
  <c r="N111" i="219"/>
  <c r="M111" i="219"/>
  <c r="L111" i="219"/>
  <c r="K111" i="219"/>
  <c r="J111" i="219"/>
  <c r="G108" i="219"/>
  <c r="F108" i="219"/>
  <c r="O106" i="219"/>
  <c r="N106" i="219"/>
  <c r="M106" i="219"/>
  <c r="L106" i="219"/>
  <c r="K106" i="219"/>
  <c r="J106" i="219"/>
  <c r="I106" i="219"/>
  <c r="H106" i="219"/>
  <c r="G106" i="219"/>
  <c r="F106" i="219"/>
  <c r="E106" i="219"/>
  <c r="D106" i="219"/>
  <c r="C106" i="219"/>
  <c r="J105" i="219"/>
  <c r="I105" i="219"/>
  <c r="C99" i="219"/>
  <c r="D98" i="219"/>
  <c r="C98" i="219"/>
  <c r="C137" i="219" s="1"/>
  <c r="D97" i="219"/>
  <c r="D136" i="219" s="1"/>
  <c r="C97" i="219"/>
  <c r="C175" i="219" s="1"/>
  <c r="D96" i="219"/>
  <c r="D213" i="219" s="1"/>
  <c r="C96" i="219"/>
  <c r="C174" i="219" s="1"/>
  <c r="D95" i="219"/>
  <c r="D173" i="219" s="1"/>
  <c r="C95" i="219"/>
  <c r="D94" i="219"/>
  <c r="D211" i="219" s="1"/>
  <c r="C94" i="219"/>
  <c r="C133" i="219" s="1"/>
  <c r="D93" i="219"/>
  <c r="D132" i="219" s="1"/>
  <c r="C93" i="219"/>
  <c r="C171" i="219" s="1"/>
  <c r="D92" i="219"/>
  <c r="D209" i="219" s="1"/>
  <c r="C92" i="219"/>
  <c r="C170" i="219" s="1"/>
  <c r="D91" i="219"/>
  <c r="D169" i="219" s="1"/>
  <c r="C91" i="219"/>
  <c r="D90" i="219"/>
  <c r="D207" i="219" s="1"/>
  <c r="C90" i="219"/>
  <c r="C129" i="219" s="1"/>
  <c r="D89" i="219"/>
  <c r="D128" i="219" s="1"/>
  <c r="C89" i="219"/>
  <c r="C167" i="219" s="1"/>
  <c r="G88" i="219"/>
  <c r="G205" i="219" s="1"/>
  <c r="F88" i="219"/>
  <c r="F166" i="219" s="1"/>
  <c r="E88" i="219"/>
  <c r="E166" i="219" s="1"/>
  <c r="D88" i="219"/>
  <c r="C88" i="219"/>
  <c r="C205" i="219" s="1"/>
  <c r="B88" i="219"/>
  <c r="B127" i="219" s="1"/>
  <c r="O87" i="219"/>
  <c r="O126" i="219" s="1"/>
  <c r="N87" i="219"/>
  <c r="N165" i="219" s="1"/>
  <c r="M87" i="219"/>
  <c r="M204" i="219" s="1"/>
  <c r="L87" i="219"/>
  <c r="L165" i="219" s="1"/>
  <c r="K87" i="219"/>
  <c r="K165" i="219" s="1"/>
  <c r="J87" i="219"/>
  <c r="I87" i="219"/>
  <c r="G87" i="219"/>
  <c r="G99" i="219" s="1"/>
  <c r="F87" i="219"/>
  <c r="F99" i="219" s="1"/>
  <c r="E87" i="219"/>
  <c r="E99" i="219" s="1"/>
  <c r="D87" i="219"/>
  <c r="D204" i="219" s="1"/>
  <c r="C87" i="219"/>
  <c r="C165" i="219" s="1"/>
  <c r="B87" i="219"/>
  <c r="B165" i="219" s="1"/>
  <c r="O86" i="219"/>
  <c r="N86" i="219"/>
  <c r="N203" i="219" s="1"/>
  <c r="M86" i="219"/>
  <c r="M125" i="219" s="1"/>
  <c r="L86" i="219"/>
  <c r="L125" i="219" s="1"/>
  <c r="K86" i="219"/>
  <c r="K164" i="219" s="1"/>
  <c r="J86" i="219"/>
  <c r="J203" i="219" s="1"/>
  <c r="D86" i="219"/>
  <c r="D164" i="219" s="1"/>
  <c r="C86" i="219"/>
  <c r="C164" i="219" s="1"/>
  <c r="D85" i="219"/>
  <c r="C85" i="219"/>
  <c r="C202" i="219" s="1"/>
  <c r="D84" i="219"/>
  <c r="D123" i="219" s="1"/>
  <c r="C84" i="219"/>
  <c r="C123" i="219" s="1"/>
  <c r="D83" i="219"/>
  <c r="D161" i="219" s="1"/>
  <c r="C83" i="219"/>
  <c r="C200" i="219" s="1"/>
  <c r="D82" i="219"/>
  <c r="D160" i="219" s="1"/>
  <c r="C82" i="219"/>
  <c r="C160" i="219" s="1"/>
  <c r="D81" i="219"/>
  <c r="C81" i="219"/>
  <c r="D80" i="219"/>
  <c r="D119" i="219" s="1"/>
  <c r="C80" i="219"/>
  <c r="C119" i="219" s="1"/>
  <c r="D79" i="219"/>
  <c r="D157" i="219" s="1"/>
  <c r="C79" i="219"/>
  <c r="C196" i="219" s="1"/>
  <c r="D78" i="219"/>
  <c r="D156" i="219" s="1"/>
  <c r="C78" i="219"/>
  <c r="C156" i="219" s="1"/>
  <c r="D77" i="219"/>
  <c r="C77" i="219"/>
  <c r="C194" i="219" s="1"/>
  <c r="D76" i="219"/>
  <c r="D115" i="219" s="1"/>
  <c r="C76" i="219"/>
  <c r="C115" i="219" s="1"/>
  <c r="G75" i="219"/>
  <c r="G153" i="219" s="1"/>
  <c r="F75" i="219"/>
  <c r="F192" i="219" s="1"/>
  <c r="E75" i="219"/>
  <c r="E153" i="219" s="1"/>
  <c r="D75" i="219"/>
  <c r="D153" i="219" s="1"/>
  <c r="C75" i="219"/>
  <c r="B75" i="219"/>
  <c r="B192" i="219" s="1"/>
  <c r="G74" i="219"/>
  <c r="G113" i="219" s="1"/>
  <c r="F74" i="219"/>
  <c r="F113" i="219" s="1"/>
  <c r="E74" i="219"/>
  <c r="E152" i="219" s="1"/>
  <c r="D74" i="219"/>
  <c r="D191" i="219" s="1"/>
  <c r="C74" i="219"/>
  <c r="C152" i="219" s="1"/>
  <c r="B74" i="219"/>
  <c r="B152" i="219" s="1"/>
  <c r="O69" i="219"/>
  <c r="N69" i="219"/>
  <c r="M69" i="219"/>
  <c r="M108" i="219" s="1"/>
  <c r="L69" i="219"/>
  <c r="L108" i="219" s="1"/>
  <c r="K69" i="219"/>
  <c r="K108" i="219" s="1"/>
  <c r="J69" i="219"/>
  <c r="J108" i="219" s="1"/>
  <c r="G69" i="219"/>
  <c r="G147" i="219" s="1"/>
  <c r="F69" i="219"/>
  <c r="F186" i="219" s="1"/>
  <c r="E69" i="219"/>
  <c r="D69" i="219"/>
  <c r="C69" i="219"/>
  <c r="C108" i="219" s="1"/>
  <c r="B69" i="219"/>
  <c r="B108" i="219" s="1"/>
  <c r="O67" i="219"/>
  <c r="N67" i="219"/>
  <c r="M67" i="219"/>
  <c r="L67" i="219"/>
  <c r="K67" i="219"/>
  <c r="J67" i="219"/>
  <c r="I67" i="219"/>
  <c r="H67" i="219"/>
  <c r="G67" i="219"/>
  <c r="F67" i="219"/>
  <c r="E67" i="219"/>
  <c r="D67" i="219"/>
  <c r="C67" i="219"/>
  <c r="O66" i="219"/>
  <c r="N66" i="219"/>
  <c r="N105" i="219" s="1"/>
  <c r="M66" i="219"/>
  <c r="M105" i="219" s="1"/>
  <c r="L66" i="219"/>
  <c r="L105" i="219" s="1"/>
  <c r="K66" i="219"/>
  <c r="K105" i="219" s="1"/>
  <c r="J66" i="219"/>
  <c r="J183" i="219" s="1"/>
  <c r="I66" i="219"/>
  <c r="I183" i="219" s="1"/>
  <c r="H66" i="219"/>
  <c r="G66" i="219"/>
  <c r="F66" i="219"/>
  <c r="F105" i="219" s="1"/>
  <c r="E66" i="219"/>
  <c r="E105" i="219" s="1"/>
  <c r="D66" i="219"/>
  <c r="D105" i="219" s="1"/>
  <c r="C66" i="219"/>
  <c r="C105" i="219" s="1"/>
  <c r="A63" i="219"/>
  <c r="A62" i="219"/>
  <c r="A61" i="219"/>
  <c r="A60" i="219"/>
  <c r="A59" i="219"/>
  <c r="A58" i="219"/>
  <c r="A57" i="219"/>
  <c r="A56" i="219"/>
  <c r="A55" i="219"/>
  <c r="A54" i="219"/>
  <c r="A53" i="219"/>
  <c r="A52" i="219"/>
  <c r="A50" i="219"/>
  <c r="G44" i="219"/>
  <c r="F44" i="219"/>
  <c r="E44" i="219"/>
  <c r="I43" i="219"/>
  <c r="I96" i="219" s="1"/>
  <c r="G43" i="219"/>
  <c r="F43" i="219"/>
  <c r="E43" i="219"/>
  <c r="G42" i="219"/>
  <c r="F42" i="219"/>
  <c r="E42" i="219"/>
  <c r="G41" i="219"/>
  <c r="F41" i="219"/>
  <c r="E41" i="219"/>
  <c r="O40" i="219"/>
  <c r="N40" i="219"/>
  <c r="M40" i="219"/>
  <c r="J40" i="219"/>
  <c r="J94" i="219" s="1"/>
  <c r="J133" i="219" s="1"/>
  <c r="J172" i="219" s="1"/>
  <c r="J211" i="219" s="1"/>
  <c r="G40" i="219"/>
  <c r="F40" i="219"/>
  <c r="E40" i="219"/>
  <c r="O39" i="219"/>
  <c r="N39" i="219"/>
  <c r="M39" i="219"/>
  <c r="G39" i="219"/>
  <c r="F39" i="219"/>
  <c r="E39" i="219"/>
  <c r="O38" i="219"/>
  <c r="N38" i="219"/>
  <c r="M38" i="219"/>
  <c r="I38" i="219"/>
  <c r="I92" i="219" s="1"/>
  <c r="I131" i="219" s="1"/>
  <c r="I170" i="219" s="1"/>
  <c r="I209" i="219" s="1"/>
  <c r="G38" i="219"/>
  <c r="F38" i="219"/>
  <c r="E38" i="219"/>
  <c r="J37" i="219"/>
  <c r="J91" i="219" s="1"/>
  <c r="J130" i="219" s="1"/>
  <c r="J169" i="219" s="1"/>
  <c r="J208" i="219" s="1"/>
  <c r="I37" i="219"/>
  <c r="I91" i="219" s="1"/>
  <c r="I130" i="219" s="1"/>
  <c r="I169" i="219" s="1"/>
  <c r="I208" i="219" s="1"/>
  <c r="G37" i="219"/>
  <c r="F37" i="219"/>
  <c r="E37" i="219"/>
  <c r="G36" i="219"/>
  <c r="F36" i="219"/>
  <c r="E36" i="219"/>
  <c r="G35" i="219"/>
  <c r="F35" i="219"/>
  <c r="E35" i="219"/>
  <c r="A34" i="219"/>
  <c r="A88" i="219" s="1"/>
  <c r="F33" i="219"/>
  <c r="I32" i="219"/>
  <c r="I86" i="219" s="1"/>
  <c r="G32" i="219"/>
  <c r="F32" i="219"/>
  <c r="E32" i="219"/>
  <c r="B32" i="219"/>
  <c r="B45" i="219" s="1"/>
  <c r="B99" i="219" s="1"/>
  <c r="A32" i="219"/>
  <c r="A86" i="219" s="1"/>
  <c r="G31" i="219"/>
  <c r="F31" i="219"/>
  <c r="E31" i="219"/>
  <c r="B31" i="219"/>
  <c r="B85" i="219" s="1"/>
  <c r="A31" i="219"/>
  <c r="A85" i="219" s="1"/>
  <c r="G30" i="219"/>
  <c r="F30" i="219"/>
  <c r="E30" i="219"/>
  <c r="B30" i="219"/>
  <c r="B84" i="219" s="1"/>
  <c r="A30" i="219"/>
  <c r="A84" i="219" s="1"/>
  <c r="I29" i="219"/>
  <c r="I82" i="219" s="1"/>
  <c r="G29" i="219"/>
  <c r="O62" i="219" s="1"/>
  <c r="F29" i="219"/>
  <c r="L65" i="113" s="1"/>
  <c r="E29" i="219"/>
  <c r="H65" i="113" s="1"/>
  <c r="B29" i="219"/>
  <c r="B42" i="219" s="1"/>
  <c r="B96" i="219" s="1"/>
  <c r="A29" i="219"/>
  <c r="A83" i="219" s="1"/>
  <c r="G28" i="219"/>
  <c r="F28" i="219"/>
  <c r="E28" i="219"/>
  <c r="B28" i="219"/>
  <c r="B82" i="219" s="1"/>
  <c r="A28" i="219"/>
  <c r="A82" i="219" s="1"/>
  <c r="I27" i="219"/>
  <c r="I80" i="219" s="1"/>
  <c r="G27" i="219"/>
  <c r="F27" i="219"/>
  <c r="E27" i="219"/>
  <c r="B27" i="219"/>
  <c r="B40" i="219" s="1"/>
  <c r="B94" i="219" s="1"/>
  <c r="A27" i="219"/>
  <c r="A81" i="219" s="1"/>
  <c r="O26" i="219"/>
  <c r="N26" i="219"/>
  <c r="M26" i="219"/>
  <c r="I26" i="219"/>
  <c r="I79" i="219" s="1"/>
  <c r="G26" i="219"/>
  <c r="F26" i="219"/>
  <c r="E26" i="219"/>
  <c r="B26" i="219"/>
  <c r="B80" i="219" s="1"/>
  <c r="A26" i="219"/>
  <c r="A39" i="219" s="1"/>
  <c r="A93" i="219" s="1"/>
  <c r="I25" i="219"/>
  <c r="I78" i="219" s="1"/>
  <c r="G25" i="219"/>
  <c r="F25" i="219"/>
  <c r="E25" i="219"/>
  <c r="B25" i="219"/>
  <c r="B79" i="219" s="1"/>
  <c r="A25" i="219"/>
  <c r="A79" i="219" s="1"/>
  <c r="O24" i="219"/>
  <c r="N24" i="219"/>
  <c r="M24" i="219"/>
  <c r="I24" i="219"/>
  <c r="I77" i="219" s="1"/>
  <c r="G24" i="219"/>
  <c r="F24" i="219"/>
  <c r="E24" i="219"/>
  <c r="B24" i="219"/>
  <c r="B37" i="219" s="1"/>
  <c r="B91" i="219" s="1"/>
  <c r="A24" i="219"/>
  <c r="A78" i="219" s="1"/>
  <c r="O23" i="219"/>
  <c r="N23" i="219"/>
  <c r="M23" i="219"/>
  <c r="I23" i="219"/>
  <c r="I76" i="219" s="1"/>
  <c r="G23" i="219"/>
  <c r="F23" i="219"/>
  <c r="E23" i="219"/>
  <c r="B23" i="219"/>
  <c r="B77" i="219" s="1"/>
  <c r="A23" i="219"/>
  <c r="A36" i="219" s="1"/>
  <c r="A90" i="219" s="1"/>
  <c r="I22" i="219"/>
  <c r="I75" i="219" s="1"/>
  <c r="G22" i="219"/>
  <c r="F22" i="219"/>
  <c r="E22" i="219"/>
  <c r="B22" i="219"/>
  <c r="B35" i="219" s="1"/>
  <c r="B89" i="219" s="1"/>
  <c r="A22" i="219"/>
  <c r="A76" i="219" s="1"/>
  <c r="A21" i="219"/>
  <c r="A75" i="219" s="1"/>
  <c r="O19" i="219"/>
  <c r="X65" i="123" s="1"/>
  <c r="N19" i="219"/>
  <c r="T65" i="123" s="1"/>
  <c r="M19" i="219"/>
  <c r="P65" i="123" s="1"/>
  <c r="I19" i="219"/>
  <c r="I73" i="219" s="1"/>
  <c r="I18" i="219"/>
  <c r="I72" i="219" s="1"/>
  <c r="G18" i="219"/>
  <c r="O53" i="219" s="1"/>
  <c r="F18" i="219"/>
  <c r="N53" i="219" s="1"/>
  <c r="E18" i="219"/>
  <c r="M53" i="219" s="1"/>
  <c r="D16" i="219"/>
  <c r="D70" i="219" s="1"/>
  <c r="I15" i="219"/>
  <c r="I69" i="219" s="1"/>
  <c r="A15" i="219"/>
  <c r="A69" i="219" s="1"/>
  <c r="A13" i="219"/>
  <c r="A2" i="219"/>
  <c r="I294" i="218"/>
  <c r="I292" i="218"/>
  <c r="I290" i="218"/>
  <c r="O288" i="218"/>
  <c r="N288" i="218"/>
  <c r="M288" i="218"/>
  <c r="I256" i="218"/>
  <c r="I254" i="218"/>
  <c r="I252" i="218"/>
  <c r="O250" i="218"/>
  <c r="N250" i="218"/>
  <c r="M250" i="218"/>
  <c r="F217" i="218"/>
  <c r="C215" i="218"/>
  <c r="C207" i="218"/>
  <c r="B205" i="218"/>
  <c r="G204" i="218"/>
  <c r="F204" i="218"/>
  <c r="F216" i="218" s="1"/>
  <c r="E204" i="218"/>
  <c r="E216" i="218" s="1"/>
  <c r="M203" i="218"/>
  <c r="D201" i="218"/>
  <c r="D193" i="218"/>
  <c r="G192" i="218"/>
  <c r="G191" i="218"/>
  <c r="E191" i="218"/>
  <c r="O189" i="218"/>
  <c r="N189" i="218"/>
  <c r="M189" i="218"/>
  <c r="L189" i="218"/>
  <c r="K189" i="218"/>
  <c r="J189" i="218"/>
  <c r="K186" i="218"/>
  <c r="G186" i="218"/>
  <c r="A185" i="218"/>
  <c r="O184" i="218"/>
  <c r="N184" i="218"/>
  <c r="M184" i="218"/>
  <c r="L184" i="218"/>
  <c r="K184" i="218"/>
  <c r="J184" i="218"/>
  <c r="I184" i="218"/>
  <c r="H184" i="218"/>
  <c r="G184" i="218"/>
  <c r="F184" i="218"/>
  <c r="E184" i="218"/>
  <c r="D184" i="218"/>
  <c r="C184" i="218"/>
  <c r="K183" i="218"/>
  <c r="H183" i="218"/>
  <c r="C183" i="218"/>
  <c r="F177" i="218"/>
  <c r="F178" i="218" s="1"/>
  <c r="C177" i="218"/>
  <c r="D174" i="218"/>
  <c r="C173" i="218"/>
  <c r="D170" i="218"/>
  <c r="C169" i="218"/>
  <c r="G166" i="218"/>
  <c r="D166" i="218"/>
  <c r="M165" i="218"/>
  <c r="J165" i="218"/>
  <c r="G165" i="218"/>
  <c r="G177" i="218" s="1"/>
  <c r="G178" i="218" s="1"/>
  <c r="F165" i="218"/>
  <c r="E165" i="218"/>
  <c r="E177" i="218" s="1"/>
  <c r="D165" i="218"/>
  <c r="O164" i="218"/>
  <c r="J164" i="218"/>
  <c r="D163" i="218"/>
  <c r="C161" i="218"/>
  <c r="D159" i="218"/>
  <c r="C157" i="218"/>
  <c r="D155" i="218"/>
  <c r="F153" i="218"/>
  <c r="C153" i="218"/>
  <c r="D152" i="218"/>
  <c r="O150" i="218"/>
  <c r="N150" i="218"/>
  <c r="M150" i="218"/>
  <c r="L150" i="218"/>
  <c r="K150" i="218"/>
  <c r="J150" i="218"/>
  <c r="M147" i="218"/>
  <c r="F147" i="218"/>
  <c r="C147" i="218"/>
  <c r="O145" i="218"/>
  <c r="N145" i="218"/>
  <c r="M145" i="218"/>
  <c r="L145" i="218"/>
  <c r="K145" i="218"/>
  <c r="J145" i="218"/>
  <c r="I145" i="218"/>
  <c r="H145" i="218"/>
  <c r="G145" i="218"/>
  <c r="F145" i="218"/>
  <c r="E145" i="218"/>
  <c r="D145" i="218"/>
  <c r="C145" i="218"/>
  <c r="N144" i="218"/>
  <c r="I144" i="218"/>
  <c r="F144" i="218"/>
  <c r="F141" i="218"/>
  <c r="M63" i="113" s="1"/>
  <c r="S63" i="123" s="1"/>
  <c r="F138" i="218"/>
  <c r="F139" i="218" s="1"/>
  <c r="C137" i="218"/>
  <c r="D135" i="218"/>
  <c r="D134" i="218"/>
  <c r="C133" i="218"/>
  <c r="D131" i="218"/>
  <c r="D130" i="218"/>
  <c r="C129" i="218"/>
  <c r="G127" i="218"/>
  <c r="E127" i="218"/>
  <c r="B127" i="218"/>
  <c r="M126" i="218"/>
  <c r="K126" i="218"/>
  <c r="G126" i="218"/>
  <c r="G138" i="218" s="1"/>
  <c r="G139" i="218" s="1"/>
  <c r="F126" i="218"/>
  <c r="E126" i="218"/>
  <c r="E138" i="218" s="1"/>
  <c r="E139" i="218" s="1"/>
  <c r="D126" i="218"/>
  <c r="B126" i="218"/>
  <c r="M125" i="218"/>
  <c r="J125" i="218"/>
  <c r="C125" i="218"/>
  <c r="D123" i="218"/>
  <c r="C122" i="218"/>
  <c r="C121" i="218"/>
  <c r="D119" i="218"/>
  <c r="C118" i="218"/>
  <c r="C117" i="218"/>
  <c r="D115" i="218"/>
  <c r="F114" i="218"/>
  <c r="D114" i="218"/>
  <c r="G113" i="218"/>
  <c r="D113" i="218"/>
  <c r="B113" i="218"/>
  <c r="O111" i="218"/>
  <c r="N111" i="218"/>
  <c r="M111" i="218"/>
  <c r="L111" i="218"/>
  <c r="K111" i="218"/>
  <c r="J111" i="218"/>
  <c r="N108" i="218"/>
  <c r="K108" i="218"/>
  <c r="F108" i="218"/>
  <c r="D108" i="218"/>
  <c r="O106" i="218"/>
  <c r="N106" i="218"/>
  <c r="M106" i="218"/>
  <c r="L106" i="218"/>
  <c r="K106" i="218"/>
  <c r="J106" i="218"/>
  <c r="I106" i="218"/>
  <c r="H106" i="218"/>
  <c r="G106" i="218"/>
  <c r="F106" i="218"/>
  <c r="E106" i="218"/>
  <c r="D106" i="218"/>
  <c r="C106" i="218"/>
  <c r="O105" i="218"/>
  <c r="L105" i="218"/>
  <c r="I105" i="218"/>
  <c r="G105" i="218"/>
  <c r="D105" i="218"/>
  <c r="C99" i="218"/>
  <c r="C216" i="218" s="1"/>
  <c r="D98" i="218"/>
  <c r="D176" i="218" s="1"/>
  <c r="C98" i="218"/>
  <c r="C176" i="218" s="1"/>
  <c r="D97" i="218"/>
  <c r="C97" i="218"/>
  <c r="C214" i="218" s="1"/>
  <c r="D96" i="218"/>
  <c r="D213" i="218" s="1"/>
  <c r="C96" i="218"/>
  <c r="C213" i="218" s="1"/>
  <c r="D95" i="218"/>
  <c r="D212" i="218" s="1"/>
  <c r="C95" i="218"/>
  <c r="C212" i="218" s="1"/>
  <c r="D94" i="218"/>
  <c r="D211" i="218" s="1"/>
  <c r="C94" i="218"/>
  <c r="C211" i="218" s="1"/>
  <c r="D93" i="218"/>
  <c r="C93" i="218"/>
  <c r="C210" i="218" s="1"/>
  <c r="D92" i="218"/>
  <c r="D209" i="218" s="1"/>
  <c r="C92" i="218"/>
  <c r="C209" i="218" s="1"/>
  <c r="D91" i="218"/>
  <c r="D208" i="218" s="1"/>
  <c r="C91" i="218"/>
  <c r="C208" i="218" s="1"/>
  <c r="D90" i="218"/>
  <c r="D168" i="218" s="1"/>
  <c r="C90" i="218"/>
  <c r="C168" i="218" s="1"/>
  <c r="D89" i="218"/>
  <c r="C89" i="218"/>
  <c r="C206" i="218" s="1"/>
  <c r="G88" i="218"/>
  <c r="G205" i="218" s="1"/>
  <c r="F88" i="218"/>
  <c r="F205" i="218" s="1"/>
  <c r="E88" i="218"/>
  <c r="E205" i="218" s="1"/>
  <c r="D88" i="218"/>
  <c r="D205" i="218" s="1"/>
  <c r="C88" i="218"/>
  <c r="C166" i="218" s="1"/>
  <c r="B88" i="218"/>
  <c r="B166" i="218" s="1"/>
  <c r="O87" i="218"/>
  <c r="N87" i="218"/>
  <c r="N204" i="218" s="1"/>
  <c r="M87" i="218"/>
  <c r="M204" i="218" s="1"/>
  <c r="L87" i="218"/>
  <c r="L204" i="218" s="1"/>
  <c r="K87" i="218"/>
  <c r="K204" i="218" s="1"/>
  <c r="J87" i="218"/>
  <c r="J204" i="218" s="1"/>
  <c r="I87" i="218"/>
  <c r="I165" i="218" s="1"/>
  <c r="G87" i="218"/>
  <c r="G99" i="218" s="1"/>
  <c r="F87" i="218"/>
  <c r="E87" i="218"/>
  <c r="E99" i="218" s="1"/>
  <c r="D87" i="218"/>
  <c r="D204" i="218" s="1"/>
  <c r="C87" i="218"/>
  <c r="C204" i="218" s="1"/>
  <c r="B87" i="218"/>
  <c r="B204" i="218" s="1"/>
  <c r="O86" i="218"/>
  <c r="O203" i="218" s="1"/>
  <c r="N86" i="218"/>
  <c r="N164" i="218" s="1"/>
  <c r="M86" i="218"/>
  <c r="M164" i="218" s="1"/>
  <c r="L86" i="218"/>
  <c r="K86" i="218"/>
  <c r="K203" i="218" s="1"/>
  <c r="J86" i="218"/>
  <c r="J203" i="218" s="1"/>
  <c r="D86" i="218"/>
  <c r="D203" i="218" s="1"/>
  <c r="C86" i="218"/>
  <c r="C203" i="218" s="1"/>
  <c r="D85" i="218"/>
  <c r="D202" i="218" s="1"/>
  <c r="C85" i="218"/>
  <c r="C163" i="218" s="1"/>
  <c r="D84" i="218"/>
  <c r="D162" i="218" s="1"/>
  <c r="C84" i="218"/>
  <c r="D83" i="218"/>
  <c r="D200" i="218" s="1"/>
  <c r="C83" i="218"/>
  <c r="C200" i="218" s="1"/>
  <c r="D82" i="218"/>
  <c r="D199" i="218" s="1"/>
  <c r="C82" i="218"/>
  <c r="C199" i="218" s="1"/>
  <c r="D81" i="218"/>
  <c r="D198" i="218" s="1"/>
  <c r="C81" i="218"/>
  <c r="C159" i="218" s="1"/>
  <c r="D80" i="218"/>
  <c r="D158" i="218" s="1"/>
  <c r="C80" i="218"/>
  <c r="D79" i="218"/>
  <c r="D196" i="218" s="1"/>
  <c r="C79" i="218"/>
  <c r="C196" i="218" s="1"/>
  <c r="D78" i="218"/>
  <c r="D195" i="218" s="1"/>
  <c r="C78" i="218"/>
  <c r="C195" i="218" s="1"/>
  <c r="D77" i="218"/>
  <c r="D194" i="218" s="1"/>
  <c r="C77" i="218"/>
  <c r="C155" i="218" s="1"/>
  <c r="D76" i="218"/>
  <c r="D154" i="218" s="1"/>
  <c r="C76" i="218"/>
  <c r="G75" i="218"/>
  <c r="G114" i="218" s="1"/>
  <c r="F75" i="218"/>
  <c r="F192" i="218" s="1"/>
  <c r="E75" i="218"/>
  <c r="E114" i="218" s="1"/>
  <c r="D75" i="218"/>
  <c r="D192" i="218" s="1"/>
  <c r="C75" i="218"/>
  <c r="C192" i="218" s="1"/>
  <c r="B75" i="218"/>
  <c r="B153" i="218" s="1"/>
  <c r="G74" i="218"/>
  <c r="G152" i="218" s="1"/>
  <c r="F74" i="218"/>
  <c r="E74" i="218"/>
  <c r="E113" i="218" s="1"/>
  <c r="D74" i="218"/>
  <c r="D191" i="218" s="1"/>
  <c r="C74" i="218"/>
  <c r="C113" i="218" s="1"/>
  <c r="B74" i="218"/>
  <c r="B191" i="218" s="1"/>
  <c r="O69" i="218"/>
  <c r="O108" i="218" s="1"/>
  <c r="N69" i="218"/>
  <c r="N186" i="218" s="1"/>
  <c r="M69" i="218"/>
  <c r="M186" i="218" s="1"/>
  <c r="L69" i="218"/>
  <c r="K69" i="218"/>
  <c r="K147" i="218" s="1"/>
  <c r="J69" i="218"/>
  <c r="J108" i="218" s="1"/>
  <c r="G69" i="218"/>
  <c r="G108" i="218" s="1"/>
  <c r="F69" i="218"/>
  <c r="F186" i="218" s="1"/>
  <c r="E69" i="218"/>
  <c r="E108" i="218" s="1"/>
  <c r="D69" i="218"/>
  <c r="D186" i="218" s="1"/>
  <c r="C69" i="218"/>
  <c r="C186" i="218" s="1"/>
  <c r="B69" i="218"/>
  <c r="O67" i="218"/>
  <c r="N67" i="218"/>
  <c r="M67" i="218"/>
  <c r="L67" i="218"/>
  <c r="K67" i="218"/>
  <c r="J67" i="218"/>
  <c r="I67" i="218"/>
  <c r="H67" i="218"/>
  <c r="G67" i="218"/>
  <c r="F67" i="218"/>
  <c r="E67" i="218"/>
  <c r="D67" i="218"/>
  <c r="C67" i="218"/>
  <c r="O66" i="218"/>
  <c r="O183" i="218" s="1"/>
  <c r="N66" i="218"/>
  <c r="N183" i="218" s="1"/>
  <c r="M66" i="218"/>
  <c r="L66" i="218"/>
  <c r="L144" i="218" s="1"/>
  <c r="K66" i="218"/>
  <c r="K105" i="218" s="1"/>
  <c r="J66" i="218"/>
  <c r="J105" i="218" s="1"/>
  <c r="I66" i="218"/>
  <c r="I183" i="218" s="1"/>
  <c r="H66" i="218"/>
  <c r="H105" i="218" s="1"/>
  <c r="G66" i="218"/>
  <c r="G183" i="218" s="1"/>
  <c r="F66" i="218"/>
  <c r="F183" i="218" s="1"/>
  <c r="E66" i="218"/>
  <c r="D66" i="218"/>
  <c r="D144" i="218" s="1"/>
  <c r="C66" i="218"/>
  <c r="C105" i="218" s="1"/>
  <c r="A63" i="218"/>
  <c r="A62" i="218"/>
  <c r="A61" i="218"/>
  <c r="A60" i="218"/>
  <c r="A59" i="218"/>
  <c r="A58" i="218"/>
  <c r="A57" i="218"/>
  <c r="A56" i="218"/>
  <c r="A55" i="218"/>
  <c r="A54" i="218"/>
  <c r="A53" i="218"/>
  <c r="A52" i="218"/>
  <c r="A50" i="218"/>
  <c r="G44" i="218"/>
  <c r="F44" i="218"/>
  <c r="E44" i="218"/>
  <c r="I43" i="218"/>
  <c r="I96" i="218" s="1"/>
  <c r="G43" i="218"/>
  <c r="F43" i="218"/>
  <c r="E43" i="218"/>
  <c r="G42" i="218"/>
  <c r="F42" i="218"/>
  <c r="E42" i="218"/>
  <c r="G41" i="218"/>
  <c r="F41" i="218"/>
  <c r="E41" i="218"/>
  <c r="O40" i="218"/>
  <c r="N40" i="218"/>
  <c r="M40" i="218"/>
  <c r="J40" i="218"/>
  <c r="J94" i="218" s="1"/>
  <c r="J133" i="218" s="1"/>
  <c r="J172" i="218" s="1"/>
  <c r="J211" i="218" s="1"/>
  <c r="G40" i="218"/>
  <c r="F40" i="218"/>
  <c r="E40" i="218"/>
  <c r="O39" i="218"/>
  <c r="N39" i="218"/>
  <c r="M39" i="218"/>
  <c r="G39" i="218"/>
  <c r="F39" i="218"/>
  <c r="E39" i="218"/>
  <c r="O38" i="218"/>
  <c r="N38" i="218"/>
  <c r="M38" i="218"/>
  <c r="I38" i="218"/>
  <c r="I92" i="218" s="1"/>
  <c r="I131" i="218" s="1"/>
  <c r="I170" i="218" s="1"/>
  <c r="I209" i="218" s="1"/>
  <c r="G38" i="218"/>
  <c r="F38" i="218"/>
  <c r="E38" i="218"/>
  <c r="J37" i="218"/>
  <c r="J91" i="218" s="1"/>
  <c r="J130" i="218" s="1"/>
  <c r="J169" i="218" s="1"/>
  <c r="J208" i="218" s="1"/>
  <c r="I37" i="218"/>
  <c r="I91" i="218" s="1"/>
  <c r="I130" i="218" s="1"/>
  <c r="I169" i="218" s="1"/>
  <c r="I208" i="218" s="1"/>
  <c r="G37" i="218"/>
  <c r="F37" i="218"/>
  <c r="E37" i="218"/>
  <c r="G36" i="218"/>
  <c r="F36" i="218"/>
  <c r="E36" i="218"/>
  <c r="G35" i="218"/>
  <c r="F35" i="218"/>
  <c r="E35" i="218"/>
  <c r="A34" i="218"/>
  <c r="A88" i="218" s="1"/>
  <c r="G33" i="218"/>
  <c r="E33" i="218"/>
  <c r="I32" i="218"/>
  <c r="I86" i="218" s="1"/>
  <c r="G32" i="218"/>
  <c r="F32" i="218"/>
  <c r="E32" i="218"/>
  <c r="B32" i="218"/>
  <c r="B86" i="218" s="1"/>
  <c r="A32" i="218"/>
  <c r="A45" i="218" s="1"/>
  <c r="A99" i="218" s="1"/>
  <c r="G31" i="218"/>
  <c r="F31" i="218"/>
  <c r="E31" i="218"/>
  <c r="B31" i="218"/>
  <c r="B85" i="218" s="1"/>
  <c r="A31" i="218"/>
  <c r="A85" i="218" s="1"/>
  <c r="G30" i="218"/>
  <c r="F30" i="218"/>
  <c r="E30" i="218"/>
  <c r="B30" i="218"/>
  <c r="B84" i="218" s="1"/>
  <c r="A30" i="218"/>
  <c r="A84" i="218" s="1"/>
  <c r="I29" i="218"/>
  <c r="G29" i="218"/>
  <c r="P61" i="113" s="1"/>
  <c r="F29" i="218"/>
  <c r="E29" i="218"/>
  <c r="H61" i="113" s="1"/>
  <c r="B29" i="218"/>
  <c r="B83" i="218" s="1"/>
  <c r="A29" i="218"/>
  <c r="A42" i="218" s="1"/>
  <c r="A96" i="218" s="1"/>
  <c r="G28" i="218"/>
  <c r="F28" i="218"/>
  <c r="E28" i="218"/>
  <c r="B28" i="218"/>
  <c r="B82" i="218" s="1"/>
  <c r="A28" i="218"/>
  <c r="A82" i="218" s="1"/>
  <c r="I27" i="218"/>
  <c r="I80" i="218" s="1"/>
  <c r="G27" i="218"/>
  <c r="F27" i="218"/>
  <c r="E27" i="218"/>
  <c r="B27" i="218"/>
  <c r="B81" i="218" s="1"/>
  <c r="A27" i="218"/>
  <c r="A40" i="218" s="1"/>
  <c r="A94" i="218" s="1"/>
  <c r="O26" i="218"/>
  <c r="N26" i="218"/>
  <c r="M26" i="218"/>
  <c r="I26" i="218"/>
  <c r="I79" i="218" s="1"/>
  <c r="G26" i="218"/>
  <c r="F26" i="218"/>
  <c r="E26" i="218"/>
  <c r="B26" i="218"/>
  <c r="B39" i="218" s="1"/>
  <c r="B93" i="218" s="1"/>
  <c r="A26" i="218"/>
  <c r="A80" i="218" s="1"/>
  <c r="I25" i="218"/>
  <c r="I78" i="218" s="1"/>
  <c r="G25" i="218"/>
  <c r="F25" i="218"/>
  <c r="E25" i="218"/>
  <c r="B25" i="218"/>
  <c r="B79" i="218" s="1"/>
  <c r="A25" i="218"/>
  <c r="A79" i="218" s="1"/>
  <c r="O24" i="218"/>
  <c r="N24" i="218"/>
  <c r="M24" i="218"/>
  <c r="I24" i="218"/>
  <c r="I77" i="218" s="1"/>
  <c r="G24" i="218"/>
  <c r="F24" i="218"/>
  <c r="E24" i="218"/>
  <c r="B24" i="218"/>
  <c r="B78" i="218" s="1"/>
  <c r="A24" i="218"/>
  <c r="J39" i="218" s="1"/>
  <c r="J93" i="218" s="1"/>
  <c r="J132" i="218" s="1"/>
  <c r="J171" i="218" s="1"/>
  <c r="J210" i="218" s="1"/>
  <c r="O23" i="218"/>
  <c r="N23" i="218"/>
  <c r="M23" i="218"/>
  <c r="I23" i="218"/>
  <c r="I76" i="218" s="1"/>
  <c r="G23" i="218"/>
  <c r="F23" i="218"/>
  <c r="E23" i="218"/>
  <c r="B23" i="218"/>
  <c r="B36" i="218" s="1"/>
  <c r="B90" i="218" s="1"/>
  <c r="A23" i="218"/>
  <c r="A77" i="218" s="1"/>
  <c r="I22" i="218"/>
  <c r="I75" i="218" s="1"/>
  <c r="G22" i="218"/>
  <c r="F22" i="218"/>
  <c r="E22" i="218"/>
  <c r="B22" i="218"/>
  <c r="B76" i="218" s="1"/>
  <c r="A22" i="218"/>
  <c r="A35" i="218" s="1"/>
  <c r="A89" i="218" s="1"/>
  <c r="A21" i="218"/>
  <c r="A33" i="218" s="1"/>
  <c r="A87" i="218" s="1"/>
  <c r="O19" i="218"/>
  <c r="X61" i="123" s="1"/>
  <c r="N19" i="218"/>
  <c r="T61" i="123" s="1"/>
  <c r="M19" i="218"/>
  <c r="P61" i="123" s="1"/>
  <c r="I19" i="218"/>
  <c r="I73" i="218" s="1"/>
  <c r="I18" i="218"/>
  <c r="I72" i="218" s="1"/>
  <c r="G18" i="218"/>
  <c r="O53" i="218" s="1"/>
  <c r="F18" i="218"/>
  <c r="N53" i="218" s="1"/>
  <c r="E18" i="218"/>
  <c r="M53" i="218" s="1"/>
  <c r="D16" i="218"/>
  <c r="D70" i="218" s="1"/>
  <c r="A15" i="218"/>
  <c r="A69" i="218" s="1"/>
  <c r="A13" i="218"/>
  <c r="A2" i="218"/>
  <c r="I293" i="217"/>
  <c r="I291" i="217"/>
  <c r="I289" i="217"/>
  <c r="O287" i="217"/>
  <c r="N287" i="217"/>
  <c r="M287" i="217"/>
  <c r="I255" i="217"/>
  <c r="I253" i="217"/>
  <c r="I251" i="217"/>
  <c r="O249" i="217"/>
  <c r="N249" i="217"/>
  <c r="M249" i="217"/>
  <c r="I217" i="217"/>
  <c r="I215" i="217"/>
  <c r="I213" i="217"/>
  <c r="O211" i="217"/>
  <c r="N211" i="217"/>
  <c r="M211" i="217"/>
  <c r="G180" i="217"/>
  <c r="G177" i="217"/>
  <c r="G178" i="217" s="1"/>
  <c r="E177" i="217"/>
  <c r="C174" i="217"/>
  <c r="C170" i="217"/>
  <c r="F166" i="217"/>
  <c r="L165" i="217"/>
  <c r="G165" i="217"/>
  <c r="F165" i="217"/>
  <c r="F177" i="217" s="1"/>
  <c r="F178" i="217" s="1"/>
  <c r="E165" i="217"/>
  <c r="C165" i="217"/>
  <c r="D164" i="217"/>
  <c r="D160" i="217"/>
  <c r="D156" i="217"/>
  <c r="E153" i="217"/>
  <c r="C152" i="217"/>
  <c r="O150" i="217"/>
  <c r="N150" i="217"/>
  <c r="M150" i="217"/>
  <c r="L150" i="217"/>
  <c r="K150" i="217"/>
  <c r="J150" i="217"/>
  <c r="O147" i="217"/>
  <c r="E147" i="217"/>
  <c r="A146" i="217"/>
  <c r="O145" i="217"/>
  <c r="N145" i="217"/>
  <c r="M145" i="217"/>
  <c r="L145" i="217"/>
  <c r="K145" i="217"/>
  <c r="J145" i="217"/>
  <c r="I145" i="217"/>
  <c r="H145" i="217"/>
  <c r="G145" i="217"/>
  <c r="F145" i="217"/>
  <c r="E145" i="217"/>
  <c r="D145" i="217"/>
  <c r="C145" i="217"/>
  <c r="I144" i="217"/>
  <c r="D137" i="217"/>
  <c r="D133" i="217"/>
  <c r="D129" i="217"/>
  <c r="C127" i="217"/>
  <c r="I126" i="217"/>
  <c r="G126" i="217"/>
  <c r="G138" i="217" s="1"/>
  <c r="F126" i="217"/>
  <c r="F138" i="217" s="1"/>
  <c r="E126" i="217"/>
  <c r="E138" i="217" s="1"/>
  <c r="N125" i="217"/>
  <c r="C124" i="217"/>
  <c r="C120" i="217"/>
  <c r="C116" i="217"/>
  <c r="B114" i="217"/>
  <c r="O111" i="217"/>
  <c r="N111" i="217"/>
  <c r="M111" i="217"/>
  <c r="L111" i="217"/>
  <c r="K111" i="217"/>
  <c r="J111" i="217"/>
  <c r="O106" i="217"/>
  <c r="N106" i="217"/>
  <c r="M106" i="217"/>
  <c r="L106" i="217"/>
  <c r="K106" i="217"/>
  <c r="J106" i="217"/>
  <c r="I106" i="217"/>
  <c r="H106" i="217"/>
  <c r="G106" i="217"/>
  <c r="F106" i="217"/>
  <c r="E106" i="217"/>
  <c r="D106" i="217"/>
  <c r="C106" i="217"/>
  <c r="E100" i="217"/>
  <c r="E99" i="217"/>
  <c r="C99" i="217"/>
  <c r="C138" i="217" s="1"/>
  <c r="D98" i="217"/>
  <c r="D176" i="217" s="1"/>
  <c r="C98" i="217"/>
  <c r="C176" i="217" s="1"/>
  <c r="D97" i="217"/>
  <c r="C97" i="217"/>
  <c r="C136" i="217" s="1"/>
  <c r="D96" i="217"/>
  <c r="D135" i="217" s="1"/>
  <c r="C96" i="217"/>
  <c r="C135" i="217" s="1"/>
  <c r="D95" i="217"/>
  <c r="D134" i="217" s="1"/>
  <c r="C95" i="217"/>
  <c r="C134" i="217" s="1"/>
  <c r="D94" i="217"/>
  <c r="D172" i="217" s="1"/>
  <c r="C94" i="217"/>
  <c r="C172" i="217" s="1"/>
  <c r="D93" i="217"/>
  <c r="C93" i="217"/>
  <c r="C132" i="217" s="1"/>
  <c r="D92" i="217"/>
  <c r="D131" i="217" s="1"/>
  <c r="C92" i="217"/>
  <c r="C131" i="217" s="1"/>
  <c r="D91" i="217"/>
  <c r="D130" i="217" s="1"/>
  <c r="C91" i="217"/>
  <c r="C130" i="217" s="1"/>
  <c r="D90" i="217"/>
  <c r="D168" i="217" s="1"/>
  <c r="C90" i="217"/>
  <c r="C168" i="217" s="1"/>
  <c r="D89" i="217"/>
  <c r="C89" i="217"/>
  <c r="C128" i="217" s="1"/>
  <c r="G88" i="217"/>
  <c r="G127" i="217" s="1"/>
  <c r="F88" i="217"/>
  <c r="F127" i="217" s="1"/>
  <c r="E88" i="217"/>
  <c r="E127" i="217" s="1"/>
  <c r="D88" i="217"/>
  <c r="D127" i="217" s="1"/>
  <c r="C88" i="217"/>
  <c r="C166" i="217" s="1"/>
  <c r="B88" i="217"/>
  <c r="B166" i="217" s="1"/>
  <c r="O87" i="217"/>
  <c r="N87" i="217"/>
  <c r="N126" i="217" s="1"/>
  <c r="M87" i="217"/>
  <c r="M126" i="217" s="1"/>
  <c r="L87" i="217"/>
  <c r="L126" i="217" s="1"/>
  <c r="K87" i="217"/>
  <c r="K126" i="217" s="1"/>
  <c r="J87" i="217"/>
  <c r="J126" i="217" s="1"/>
  <c r="I87" i="217"/>
  <c r="I165" i="217" s="1"/>
  <c r="G87" i="217"/>
  <c r="F87" i="217"/>
  <c r="E87" i="217"/>
  <c r="E102" i="217" s="1"/>
  <c r="I59" i="113" s="1"/>
  <c r="O59" i="123" s="1"/>
  <c r="D87" i="217"/>
  <c r="D126" i="217" s="1"/>
  <c r="C87" i="217"/>
  <c r="C126" i="217" s="1"/>
  <c r="B87" i="217"/>
  <c r="B126" i="217" s="1"/>
  <c r="O86" i="217"/>
  <c r="O125" i="217" s="1"/>
  <c r="N86" i="217"/>
  <c r="N164" i="217" s="1"/>
  <c r="M86" i="217"/>
  <c r="M164" i="217" s="1"/>
  <c r="L86" i="217"/>
  <c r="K86" i="217"/>
  <c r="K125" i="217" s="1"/>
  <c r="J86" i="217"/>
  <c r="J125" i="217" s="1"/>
  <c r="D86" i="217"/>
  <c r="D125" i="217" s="1"/>
  <c r="C86" i="217"/>
  <c r="C125" i="217" s="1"/>
  <c r="D85" i="217"/>
  <c r="D124" i="217" s="1"/>
  <c r="C85" i="217"/>
  <c r="C163" i="217" s="1"/>
  <c r="D84" i="217"/>
  <c r="D162" i="217" s="1"/>
  <c r="C84" i="217"/>
  <c r="D83" i="217"/>
  <c r="D122" i="217" s="1"/>
  <c r="C83" i="217"/>
  <c r="C122" i="217" s="1"/>
  <c r="D82" i="217"/>
  <c r="D121" i="217" s="1"/>
  <c r="C82" i="217"/>
  <c r="C121" i="217" s="1"/>
  <c r="D81" i="217"/>
  <c r="D120" i="217" s="1"/>
  <c r="C81" i="217"/>
  <c r="C159" i="217" s="1"/>
  <c r="D80" i="217"/>
  <c r="D158" i="217" s="1"/>
  <c r="C80" i="217"/>
  <c r="D79" i="217"/>
  <c r="D118" i="217" s="1"/>
  <c r="C79" i="217"/>
  <c r="C118" i="217" s="1"/>
  <c r="D78" i="217"/>
  <c r="D117" i="217" s="1"/>
  <c r="C78" i="217"/>
  <c r="C117" i="217" s="1"/>
  <c r="D77" i="217"/>
  <c r="D116" i="217" s="1"/>
  <c r="C77" i="217"/>
  <c r="C155" i="217" s="1"/>
  <c r="D76" i="217"/>
  <c r="D154" i="217" s="1"/>
  <c r="C76" i="217"/>
  <c r="G75" i="217"/>
  <c r="G114" i="217" s="1"/>
  <c r="F75" i="217"/>
  <c r="F114" i="217" s="1"/>
  <c r="E75" i="217"/>
  <c r="E114" i="217" s="1"/>
  <c r="D75" i="217"/>
  <c r="D114" i="217" s="1"/>
  <c r="C75" i="217"/>
  <c r="C114" i="217" s="1"/>
  <c r="B75" i="217"/>
  <c r="B153" i="217" s="1"/>
  <c r="G74" i="217"/>
  <c r="G152" i="217" s="1"/>
  <c r="F74" i="217"/>
  <c r="E74" i="217"/>
  <c r="E113" i="217" s="1"/>
  <c r="D74" i="217"/>
  <c r="D113" i="217" s="1"/>
  <c r="C74" i="217"/>
  <c r="C113" i="217" s="1"/>
  <c r="B74" i="217"/>
  <c r="B113" i="217" s="1"/>
  <c r="O69" i="217"/>
  <c r="O108" i="217" s="1"/>
  <c r="N69" i="217"/>
  <c r="N108" i="217" s="1"/>
  <c r="M69" i="217"/>
  <c r="M108" i="217" s="1"/>
  <c r="L69" i="217"/>
  <c r="K69" i="217"/>
  <c r="K147" i="217" s="1"/>
  <c r="J69" i="217"/>
  <c r="J147" i="217" s="1"/>
  <c r="G69" i="217"/>
  <c r="G108" i="217" s="1"/>
  <c r="F69" i="217"/>
  <c r="F108" i="217" s="1"/>
  <c r="E69" i="217"/>
  <c r="E108" i="217" s="1"/>
  <c r="D69" i="217"/>
  <c r="D108" i="217" s="1"/>
  <c r="C69" i="217"/>
  <c r="C108" i="217" s="1"/>
  <c r="B69" i="217"/>
  <c r="O67" i="217"/>
  <c r="N67" i="217"/>
  <c r="M67" i="217"/>
  <c r="L67" i="217"/>
  <c r="K67" i="217"/>
  <c r="J67" i="217"/>
  <c r="I67" i="217"/>
  <c r="H67" i="217"/>
  <c r="G67" i="217"/>
  <c r="F67" i="217"/>
  <c r="E67" i="217"/>
  <c r="D67" i="217"/>
  <c r="C67" i="217"/>
  <c r="O66" i="217"/>
  <c r="O105" i="217" s="1"/>
  <c r="N66" i="217"/>
  <c r="N144" i="217" s="1"/>
  <c r="M66" i="217"/>
  <c r="L66" i="217"/>
  <c r="L144" i="217" s="1"/>
  <c r="K66" i="217"/>
  <c r="K144" i="217" s="1"/>
  <c r="J66" i="217"/>
  <c r="J105" i="217" s="1"/>
  <c r="I66" i="217"/>
  <c r="I105" i="217" s="1"/>
  <c r="H66" i="217"/>
  <c r="H105" i="217" s="1"/>
  <c r="G66" i="217"/>
  <c r="G105" i="217" s="1"/>
  <c r="F66" i="217"/>
  <c r="F144" i="217" s="1"/>
  <c r="E66" i="217"/>
  <c r="D66" i="217"/>
  <c r="D144" i="217" s="1"/>
  <c r="C66" i="217"/>
  <c r="C144" i="217" s="1"/>
  <c r="A63" i="217"/>
  <c r="A62" i="217"/>
  <c r="A61" i="217"/>
  <c r="A60" i="217"/>
  <c r="A59" i="217"/>
  <c r="A58" i="217"/>
  <c r="A57" i="217"/>
  <c r="A56" i="217"/>
  <c r="A55" i="217"/>
  <c r="A54" i="217"/>
  <c r="A53" i="217"/>
  <c r="A52" i="217"/>
  <c r="A50" i="217"/>
  <c r="G44" i="217"/>
  <c r="F44" i="217"/>
  <c r="E44" i="217"/>
  <c r="I43" i="217"/>
  <c r="I96" i="217" s="1"/>
  <c r="G43" i="217"/>
  <c r="F43" i="217"/>
  <c r="E43" i="217"/>
  <c r="G42" i="217"/>
  <c r="F42" i="217"/>
  <c r="E42" i="217"/>
  <c r="G41" i="217"/>
  <c r="F41" i="217"/>
  <c r="E41" i="217"/>
  <c r="O40" i="217"/>
  <c r="N40" i="217"/>
  <c r="M40" i="217"/>
  <c r="J40" i="217"/>
  <c r="J94" i="217" s="1"/>
  <c r="J133" i="217" s="1"/>
  <c r="J172" i="217" s="1"/>
  <c r="G40" i="217"/>
  <c r="F40" i="217"/>
  <c r="E40" i="217"/>
  <c r="O39" i="217"/>
  <c r="N39" i="217"/>
  <c r="M39" i="217"/>
  <c r="G39" i="217"/>
  <c r="F39" i="217"/>
  <c r="E39" i="217"/>
  <c r="O38" i="217"/>
  <c r="N38" i="217"/>
  <c r="M38" i="217"/>
  <c r="I38" i="217"/>
  <c r="I92" i="217" s="1"/>
  <c r="I131" i="217" s="1"/>
  <c r="I170" i="217" s="1"/>
  <c r="G38" i="217"/>
  <c r="F38" i="217"/>
  <c r="E38" i="217"/>
  <c r="J37" i="217"/>
  <c r="J91" i="217" s="1"/>
  <c r="J130" i="217" s="1"/>
  <c r="J169" i="217" s="1"/>
  <c r="I37" i="217"/>
  <c r="I91" i="217" s="1"/>
  <c r="I130" i="217" s="1"/>
  <c r="I169" i="217" s="1"/>
  <c r="G37" i="217"/>
  <c r="F37" i="217"/>
  <c r="E37" i="217"/>
  <c r="G36" i="217"/>
  <c r="F36" i="217"/>
  <c r="E36" i="217"/>
  <c r="G35" i="217"/>
  <c r="F35" i="217"/>
  <c r="E35" i="217"/>
  <c r="A34" i="217"/>
  <c r="A88" i="217" s="1"/>
  <c r="G33" i="217"/>
  <c r="E33" i="217"/>
  <c r="I32" i="217"/>
  <c r="I86" i="217" s="1"/>
  <c r="G32" i="217"/>
  <c r="F32" i="217"/>
  <c r="E32" i="217"/>
  <c r="B32" i="217"/>
  <c r="B86" i="217" s="1"/>
  <c r="A32" i="217"/>
  <c r="A45" i="217" s="1"/>
  <c r="A99" i="217" s="1"/>
  <c r="G31" i="217"/>
  <c r="F31" i="217"/>
  <c r="E31" i="217"/>
  <c r="B31" i="217"/>
  <c r="B85" i="217" s="1"/>
  <c r="A31" i="217"/>
  <c r="A85" i="217" s="1"/>
  <c r="G30" i="217"/>
  <c r="F30" i="217"/>
  <c r="E30" i="217"/>
  <c r="B30" i="217"/>
  <c r="B84" i="217" s="1"/>
  <c r="A30" i="217"/>
  <c r="A84" i="217" s="1"/>
  <c r="I29" i="217"/>
  <c r="G29" i="217"/>
  <c r="O62" i="217" s="1"/>
  <c r="F29" i="217"/>
  <c r="E29" i="217"/>
  <c r="H58" i="113" s="1"/>
  <c r="B29" i="217"/>
  <c r="B83" i="217" s="1"/>
  <c r="A29" i="217"/>
  <c r="A42" i="217" s="1"/>
  <c r="A96" i="217" s="1"/>
  <c r="G28" i="217"/>
  <c r="F28" i="217"/>
  <c r="E28" i="217"/>
  <c r="B28" i="217"/>
  <c r="B82" i="217" s="1"/>
  <c r="A28" i="217"/>
  <c r="A82" i="217" s="1"/>
  <c r="I27" i="217"/>
  <c r="I80" i="217" s="1"/>
  <c r="G27" i="217"/>
  <c r="F27" i="217"/>
  <c r="E27" i="217"/>
  <c r="B27" i="217"/>
  <c r="B81" i="217" s="1"/>
  <c r="A27" i="217"/>
  <c r="A40" i="217" s="1"/>
  <c r="A94" i="217" s="1"/>
  <c r="O26" i="217"/>
  <c r="N26" i="217"/>
  <c r="M26" i="217"/>
  <c r="I26" i="217"/>
  <c r="I79" i="217" s="1"/>
  <c r="G26" i="217"/>
  <c r="F26" i="217"/>
  <c r="E26" i="217"/>
  <c r="B26" i="217"/>
  <c r="B39" i="217" s="1"/>
  <c r="B93" i="217" s="1"/>
  <c r="A26" i="217"/>
  <c r="A80" i="217" s="1"/>
  <c r="I25" i="217"/>
  <c r="I78" i="217" s="1"/>
  <c r="G25" i="217"/>
  <c r="F25" i="217"/>
  <c r="E25" i="217"/>
  <c r="B25" i="217"/>
  <c r="B79" i="217" s="1"/>
  <c r="A25" i="217"/>
  <c r="A79" i="217" s="1"/>
  <c r="O24" i="217"/>
  <c r="N24" i="217"/>
  <c r="M24" i="217"/>
  <c r="I24" i="217"/>
  <c r="I77" i="217" s="1"/>
  <c r="G24" i="217"/>
  <c r="F24" i="217"/>
  <c r="E24" i="217"/>
  <c r="B24" i="217"/>
  <c r="B78" i="217" s="1"/>
  <c r="A24" i="217"/>
  <c r="J39" i="217" s="1"/>
  <c r="J93" i="217" s="1"/>
  <c r="J132" i="217" s="1"/>
  <c r="J171" i="217" s="1"/>
  <c r="O23" i="217"/>
  <c r="N23" i="217"/>
  <c r="M23" i="217"/>
  <c r="I23" i="217"/>
  <c r="I76" i="217" s="1"/>
  <c r="G23" i="217"/>
  <c r="F23" i="217"/>
  <c r="E23" i="217"/>
  <c r="B23" i="217"/>
  <c r="B36" i="217" s="1"/>
  <c r="B90" i="217" s="1"/>
  <c r="A23" i="217"/>
  <c r="A77" i="217" s="1"/>
  <c r="I22" i="217"/>
  <c r="I75" i="217" s="1"/>
  <c r="G22" i="217"/>
  <c r="F22" i="217"/>
  <c r="E22" i="217"/>
  <c r="B22" i="217"/>
  <c r="B76" i="217" s="1"/>
  <c r="A22" i="217"/>
  <c r="A35" i="217" s="1"/>
  <c r="A89" i="217" s="1"/>
  <c r="A21" i="217"/>
  <c r="A33" i="217" s="1"/>
  <c r="A87" i="217" s="1"/>
  <c r="O19" i="217"/>
  <c r="X58" i="123" s="1"/>
  <c r="N19" i="217"/>
  <c r="T58" i="123" s="1"/>
  <c r="M19" i="217"/>
  <c r="P58" i="123" s="1"/>
  <c r="I19" i="217"/>
  <c r="I73" i="217" s="1"/>
  <c r="I18" i="217"/>
  <c r="I72" i="217" s="1"/>
  <c r="G18" i="217"/>
  <c r="F18" i="217"/>
  <c r="E18" i="217"/>
  <c r="D16" i="217"/>
  <c r="D70" i="217" s="1"/>
  <c r="A15" i="217"/>
  <c r="A18" i="217" s="1"/>
  <c r="A13" i="217"/>
  <c r="A2" i="217"/>
  <c r="A14" i="217" s="1"/>
  <c r="A66" i="217" s="1"/>
  <c r="I293" i="215"/>
  <c r="I291" i="215"/>
  <c r="I289" i="215"/>
  <c r="O287" i="215"/>
  <c r="N287" i="215"/>
  <c r="M287" i="215"/>
  <c r="I255" i="215"/>
  <c r="I253" i="215"/>
  <c r="I251" i="215"/>
  <c r="O249" i="215"/>
  <c r="N249" i="215"/>
  <c r="M249" i="215"/>
  <c r="I217" i="215"/>
  <c r="I215" i="215"/>
  <c r="I213" i="215"/>
  <c r="O211" i="215"/>
  <c r="N211" i="215"/>
  <c r="M211" i="215"/>
  <c r="G180" i="215"/>
  <c r="E177" i="215"/>
  <c r="C174" i="215"/>
  <c r="C170" i="215"/>
  <c r="G165" i="215"/>
  <c r="G177" i="215" s="1"/>
  <c r="G178" i="215" s="1"/>
  <c r="F165" i="215"/>
  <c r="F177" i="215" s="1"/>
  <c r="F178" i="215" s="1"/>
  <c r="E165" i="215"/>
  <c r="C165" i="215"/>
  <c r="D164" i="215"/>
  <c r="D160" i="215"/>
  <c r="O150" i="215"/>
  <c r="N150" i="215"/>
  <c r="M150" i="215"/>
  <c r="L150" i="215"/>
  <c r="K150" i="215"/>
  <c r="J150" i="215"/>
  <c r="A146" i="215"/>
  <c r="O145" i="215"/>
  <c r="N145" i="215"/>
  <c r="M145" i="215"/>
  <c r="L145" i="215"/>
  <c r="K145" i="215"/>
  <c r="J145" i="215"/>
  <c r="I145" i="215"/>
  <c r="H145" i="215"/>
  <c r="G145" i="215"/>
  <c r="F145" i="215"/>
  <c r="E145" i="215"/>
  <c r="D145" i="215"/>
  <c r="C145" i="215"/>
  <c r="D137" i="215"/>
  <c r="C137" i="215"/>
  <c r="D133" i="215"/>
  <c r="C133" i="215"/>
  <c r="D129" i="215"/>
  <c r="C129" i="215"/>
  <c r="C127" i="215"/>
  <c r="B127" i="215"/>
  <c r="I126" i="215"/>
  <c r="G126" i="215"/>
  <c r="F126" i="215"/>
  <c r="F138" i="215" s="1"/>
  <c r="F139" i="215" s="1"/>
  <c r="E126" i="215"/>
  <c r="N125" i="215"/>
  <c r="M125" i="215"/>
  <c r="C124" i="215"/>
  <c r="D123" i="215"/>
  <c r="C120" i="215"/>
  <c r="D119" i="215"/>
  <c r="C116" i="215"/>
  <c r="D115" i="215"/>
  <c r="B114" i="215"/>
  <c r="G113" i="215"/>
  <c r="O111" i="215"/>
  <c r="N111" i="215"/>
  <c r="M111" i="215"/>
  <c r="L111" i="215"/>
  <c r="K111" i="215"/>
  <c r="J111" i="215"/>
  <c r="K108" i="215"/>
  <c r="J108" i="215"/>
  <c r="A107" i="215"/>
  <c r="O106" i="215"/>
  <c r="N106" i="215"/>
  <c r="M106" i="215"/>
  <c r="L106" i="215"/>
  <c r="K106" i="215"/>
  <c r="J106" i="215"/>
  <c r="I106" i="215"/>
  <c r="H106" i="215"/>
  <c r="G106" i="215"/>
  <c r="F106" i="215"/>
  <c r="E106" i="215"/>
  <c r="D106" i="215"/>
  <c r="C106" i="215"/>
  <c r="M105" i="215"/>
  <c r="E100" i="215"/>
  <c r="C99" i="215"/>
  <c r="C177" i="215" s="1"/>
  <c r="D98" i="215"/>
  <c r="D176" i="215" s="1"/>
  <c r="C98" i="215"/>
  <c r="C176" i="215" s="1"/>
  <c r="D97" i="215"/>
  <c r="C97" i="215"/>
  <c r="C175" i="215" s="1"/>
  <c r="D96" i="215"/>
  <c r="D174" i="215" s="1"/>
  <c r="C96" i="215"/>
  <c r="C135" i="215" s="1"/>
  <c r="D95" i="215"/>
  <c r="D173" i="215" s="1"/>
  <c r="C95" i="215"/>
  <c r="C173" i="215" s="1"/>
  <c r="D94" i="215"/>
  <c r="D172" i="215" s="1"/>
  <c r="C94" i="215"/>
  <c r="C172" i="215" s="1"/>
  <c r="D93" i="215"/>
  <c r="C93" i="215"/>
  <c r="C171" i="215" s="1"/>
  <c r="D92" i="215"/>
  <c r="D170" i="215" s="1"/>
  <c r="C92" i="215"/>
  <c r="C131" i="215" s="1"/>
  <c r="D91" i="215"/>
  <c r="D169" i="215" s="1"/>
  <c r="C91" i="215"/>
  <c r="C169" i="215" s="1"/>
  <c r="D90" i="215"/>
  <c r="D168" i="215" s="1"/>
  <c r="C90" i="215"/>
  <c r="C168" i="215" s="1"/>
  <c r="D89" i="215"/>
  <c r="C89" i="215"/>
  <c r="C167" i="215" s="1"/>
  <c r="G88" i="215"/>
  <c r="G166" i="215" s="1"/>
  <c r="F88" i="215"/>
  <c r="F127" i="215" s="1"/>
  <c r="E88" i="215"/>
  <c r="E166" i="215" s="1"/>
  <c r="D88" i="215"/>
  <c r="D166" i="215" s="1"/>
  <c r="C88" i="215"/>
  <c r="C166" i="215" s="1"/>
  <c r="B88" i="215"/>
  <c r="B166" i="215" s="1"/>
  <c r="O87" i="215"/>
  <c r="N87" i="215"/>
  <c r="N165" i="215" s="1"/>
  <c r="M87" i="215"/>
  <c r="M165" i="215" s="1"/>
  <c r="L87" i="215"/>
  <c r="L165" i="215" s="1"/>
  <c r="K87" i="215"/>
  <c r="K165" i="215" s="1"/>
  <c r="J87" i="215"/>
  <c r="J165" i="215" s="1"/>
  <c r="I87" i="215"/>
  <c r="I165" i="215" s="1"/>
  <c r="G87" i="215"/>
  <c r="F87" i="215"/>
  <c r="E87" i="215"/>
  <c r="E99" i="215" s="1"/>
  <c r="D87" i="215"/>
  <c r="D165" i="215" s="1"/>
  <c r="C87" i="215"/>
  <c r="C126" i="215" s="1"/>
  <c r="B87" i="215"/>
  <c r="B165" i="215" s="1"/>
  <c r="O86" i="215"/>
  <c r="O164" i="215" s="1"/>
  <c r="N86" i="215"/>
  <c r="N164" i="215" s="1"/>
  <c r="M86" i="215"/>
  <c r="M164" i="215" s="1"/>
  <c r="L86" i="215"/>
  <c r="K86" i="215"/>
  <c r="K164" i="215" s="1"/>
  <c r="J86" i="215"/>
  <c r="J164" i="215" s="1"/>
  <c r="D86" i="215"/>
  <c r="D125" i="215" s="1"/>
  <c r="C86" i="215"/>
  <c r="C164" i="215" s="1"/>
  <c r="D85" i="215"/>
  <c r="D163" i="215" s="1"/>
  <c r="C85" i="215"/>
  <c r="C163" i="215" s="1"/>
  <c r="D84" i="215"/>
  <c r="D162" i="215" s="1"/>
  <c r="C84" i="215"/>
  <c r="D83" i="215"/>
  <c r="D161" i="215" s="1"/>
  <c r="C83" i="215"/>
  <c r="C161" i="215" s="1"/>
  <c r="D82" i="215"/>
  <c r="D121" i="215" s="1"/>
  <c r="C82" i="215"/>
  <c r="C160" i="215" s="1"/>
  <c r="D81" i="215"/>
  <c r="D159" i="215" s="1"/>
  <c r="C81" i="215"/>
  <c r="C159" i="215" s="1"/>
  <c r="D80" i="215"/>
  <c r="D158" i="215" s="1"/>
  <c r="C80" i="215"/>
  <c r="D79" i="215"/>
  <c r="D157" i="215" s="1"/>
  <c r="C79" i="215"/>
  <c r="C157" i="215" s="1"/>
  <c r="D78" i="215"/>
  <c r="D117" i="215" s="1"/>
  <c r="C78" i="215"/>
  <c r="C156" i="215" s="1"/>
  <c r="D77" i="215"/>
  <c r="D155" i="215" s="1"/>
  <c r="C77" i="215"/>
  <c r="C155" i="215" s="1"/>
  <c r="D76" i="215"/>
  <c r="D154" i="215" s="1"/>
  <c r="C76" i="215"/>
  <c r="G75" i="215"/>
  <c r="G153" i="215" s="1"/>
  <c r="F75" i="215"/>
  <c r="F153" i="215" s="1"/>
  <c r="E75" i="215"/>
  <c r="E153" i="215" s="1"/>
  <c r="D75" i="215"/>
  <c r="D153" i="215" s="1"/>
  <c r="C75" i="215"/>
  <c r="C153" i="215" s="1"/>
  <c r="B75" i="215"/>
  <c r="B153" i="215" s="1"/>
  <c r="G74" i="215"/>
  <c r="G152" i="215" s="1"/>
  <c r="F74" i="215"/>
  <c r="E74" i="215"/>
  <c r="E152" i="215" s="1"/>
  <c r="D74" i="215"/>
  <c r="D152" i="215" s="1"/>
  <c r="C74" i="215"/>
  <c r="C152" i="215" s="1"/>
  <c r="B74" i="215"/>
  <c r="B152" i="215" s="1"/>
  <c r="O69" i="215"/>
  <c r="O147" i="215" s="1"/>
  <c r="N69" i="215"/>
  <c r="N147" i="215" s="1"/>
  <c r="M69" i="215"/>
  <c r="M147" i="215" s="1"/>
  <c r="L69" i="215"/>
  <c r="K69" i="215"/>
  <c r="K147" i="215" s="1"/>
  <c r="J69" i="215"/>
  <c r="J147" i="215" s="1"/>
  <c r="G69" i="215"/>
  <c r="G147" i="215" s="1"/>
  <c r="F69" i="215"/>
  <c r="F147" i="215" s="1"/>
  <c r="E69" i="215"/>
  <c r="E147" i="215" s="1"/>
  <c r="D69" i="215"/>
  <c r="D147" i="215" s="1"/>
  <c r="C69" i="215"/>
  <c r="C147" i="215" s="1"/>
  <c r="B69" i="215"/>
  <c r="O67" i="215"/>
  <c r="N67" i="215"/>
  <c r="M67" i="215"/>
  <c r="L67" i="215"/>
  <c r="K67" i="215"/>
  <c r="J67" i="215"/>
  <c r="I67" i="215"/>
  <c r="H67" i="215"/>
  <c r="G67" i="215"/>
  <c r="F67" i="215"/>
  <c r="E67" i="215"/>
  <c r="D67" i="215"/>
  <c r="C67" i="215"/>
  <c r="O66" i="215"/>
  <c r="O144" i="215" s="1"/>
  <c r="N66" i="215"/>
  <c r="N144" i="215" s="1"/>
  <c r="M66" i="215"/>
  <c r="M144" i="215" s="1"/>
  <c r="L66" i="215"/>
  <c r="L144" i="215" s="1"/>
  <c r="K66" i="215"/>
  <c r="K144" i="215" s="1"/>
  <c r="J66" i="215"/>
  <c r="J144" i="215" s="1"/>
  <c r="I66" i="215"/>
  <c r="I144" i="215" s="1"/>
  <c r="H66" i="215"/>
  <c r="H144" i="215" s="1"/>
  <c r="G66" i="215"/>
  <c r="G144" i="215" s="1"/>
  <c r="F66" i="215"/>
  <c r="F144" i="215" s="1"/>
  <c r="E66" i="215"/>
  <c r="E144" i="215" s="1"/>
  <c r="D66" i="215"/>
  <c r="D144" i="215" s="1"/>
  <c r="C66" i="215"/>
  <c r="C144" i="215" s="1"/>
  <c r="A63" i="215"/>
  <c r="A62" i="215"/>
  <c r="A61" i="215"/>
  <c r="A60" i="215"/>
  <c r="A59" i="215"/>
  <c r="A58" i="215"/>
  <c r="A57" i="215"/>
  <c r="A56" i="215"/>
  <c r="A55" i="215"/>
  <c r="A54" i="215"/>
  <c r="A53" i="215"/>
  <c r="A52" i="215"/>
  <c r="A50" i="215"/>
  <c r="G44" i="215"/>
  <c r="F44" i="215"/>
  <c r="E44" i="215"/>
  <c r="I43" i="215"/>
  <c r="I96" i="215" s="1"/>
  <c r="G43" i="215"/>
  <c r="F43" i="215"/>
  <c r="E43" i="215"/>
  <c r="G42" i="215"/>
  <c r="F42" i="215"/>
  <c r="E42" i="215"/>
  <c r="G41" i="215"/>
  <c r="F41" i="215"/>
  <c r="E41" i="215"/>
  <c r="O40" i="215"/>
  <c r="N40" i="215"/>
  <c r="M40" i="215"/>
  <c r="J40" i="215"/>
  <c r="J94" i="215" s="1"/>
  <c r="J133" i="215" s="1"/>
  <c r="J172" i="215" s="1"/>
  <c r="G40" i="215"/>
  <c r="F40" i="215"/>
  <c r="E40" i="215"/>
  <c r="O39" i="215"/>
  <c r="N39" i="215"/>
  <c r="M39" i="215"/>
  <c r="G39" i="215"/>
  <c r="F39" i="215"/>
  <c r="E39" i="215"/>
  <c r="O38" i="215"/>
  <c r="N38" i="215"/>
  <c r="M38" i="215"/>
  <c r="I38" i="215"/>
  <c r="I92" i="215" s="1"/>
  <c r="I131" i="215" s="1"/>
  <c r="I170" i="215" s="1"/>
  <c r="G38" i="215"/>
  <c r="F38" i="215"/>
  <c r="E38" i="215"/>
  <c r="J37" i="215"/>
  <c r="J91" i="215" s="1"/>
  <c r="J130" i="215" s="1"/>
  <c r="J169" i="215" s="1"/>
  <c r="I37" i="215"/>
  <c r="I91" i="215" s="1"/>
  <c r="I130" i="215" s="1"/>
  <c r="I169" i="215" s="1"/>
  <c r="G37" i="215"/>
  <c r="F37" i="215"/>
  <c r="E37" i="215"/>
  <c r="G36" i="215"/>
  <c r="F36" i="215"/>
  <c r="E36" i="215"/>
  <c r="G35" i="215"/>
  <c r="F35" i="215"/>
  <c r="E35" i="215"/>
  <c r="A34" i="215"/>
  <c r="A88" i="215" s="1"/>
  <c r="E33" i="215"/>
  <c r="I32" i="215"/>
  <c r="I86" i="215" s="1"/>
  <c r="G32" i="215"/>
  <c r="F32" i="215"/>
  <c r="E32" i="215"/>
  <c r="B32" i="215"/>
  <c r="B86" i="215" s="1"/>
  <c r="A32" i="215"/>
  <c r="A45" i="215" s="1"/>
  <c r="A99" i="215" s="1"/>
  <c r="G31" i="215"/>
  <c r="F31" i="215"/>
  <c r="E31" i="215"/>
  <c r="B31" i="215"/>
  <c r="B85" i="215" s="1"/>
  <c r="A31" i="215"/>
  <c r="A85" i="215" s="1"/>
  <c r="G30" i="215"/>
  <c r="F30" i="215"/>
  <c r="E30" i="215"/>
  <c r="B30" i="215"/>
  <c r="B84" i="215" s="1"/>
  <c r="A30" i="215"/>
  <c r="A84" i="215" s="1"/>
  <c r="I29" i="215"/>
  <c r="G29" i="215"/>
  <c r="F29" i="215"/>
  <c r="E29" i="215"/>
  <c r="M62" i="215" s="1"/>
  <c r="B29" i="215"/>
  <c r="B83" i="215" s="1"/>
  <c r="A29" i="215"/>
  <c r="A42" i="215" s="1"/>
  <c r="A96" i="215" s="1"/>
  <c r="G28" i="215"/>
  <c r="F28" i="215"/>
  <c r="E28" i="215"/>
  <c r="B28" i="215"/>
  <c r="B82" i="215" s="1"/>
  <c r="A28" i="215"/>
  <c r="A82" i="215" s="1"/>
  <c r="I27" i="215"/>
  <c r="I80" i="215" s="1"/>
  <c r="G27" i="215"/>
  <c r="F27" i="215"/>
  <c r="E27" i="215"/>
  <c r="B27" i="215"/>
  <c r="B81" i="215" s="1"/>
  <c r="A27" i="215"/>
  <c r="A40" i="215" s="1"/>
  <c r="A94" i="215" s="1"/>
  <c r="O26" i="215"/>
  <c r="N26" i="215"/>
  <c r="M26" i="215"/>
  <c r="I26" i="215"/>
  <c r="I79" i="215" s="1"/>
  <c r="G26" i="215"/>
  <c r="F26" i="215"/>
  <c r="E26" i="215"/>
  <c r="B26" i="215"/>
  <c r="B39" i="215" s="1"/>
  <c r="B93" i="215" s="1"/>
  <c r="A26" i="215"/>
  <c r="A80" i="215" s="1"/>
  <c r="I25" i="215"/>
  <c r="I78" i="215" s="1"/>
  <c r="G25" i="215"/>
  <c r="F25" i="215"/>
  <c r="E25" i="215"/>
  <c r="B25" i="215"/>
  <c r="B79" i="215" s="1"/>
  <c r="A25" i="215"/>
  <c r="A79" i="215" s="1"/>
  <c r="O24" i="215"/>
  <c r="N24" i="215"/>
  <c r="M24" i="215"/>
  <c r="I24" i="215"/>
  <c r="I77" i="215" s="1"/>
  <c r="G24" i="215"/>
  <c r="F24" i="215"/>
  <c r="E24" i="215"/>
  <c r="B24" i="215"/>
  <c r="B78" i="215" s="1"/>
  <c r="A24" i="215"/>
  <c r="J39" i="215" s="1"/>
  <c r="J93" i="215" s="1"/>
  <c r="J132" i="215" s="1"/>
  <c r="J171" i="215" s="1"/>
  <c r="O23" i="215"/>
  <c r="N23" i="215"/>
  <c r="M23" i="215"/>
  <c r="I23" i="215"/>
  <c r="I76" i="215" s="1"/>
  <c r="G23" i="215"/>
  <c r="F23" i="215"/>
  <c r="E23" i="215"/>
  <c r="M56" i="215" s="1"/>
  <c r="B23" i="215"/>
  <c r="B77" i="215" s="1"/>
  <c r="A23" i="215"/>
  <c r="A77" i="215" s="1"/>
  <c r="I22" i="215"/>
  <c r="I75" i="215" s="1"/>
  <c r="G22" i="215"/>
  <c r="O56" i="215" s="1"/>
  <c r="F22" i="215"/>
  <c r="N56" i="215" s="1"/>
  <c r="E22" i="215"/>
  <c r="B22" i="215"/>
  <c r="B76" i="215" s="1"/>
  <c r="A22" i="215"/>
  <c r="A76" i="215" s="1"/>
  <c r="A21" i="215"/>
  <c r="A33" i="215" s="1"/>
  <c r="A87" i="215" s="1"/>
  <c r="O19" i="215"/>
  <c r="X56" i="123" s="1"/>
  <c r="N19" i="215"/>
  <c r="T56" i="123" s="1"/>
  <c r="M19" i="215"/>
  <c r="P56" i="123" s="1"/>
  <c r="I19" i="215"/>
  <c r="I73" i="215" s="1"/>
  <c r="I18" i="215"/>
  <c r="I72" i="215" s="1"/>
  <c r="G18" i="215"/>
  <c r="O53" i="215" s="1"/>
  <c r="F18" i="215"/>
  <c r="N53" i="215" s="1"/>
  <c r="E18" i="215"/>
  <c r="M53" i="215" s="1"/>
  <c r="M59" i="215" s="1"/>
  <c r="D16" i="215"/>
  <c r="D70" i="215" s="1"/>
  <c r="A15" i="215"/>
  <c r="A18" i="215" s="1"/>
  <c r="A13" i="215"/>
  <c r="A2" i="215"/>
  <c r="A14" i="215" s="1"/>
  <c r="I293" i="214"/>
  <c r="I291" i="214"/>
  <c r="I289" i="214"/>
  <c r="O287" i="214"/>
  <c r="N287" i="214"/>
  <c r="M287" i="214"/>
  <c r="I255" i="214"/>
  <c r="I253" i="214"/>
  <c r="I251" i="214"/>
  <c r="O249" i="214"/>
  <c r="N249" i="214"/>
  <c r="M249" i="214"/>
  <c r="I217" i="214"/>
  <c r="I215" i="214"/>
  <c r="I213" i="214"/>
  <c r="O211" i="214"/>
  <c r="N211" i="214"/>
  <c r="M211" i="214"/>
  <c r="G180" i="214"/>
  <c r="F177" i="214"/>
  <c r="F178" i="214" s="1"/>
  <c r="F180" i="214" s="1"/>
  <c r="E177" i="214"/>
  <c r="G165" i="214"/>
  <c r="G177" i="214" s="1"/>
  <c r="G178" i="214" s="1"/>
  <c r="F165" i="214"/>
  <c r="E165" i="214"/>
  <c r="O150" i="214"/>
  <c r="N150" i="214"/>
  <c r="M150" i="214"/>
  <c r="L150" i="214"/>
  <c r="K150" i="214"/>
  <c r="J150" i="214"/>
  <c r="O147" i="214"/>
  <c r="F147" i="214"/>
  <c r="E147" i="214"/>
  <c r="A146" i="214"/>
  <c r="O145" i="214"/>
  <c r="N145" i="214"/>
  <c r="M145" i="214"/>
  <c r="L145" i="214"/>
  <c r="K145" i="214"/>
  <c r="J145" i="214"/>
  <c r="I145" i="214"/>
  <c r="H145" i="214"/>
  <c r="G145" i="214"/>
  <c r="F145" i="214"/>
  <c r="E145" i="214"/>
  <c r="D145" i="214"/>
  <c r="C145" i="214"/>
  <c r="I144" i="214"/>
  <c r="G138" i="214"/>
  <c r="G139" i="214" s="1"/>
  <c r="G141" i="214" s="1"/>
  <c r="F138" i="214"/>
  <c r="F139" i="214" s="1"/>
  <c r="F141" i="214" s="1"/>
  <c r="E138" i="214"/>
  <c r="E139" i="214" s="1"/>
  <c r="E141" i="214" s="1"/>
  <c r="G126" i="214"/>
  <c r="F126" i="214"/>
  <c r="E126" i="214"/>
  <c r="O111" i="214"/>
  <c r="N111" i="214"/>
  <c r="M111" i="214"/>
  <c r="L111" i="214"/>
  <c r="K111" i="214"/>
  <c r="J111" i="214"/>
  <c r="O108" i="214"/>
  <c r="F108" i="214"/>
  <c r="E108" i="214"/>
  <c r="A107" i="214"/>
  <c r="O106" i="214"/>
  <c r="N106" i="214"/>
  <c r="M106" i="214"/>
  <c r="L106" i="214"/>
  <c r="K106" i="214"/>
  <c r="J106" i="214"/>
  <c r="I106" i="214"/>
  <c r="H106" i="214"/>
  <c r="G106" i="214"/>
  <c r="F106" i="214"/>
  <c r="E106" i="214"/>
  <c r="D106" i="214"/>
  <c r="C106" i="214"/>
  <c r="I105" i="214"/>
  <c r="G99" i="214"/>
  <c r="G100" i="214" s="1"/>
  <c r="F99" i="214"/>
  <c r="E99" i="214"/>
  <c r="E100" i="214" s="1"/>
  <c r="C99" i="214"/>
  <c r="C177" i="214" s="1"/>
  <c r="D98" i="214"/>
  <c r="D176" i="214" s="1"/>
  <c r="C98" i="214"/>
  <c r="C176" i="214" s="1"/>
  <c r="D97" i="214"/>
  <c r="D175" i="214" s="1"/>
  <c r="C97" i="214"/>
  <c r="C175" i="214" s="1"/>
  <c r="D96" i="214"/>
  <c r="D174" i="214" s="1"/>
  <c r="C96" i="214"/>
  <c r="D95" i="214"/>
  <c r="D173" i="214" s="1"/>
  <c r="C95" i="214"/>
  <c r="C173" i="214" s="1"/>
  <c r="D94" i="214"/>
  <c r="D172" i="214" s="1"/>
  <c r="C94" i="214"/>
  <c r="C172" i="214" s="1"/>
  <c r="D93" i="214"/>
  <c r="D171" i="214" s="1"/>
  <c r="C93" i="214"/>
  <c r="C171" i="214" s="1"/>
  <c r="D92" i="214"/>
  <c r="D170" i="214" s="1"/>
  <c r="C92" i="214"/>
  <c r="D91" i="214"/>
  <c r="D169" i="214" s="1"/>
  <c r="C91" i="214"/>
  <c r="C169" i="214" s="1"/>
  <c r="D90" i="214"/>
  <c r="D168" i="214" s="1"/>
  <c r="C90" i="214"/>
  <c r="C168" i="214" s="1"/>
  <c r="D89" i="214"/>
  <c r="D167" i="214" s="1"/>
  <c r="C89" i="214"/>
  <c r="C167" i="214" s="1"/>
  <c r="G88" i="214"/>
  <c r="G166" i="214" s="1"/>
  <c r="F88" i="214"/>
  <c r="E88" i="214"/>
  <c r="E166" i="214" s="1"/>
  <c r="D88" i="214"/>
  <c r="D166" i="214" s="1"/>
  <c r="C88" i="214"/>
  <c r="C166" i="214" s="1"/>
  <c r="B88" i="214"/>
  <c r="B166" i="214" s="1"/>
  <c r="O87" i="214"/>
  <c r="O165" i="214" s="1"/>
  <c r="N87" i="214"/>
  <c r="N165" i="214" s="1"/>
  <c r="M87" i="214"/>
  <c r="M165" i="214" s="1"/>
  <c r="L87" i="214"/>
  <c r="K87" i="214"/>
  <c r="K165" i="214" s="1"/>
  <c r="J87" i="214"/>
  <c r="J165" i="214" s="1"/>
  <c r="I87" i="214"/>
  <c r="I165" i="214" s="1"/>
  <c r="G87" i="214"/>
  <c r="F87" i="214"/>
  <c r="E87" i="214"/>
  <c r="D87" i="214"/>
  <c r="D165" i="214" s="1"/>
  <c r="C87" i="214"/>
  <c r="B87" i="214"/>
  <c r="B165" i="214" s="1"/>
  <c r="O86" i="214"/>
  <c r="O164" i="214" s="1"/>
  <c r="N86" i="214"/>
  <c r="N164" i="214" s="1"/>
  <c r="M86" i="214"/>
  <c r="M164" i="214" s="1"/>
  <c r="L86" i="214"/>
  <c r="L164" i="214" s="1"/>
  <c r="K86" i="214"/>
  <c r="K164" i="214" s="1"/>
  <c r="J86" i="214"/>
  <c r="J164" i="214" s="1"/>
  <c r="D86" i="214"/>
  <c r="C86" i="214"/>
  <c r="C164" i="214" s="1"/>
  <c r="D85" i="214"/>
  <c r="D163" i="214" s="1"/>
  <c r="C85" i="214"/>
  <c r="C163" i="214" s="1"/>
  <c r="D84" i="214"/>
  <c r="D162" i="214" s="1"/>
  <c r="C84" i="214"/>
  <c r="C162" i="214" s="1"/>
  <c r="D83" i="214"/>
  <c r="D161" i="214" s="1"/>
  <c r="C83" i="214"/>
  <c r="C161" i="214" s="1"/>
  <c r="D82" i="214"/>
  <c r="C82" i="214"/>
  <c r="C160" i="214" s="1"/>
  <c r="D81" i="214"/>
  <c r="D159" i="214" s="1"/>
  <c r="C81" i="214"/>
  <c r="C159" i="214" s="1"/>
  <c r="D80" i="214"/>
  <c r="D158" i="214" s="1"/>
  <c r="C80" i="214"/>
  <c r="C158" i="214" s="1"/>
  <c r="D79" i="214"/>
  <c r="D157" i="214" s="1"/>
  <c r="C79" i="214"/>
  <c r="C157" i="214" s="1"/>
  <c r="D78" i="214"/>
  <c r="C78" i="214"/>
  <c r="C156" i="214" s="1"/>
  <c r="D77" i="214"/>
  <c r="D155" i="214" s="1"/>
  <c r="C77" i="214"/>
  <c r="C155" i="214" s="1"/>
  <c r="D76" i="214"/>
  <c r="D154" i="214" s="1"/>
  <c r="C76" i="214"/>
  <c r="C154" i="214" s="1"/>
  <c r="G75" i="214"/>
  <c r="G153" i="214" s="1"/>
  <c r="F75" i="214"/>
  <c r="F153" i="214" s="1"/>
  <c r="E75" i="214"/>
  <c r="D75" i="214"/>
  <c r="D153" i="214" s="1"/>
  <c r="C75" i="214"/>
  <c r="C153" i="214" s="1"/>
  <c r="B75" i="214"/>
  <c r="B153" i="214" s="1"/>
  <c r="G74" i="214"/>
  <c r="G152" i="214" s="1"/>
  <c r="F74" i="214"/>
  <c r="F152" i="214" s="1"/>
  <c r="E74" i="214"/>
  <c r="E152" i="214" s="1"/>
  <c r="D74" i="214"/>
  <c r="D152" i="214" s="1"/>
  <c r="C74" i="214"/>
  <c r="B74" i="214"/>
  <c r="B152" i="214" s="1"/>
  <c r="O69" i="214"/>
  <c r="N69" i="214"/>
  <c r="N147" i="214" s="1"/>
  <c r="M69" i="214"/>
  <c r="M147" i="214" s="1"/>
  <c r="L69" i="214"/>
  <c r="L147" i="214" s="1"/>
  <c r="K69" i="214"/>
  <c r="K147" i="214" s="1"/>
  <c r="J69" i="214"/>
  <c r="J147" i="214" s="1"/>
  <c r="G69" i="214"/>
  <c r="F69" i="214"/>
  <c r="E69" i="214"/>
  <c r="D69" i="214"/>
  <c r="D147" i="214" s="1"/>
  <c r="C69" i="214"/>
  <c r="C147" i="214" s="1"/>
  <c r="B69" i="214"/>
  <c r="B147" i="214" s="1"/>
  <c r="O67" i="214"/>
  <c r="N67" i="214"/>
  <c r="M67" i="214"/>
  <c r="L67" i="214"/>
  <c r="K67" i="214"/>
  <c r="J67" i="214"/>
  <c r="I67" i="214"/>
  <c r="H67" i="214"/>
  <c r="G67" i="214"/>
  <c r="F67" i="214"/>
  <c r="E67" i="214"/>
  <c r="D67" i="214"/>
  <c r="C67" i="214"/>
  <c r="O66" i="214"/>
  <c r="O144" i="214" s="1"/>
  <c r="N66" i="214"/>
  <c r="N144" i="214" s="1"/>
  <c r="M66" i="214"/>
  <c r="M144" i="214" s="1"/>
  <c r="L66" i="214"/>
  <c r="L144" i="214" s="1"/>
  <c r="K66" i="214"/>
  <c r="K144" i="214" s="1"/>
  <c r="J66" i="214"/>
  <c r="I66" i="214"/>
  <c r="H66" i="214"/>
  <c r="H144" i="214" s="1"/>
  <c r="G66" i="214"/>
  <c r="G144" i="214" s="1"/>
  <c r="F66" i="214"/>
  <c r="F144" i="214" s="1"/>
  <c r="E66" i="214"/>
  <c r="E144" i="214" s="1"/>
  <c r="D66" i="214"/>
  <c r="D144" i="214" s="1"/>
  <c r="C66" i="214"/>
  <c r="C144" i="214" s="1"/>
  <c r="A63" i="214"/>
  <c r="A62" i="214"/>
  <c r="A61" i="214"/>
  <c r="A60" i="214"/>
  <c r="A59" i="214"/>
  <c r="A58" i="214"/>
  <c r="A57" i="214"/>
  <c r="A56" i="214"/>
  <c r="A55" i="214"/>
  <c r="A54" i="214"/>
  <c r="A53" i="214"/>
  <c r="A52" i="214"/>
  <c r="A50" i="214"/>
  <c r="G44" i="214"/>
  <c r="F44" i="214"/>
  <c r="E44" i="214"/>
  <c r="I43" i="214"/>
  <c r="I96" i="214" s="1"/>
  <c r="G43" i="214"/>
  <c r="F43" i="214"/>
  <c r="E43" i="214"/>
  <c r="G42" i="214"/>
  <c r="F42" i="214"/>
  <c r="E42" i="214"/>
  <c r="G41" i="214"/>
  <c r="F41" i="214"/>
  <c r="E41" i="214"/>
  <c r="O40" i="214"/>
  <c r="N40" i="214"/>
  <c r="M40" i="214"/>
  <c r="J40" i="214"/>
  <c r="J94" i="214" s="1"/>
  <c r="J133" i="214" s="1"/>
  <c r="J172" i="214" s="1"/>
  <c r="G40" i="214"/>
  <c r="F40" i="214"/>
  <c r="E40" i="214"/>
  <c r="O39" i="214"/>
  <c r="N39" i="214"/>
  <c r="M39" i="214"/>
  <c r="G39" i="214"/>
  <c r="F39" i="214"/>
  <c r="E39" i="214"/>
  <c r="O38" i="214"/>
  <c r="N38" i="214"/>
  <c r="M38" i="214"/>
  <c r="I38" i="214"/>
  <c r="I92" i="214" s="1"/>
  <c r="I131" i="214" s="1"/>
  <c r="I170" i="214" s="1"/>
  <c r="G38" i="214"/>
  <c r="F38" i="214"/>
  <c r="E38" i="214"/>
  <c r="J37" i="214"/>
  <c r="J91" i="214" s="1"/>
  <c r="J130" i="214" s="1"/>
  <c r="J169" i="214" s="1"/>
  <c r="I37" i="214"/>
  <c r="I91" i="214" s="1"/>
  <c r="I130" i="214" s="1"/>
  <c r="I169" i="214" s="1"/>
  <c r="F37" i="214"/>
  <c r="E37" i="214"/>
  <c r="G36" i="214"/>
  <c r="F36" i="214"/>
  <c r="E36" i="214"/>
  <c r="G35" i="214"/>
  <c r="F35" i="214"/>
  <c r="E35" i="214"/>
  <c r="A34" i="214"/>
  <c r="A88" i="214" s="1"/>
  <c r="G33" i="214"/>
  <c r="F33" i="214"/>
  <c r="E33" i="214"/>
  <c r="I32" i="214"/>
  <c r="I34" i="214" s="1"/>
  <c r="I88" i="214" s="1"/>
  <c r="G32" i="214"/>
  <c r="F32" i="214"/>
  <c r="E32" i="214"/>
  <c r="B32" i="214"/>
  <c r="B86" i="214" s="1"/>
  <c r="A32" i="214"/>
  <c r="A86" i="214" s="1"/>
  <c r="G31" i="214"/>
  <c r="F31" i="214"/>
  <c r="E31" i="214"/>
  <c r="B31" i="214"/>
  <c r="B85" i="214" s="1"/>
  <c r="A31" i="214"/>
  <c r="A44" i="214" s="1"/>
  <c r="A98" i="214" s="1"/>
  <c r="G30" i="214"/>
  <c r="F30" i="214"/>
  <c r="E30" i="214"/>
  <c r="B30" i="214"/>
  <c r="B84" i="214" s="1"/>
  <c r="A30" i="214"/>
  <c r="A43" i="214" s="1"/>
  <c r="A97" i="214" s="1"/>
  <c r="I29" i="214"/>
  <c r="I82" i="214" s="1"/>
  <c r="G29" i="214"/>
  <c r="P54" i="113" s="1"/>
  <c r="F29" i="214"/>
  <c r="L54" i="113" s="1"/>
  <c r="E29" i="214"/>
  <c r="H54" i="113" s="1"/>
  <c r="B29" i="214"/>
  <c r="B83" i="214" s="1"/>
  <c r="A29" i="214"/>
  <c r="J38" i="214" s="1"/>
  <c r="J92" i="214" s="1"/>
  <c r="J131" i="214" s="1"/>
  <c r="J170" i="214" s="1"/>
  <c r="G28" i="214"/>
  <c r="F28" i="214"/>
  <c r="E28" i="214"/>
  <c r="B28" i="214"/>
  <c r="B82" i="214" s="1"/>
  <c r="A28" i="214"/>
  <c r="A41" i="214" s="1"/>
  <c r="A95" i="214" s="1"/>
  <c r="I27" i="214"/>
  <c r="I80" i="214" s="1"/>
  <c r="G27" i="214"/>
  <c r="F27" i="214"/>
  <c r="E27" i="214"/>
  <c r="B27" i="214"/>
  <c r="B81" i="214" s="1"/>
  <c r="A27" i="214"/>
  <c r="A81" i="214" s="1"/>
  <c r="O26" i="214"/>
  <c r="N26" i="214"/>
  <c r="M26" i="214"/>
  <c r="I26" i="214"/>
  <c r="I79" i="214" s="1"/>
  <c r="G26" i="214"/>
  <c r="F26" i="214"/>
  <c r="E26" i="214"/>
  <c r="B26" i="214"/>
  <c r="B80" i="214" s="1"/>
  <c r="A26" i="214"/>
  <c r="A80" i="214" s="1"/>
  <c r="I25" i="214"/>
  <c r="I78" i="214" s="1"/>
  <c r="G25" i="214"/>
  <c r="F25" i="214"/>
  <c r="E25" i="214"/>
  <c r="B25" i="214"/>
  <c r="B79" i="214" s="1"/>
  <c r="A25" i="214"/>
  <c r="A38" i="214" s="1"/>
  <c r="A92" i="214" s="1"/>
  <c r="O24" i="214"/>
  <c r="N24" i="214"/>
  <c r="M24" i="214"/>
  <c r="I24" i="214"/>
  <c r="I77" i="214" s="1"/>
  <c r="G24" i="214"/>
  <c r="F24" i="214"/>
  <c r="E24" i="214"/>
  <c r="B24" i="214"/>
  <c r="B78" i="214" s="1"/>
  <c r="A24" i="214"/>
  <c r="A78" i="214" s="1"/>
  <c r="O23" i="214"/>
  <c r="N23" i="214"/>
  <c r="M23" i="214"/>
  <c r="I23" i="214"/>
  <c r="I76" i="214" s="1"/>
  <c r="G23" i="214"/>
  <c r="F23" i="214"/>
  <c r="E23" i="214"/>
  <c r="B23" i="214"/>
  <c r="B77" i="214" s="1"/>
  <c r="A23" i="214"/>
  <c r="A77" i="214" s="1"/>
  <c r="I22" i="214"/>
  <c r="I75" i="214" s="1"/>
  <c r="G22" i="214"/>
  <c r="O56" i="214" s="1"/>
  <c r="F22" i="214"/>
  <c r="E22" i="214"/>
  <c r="B22" i="214"/>
  <c r="B76" i="214" s="1"/>
  <c r="A22" i="214"/>
  <c r="A76" i="214" s="1"/>
  <c r="A21" i="214"/>
  <c r="A75" i="214" s="1"/>
  <c r="O19" i="214"/>
  <c r="X54" i="123" s="1"/>
  <c r="N19" i="214"/>
  <c r="T54" i="123" s="1"/>
  <c r="M19" i="214"/>
  <c r="P54" i="123" s="1"/>
  <c r="I19" i="214"/>
  <c r="I73" i="214" s="1"/>
  <c r="I18" i="214"/>
  <c r="I72" i="214" s="1"/>
  <c r="G18" i="214"/>
  <c r="O53" i="214" s="1"/>
  <c r="F18" i="214"/>
  <c r="N53" i="214" s="1"/>
  <c r="E18" i="214"/>
  <c r="M53" i="214" s="1"/>
  <c r="D16" i="214"/>
  <c r="D70" i="214" s="1"/>
  <c r="I15" i="214"/>
  <c r="I69" i="214" s="1"/>
  <c r="A15" i="214"/>
  <c r="A20" i="214" s="1"/>
  <c r="A74" i="214" s="1"/>
  <c r="A13" i="214"/>
  <c r="A2" i="214"/>
  <c r="I293" i="213"/>
  <c r="I291" i="213"/>
  <c r="I289" i="213"/>
  <c r="O287" i="213"/>
  <c r="N287" i="213"/>
  <c r="M287" i="213"/>
  <c r="I255" i="213"/>
  <c r="I253" i="213"/>
  <c r="I251" i="213"/>
  <c r="O249" i="213"/>
  <c r="N249" i="213"/>
  <c r="M249" i="213"/>
  <c r="I217" i="213"/>
  <c r="I215" i="213"/>
  <c r="I213" i="213"/>
  <c r="O211" i="213"/>
  <c r="N211" i="213"/>
  <c r="M211" i="213"/>
  <c r="C177" i="213"/>
  <c r="D176" i="213"/>
  <c r="C173" i="213"/>
  <c r="D172" i="213"/>
  <c r="C169" i="213"/>
  <c r="D168" i="213"/>
  <c r="D166" i="213"/>
  <c r="C166" i="213"/>
  <c r="J165" i="213"/>
  <c r="I165" i="213"/>
  <c r="G165" i="213"/>
  <c r="G177" i="213" s="1"/>
  <c r="G178" i="213" s="1"/>
  <c r="F165" i="213"/>
  <c r="F177" i="213" s="1"/>
  <c r="F178" i="213" s="1"/>
  <c r="E165" i="213"/>
  <c r="E177" i="213" s="1"/>
  <c r="O164" i="213"/>
  <c r="N164" i="213"/>
  <c r="D163" i="213"/>
  <c r="C163" i="213"/>
  <c r="D159" i="213"/>
  <c r="C159" i="213"/>
  <c r="D155" i="213"/>
  <c r="C155" i="213"/>
  <c r="G153" i="213"/>
  <c r="F153" i="213"/>
  <c r="E153" i="213"/>
  <c r="D153" i="213"/>
  <c r="C153" i="213"/>
  <c r="B153" i="213"/>
  <c r="O150" i="213"/>
  <c r="N150" i="213"/>
  <c r="M150" i="213"/>
  <c r="L150" i="213"/>
  <c r="K150" i="213"/>
  <c r="J150" i="213"/>
  <c r="M147" i="213"/>
  <c r="L147" i="213"/>
  <c r="C147" i="213"/>
  <c r="B147" i="213"/>
  <c r="A146" i="213"/>
  <c r="O145" i="213"/>
  <c r="N145" i="213"/>
  <c r="M145" i="213"/>
  <c r="L145" i="213"/>
  <c r="K145" i="213"/>
  <c r="J145" i="213"/>
  <c r="I145" i="213"/>
  <c r="H145" i="213"/>
  <c r="G145" i="213"/>
  <c r="F145" i="213"/>
  <c r="E145" i="213"/>
  <c r="D145" i="213"/>
  <c r="C145" i="213"/>
  <c r="N144" i="213"/>
  <c r="F144" i="213"/>
  <c r="F139" i="213"/>
  <c r="D137" i="213"/>
  <c r="C137" i="213"/>
  <c r="D133" i="213"/>
  <c r="C133" i="213"/>
  <c r="D129" i="213"/>
  <c r="C129" i="213"/>
  <c r="C127" i="213"/>
  <c r="B127" i="213"/>
  <c r="I126" i="213"/>
  <c r="G126" i="213"/>
  <c r="F126" i="213"/>
  <c r="F138" i="213" s="1"/>
  <c r="E126" i="213"/>
  <c r="E138" i="213" s="1"/>
  <c r="N125" i="213"/>
  <c r="M125" i="213"/>
  <c r="C124" i="213"/>
  <c r="D123" i="213"/>
  <c r="C120" i="213"/>
  <c r="D119" i="213"/>
  <c r="C116" i="213"/>
  <c r="D115" i="213"/>
  <c r="G114" i="213"/>
  <c r="F114" i="213"/>
  <c r="E114" i="213"/>
  <c r="D114" i="213"/>
  <c r="C114" i="213"/>
  <c r="B114" i="213"/>
  <c r="G113" i="213"/>
  <c r="O111" i="213"/>
  <c r="N111" i="213"/>
  <c r="M111" i="213"/>
  <c r="L111" i="213"/>
  <c r="K111" i="213"/>
  <c r="J111" i="213"/>
  <c r="L108" i="213"/>
  <c r="K108" i="213"/>
  <c r="B108" i="213"/>
  <c r="A107" i="213"/>
  <c r="O106" i="213"/>
  <c r="N106" i="213"/>
  <c r="M106" i="213"/>
  <c r="L106" i="213"/>
  <c r="K106" i="213"/>
  <c r="J106" i="213"/>
  <c r="I106" i="213"/>
  <c r="H106" i="213"/>
  <c r="G106" i="213"/>
  <c r="F106" i="213"/>
  <c r="E106" i="213"/>
  <c r="D106" i="213"/>
  <c r="C106" i="213"/>
  <c r="N105" i="213"/>
  <c r="M105" i="213"/>
  <c r="F105" i="213"/>
  <c r="E105" i="213"/>
  <c r="C99" i="213"/>
  <c r="C138" i="213" s="1"/>
  <c r="D98" i="213"/>
  <c r="C98" i="213"/>
  <c r="C176" i="213" s="1"/>
  <c r="D97" i="213"/>
  <c r="C97" i="213"/>
  <c r="C175" i="213" s="1"/>
  <c r="D96" i="213"/>
  <c r="D135" i="213" s="1"/>
  <c r="C96" i="213"/>
  <c r="C135" i="213" s="1"/>
  <c r="D95" i="213"/>
  <c r="D134" i="213" s="1"/>
  <c r="C95" i="213"/>
  <c r="C134" i="213" s="1"/>
  <c r="D94" i="213"/>
  <c r="C94" i="213"/>
  <c r="C172" i="213" s="1"/>
  <c r="D93" i="213"/>
  <c r="C93" i="213"/>
  <c r="C171" i="213" s="1"/>
  <c r="D92" i="213"/>
  <c r="D131" i="213" s="1"/>
  <c r="C92" i="213"/>
  <c r="C131" i="213" s="1"/>
  <c r="D91" i="213"/>
  <c r="D130" i="213" s="1"/>
  <c r="C91" i="213"/>
  <c r="C130" i="213" s="1"/>
  <c r="D90" i="213"/>
  <c r="C90" i="213"/>
  <c r="C168" i="213" s="1"/>
  <c r="D89" i="213"/>
  <c r="C89" i="213"/>
  <c r="C167" i="213" s="1"/>
  <c r="G88" i="213"/>
  <c r="G127" i="213" s="1"/>
  <c r="F88" i="213"/>
  <c r="F127" i="213" s="1"/>
  <c r="E88" i="213"/>
  <c r="E127" i="213" s="1"/>
  <c r="D88" i="213"/>
  <c r="D127" i="213" s="1"/>
  <c r="C88" i="213"/>
  <c r="B88" i="213"/>
  <c r="B166" i="213" s="1"/>
  <c r="O87" i="213"/>
  <c r="N87" i="213"/>
  <c r="N165" i="213" s="1"/>
  <c r="M87" i="213"/>
  <c r="M126" i="213" s="1"/>
  <c r="L87" i="213"/>
  <c r="L126" i="213" s="1"/>
  <c r="K87" i="213"/>
  <c r="K126" i="213" s="1"/>
  <c r="J87" i="213"/>
  <c r="J126" i="213" s="1"/>
  <c r="I87" i="213"/>
  <c r="G87" i="213"/>
  <c r="F87" i="213"/>
  <c r="E87" i="213"/>
  <c r="E99" i="213" s="1"/>
  <c r="E100" i="213" s="1"/>
  <c r="D87" i="213"/>
  <c r="D126" i="213" s="1"/>
  <c r="C87" i="213"/>
  <c r="C126" i="213" s="1"/>
  <c r="B87" i="213"/>
  <c r="B126" i="213" s="1"/>
  <c r="O86" i="213"/>
  <c r="O125" i="213" s="1"/>
  <c r="N86" i="213"/>
  <c r="M86" i="213"/>
  <c r="M164" i="213" s="1"/>
  <c r="L86" i="213"/>
  <c r="K86" i="213"/>
  <c r="K164" i="213" s="1"/>
  <c r="J86" i="213"/>
  <c r="J125" i="213" s="1"/>
  <c r="D86" i="213"/>
  <c r="D125" i="213" s="1"/>
  <c r="C86" i="213"/>
  <c r="C125" i="213" s="1"/>
  <c r="D85" i="213"/>
  <c r="D124" i="213" s="1"/>
  <c r="C85" i="213"/>
  <c r="D84" i="213"/>
  <c r="D162" i="213" s="1"/>
  <c r="C84" i="213"/>
  <c r="D83" i="213"/>
  <c r="D161" i="213" s="1"/>
  <c r="C83" i="213"/>
  <c r="C122" i="213" s="1"/>
  <c r="D82" i="213"/>
  <c r="D121" i="213" s="1"/>
  <c r="C82" i="213"/>
  <c r="C121" i="213" s="1"/>
  <c r="D81" i="213"/>
  <c r="D120" i="213" s="1"/>
  <c r="C81" i="213"/>
  <c r="D80" i="213"/>
  <c r="D158" i="213" s="1"/>
  <c r="C80" i="213"/>
  <c r="D79" i="213"/>
  <c r="D157" i="213" s="1"/>
  <c r="C79" i="213"/>
  <c r="C118" i="213" s="1"/>
  <c r="D78" i="213"/>
  <c r="D117" i="213" s="1"/>
  <c r="C78" i="213"/>
  <c r="C117" i="213" s="1"/>
  <c r="D77" i="213"/>
  <c r="D116" i="213" s="1"/>
  <c r="C77" i="213"/>
  <c r="D76" i="213"/>
  <c r="D154" i="213" s="1"/>
  <c r="C76" i="213"/>
  <c r="G74" i="213"/>
  <c r="G152" i="213" s="1"/>
  <c r="F74" i="213"/>
  <c r="F113" i="213" s="1"/>
  <c r="E74" i="213"/>
  <c r="E152" i="213" s="1"/>
  <c r="D74" i="213"/>
  <c r="D113" i="213" s="1"/>
  <c r="C74" i="213"/>
  <c r="C113" i="213" s="1"/>
  <c r="B74" i="213"/>
  <c r="B113" i="213" s="1"/>
  <c r="O69" i="213"/>
  <c r="O108" i="213" s="1"/>
  <c r="N69" i="213"/>
  <c r="M69" i="213"/>
  <c r="M108" i="213" s="1"/>
  <c r="L69" i="213"/>
  <c r="K69" i="213"/>
  <c r="K147" i="213" s="1"/>
  <c r="J69" i="213"/>
  <c r="J108" i="213" s="1"/>
  <c r="G69" i="213"/>
  <c r="G147" i="213" s="1"/>
  <c r="F69" i="213"/>
  <c r="F108" i="213" s="1"/>
  <c r="E69" i="213"/>
  <c r="E108" i="213" s="1"/>
  <c r="D69" i="213"/>
  <c r="C69" i="213"/>
  <c r="C108" i="213" s="1"/>
  <c r="B69" i="213"/>
  <c r="O67" i="213"/>
  <c r="N67" i="213"/>
  <c r="M67" i="213"/>
  <c r="L67" i="213"/>
  <c r="K67" i="213"/>
  <c r="J67" i="213"/>
  <c r="I67" i="213"/>
  <c r="H67" i="213"/>
  <c r="G67" i="213"/>
  <c r="F67" i="213"/>
  <c r="E67" i="213"/>
  <c r="D67" i="213"/>
  <c r="C67" i="213"/>
  <c r="O66" i="213"/>
  <c r="N66" i="213"/>
  <c r="M66" i="213"/>
  <c r="M144" i="213" s="1"/>
  <c r="L66" i="213"/>
  <c r="L105" i="213" s="1"/>
  <c r="K66" i="213"/>
  <c r="K144" i="213" s="1"/>
  <c r="J66" i="213"/>
  <c r="J105" i="213" s="1"/>
  <c r="I66" i="213"/>
  <c r="I105" i="213" s="1"/>
  <c r="H66" i="213"/>
  <c r="H105" i="213" s="1"/>
  <c r="G66" i="213"/>
  <c r="F66" i="213"/>
  <c r="E66" i="213"/>
  <c r="E144" i="213" s="1"/>
  <c r="D66" i="213"/>
  <c r="D105" i="213" s="1"/>
  <c r="C66" i="213"/>
  <c r="C144" i="213" s="1"/>
  <c r="A63" i="213"/>
  <c r="M62" i="213"/>
  <c r="A62" i="213"/>
  <c r="A61" i="213"/>
  <c r="A60" i="213"/>
  <c r="A59" i="213"/>
  <c r="A58" i="213"/>
  <c r="A57" i="213"/>
  <c r="A56" i="213"/>
  <c r="A55" i="213"/>
  <c r="A54" i="213"/>
  <c r="A53" i="213"/>
  <c r="A52" i="213"/>
  <c r="A50" i="213"/>
  <c r="E45" i="213"/>
  <c r="G44" i="213"/>
  <c r="F44" i="213"/>
  <c r="E44" i="213"/>
  <c r="I43" i="213"/>
  <c r="I96" i="213" s="1"/>
  <c r="G43" i="213"/>
  <c r="F43" i="213"/>
  <c r="E43" i="213"/>
  <c r="G42" i="213"/>
  <c r="F42" i="213"/>
  <c r="E42" i="213"/>
  <c r="G41" i="213"/>
  <c r="F41" i="213"/>
  <c r="E41" i="213"/>
  <c r="O40" i="213"/>
  <c r="N40" i="213"/>
  <c r="M40" i="213"/>
  <c r="J40" i="213"/>
  <c r="J94" i="213" s="1"/>
  <c r="J133" i="213" s="1"/>
  <c r="J172" i="213" s="1"/>
  <c r="G40" i="213"/>
  <c r="F40" i="213"/>
  <c r="E40" i="213"/>
  <c r="O39" i="213"/>
  <c r="N39" i="213"/>
  <c r="M39" i="213"/>
  <c r="G39" i="213"/>
  <c r="F39" i="213"/>
  <c r="E39" i="213"/>
  <c r="O38" i="213"/>
  <c r="N38" i="213"/>
  <c r="M38" i="213"/>
  <c r="I38" i="213"/>
  <c r="I92" i="213" s="1"/>
  <c r="I131" i="213" s="1"/>
  <c r="I170" i="213" s="1"/>
  <c r="G38" i="213"/>
  <c r="F38" i="213"/>
  <c r="E38" i="213"/>
  <c r="J37" i="213"/>
  <c r="J91" i="213" s="1"/>
  <c r="J130" i="213" s="1"/>
  <c r="J169" i="213" s="1"/>
  <c r="I37" i="213"/>
  <c r="I91" i="213" s="1"/>
  <c r="I130" i="213" s="1"/>
  <c r="I169" i="213" s="1"/>
  <c r="G37" i="213"/>
  <c r="F37" i="213"/>
  <c r="E37" i="213"/>
  <c r="G36" i="213"/>
  <c r="F36" i="213"/>
  <c r="E36" i="213"/>
  <c r="G35" i="213"/>
  <c r="F35" i="213"/>
  <c r="E35" i="213"/>
  <c r="A34" i="213"/>
  <c r="A88" i="213" s="1"/>
  <c r="F33" i="213"/>
  <c r="E33" i="213"/>
  <c r="I32" i="213"/>
  <c r="I86" i="213" s="1"/>
  <c r="G32" i="213"/>
  <c r="F32" i="213"/>
  <c r="E32" i="213"/>
  <c r="B32" i="213"/>
  <c r="B45" i="213" s="1"/>
  <c r="B99" i="213" s="1"/>
  <c r="A32" i="213"/>
  <c r="A45" i="213" s="1"/>
  <c r="A99" i="213" s="1"/>
  <c r="G31" i="213"/>
  <c r="F31" i="213"/>
  <c r="E31" i="213"/>
  <c r="B31" i="213"/>
  <c r="B85" i="213" s="1"/>
  <c r="A31" i="213"/>
  <c r="A85" i="213" s="1"/>
  <c r="G30" i="213"/>
  <c r="F30" i="213"/>
  <c r="E30" i="213"/>
  <c r="B30" i="213"/>
  <c r="B84" i="213" s="1"/>
  <c r="B162" i="213" s="1"/>
  <c r="A30" i="213"/>
  <c r="A84" i="213" s="1"/>
  <c r="I29" i="213"/>
  <c r="I82" i="213" s="1"/>
  <c r="G29" i="213"/>
  <c r="P52" i="113" s="1"/>
  <c r="F29" i="213"/>
  <c r="L52" i="113" s="1"/>
  <c r="E29" i="213"/>
  <c r="H52" i="113" s="1"/>
  <c r="B29" i="213"/>
  <c r="B83" i="213" s="1"/>
  <c r="A29" i="213"/>
  <c r="A83" i="213" s="1"/>
  <c r="G28" i="213"/>
  <c r="F28" i="213"/>
  <c r="E28" i="213"/>
  <c r="B28" i="213"/>
  <c r="B82" i="213" s="1"/>
  <c r="B160" i="213" s="1"/>
  <c r="A28" i="213"/>
  <c r="A82" i="213" s="1"/>
  <c r="I27" i="213"/>
  <c r="I80" i="213" s="1"/>
  <c r="G27" i="213"/>
  <c r="F27" i="213"/>
  <c r="E27" i="213"/>
  <c r="B27" i="213"/>
  <c r="B81" i="213" s="1"/>
  <c r="A27" i="213"/>
  <c r="A81" i="213" s="1"/>
  <c r="O26" i="213"/>
  <c r="N26" i="213"/>
  <c r="M26" i="213"/>
  <c r="I26" i="213"/>
  <c r="I79" i="213" s="1"/>
  <c r="G26" i="213"/>
  <c r="F26" i="213"/>
  <c r="E26" i="213"/>
  <c r="B26" i="213"/>
  <c r="B80" i="213" s="1"/>
  <c r="A26" i="213"/>
  <c r="A80" i="213" s="1"/>
  <c r="I25" i="213"/>
  <c r="I78" i="213" s="1"/>
  <c r="G25" i="213"/>
  <c r="F25" i="213"/>
  <c r="E25" i="213"/>
  <c r="B25" i="213"/>
  <c r="B79" i="213" s="1"/>
  <c r="A25" i="213"/>
  <c r="A79" i="213" s="1"/>
  <c r="O24" i="213"/>
  <c r="N24" i="213"/>
  <c r="M24" i="213"/>
  <c r="I24" i="213"/>
  <c r="I77" i="213" s="1"/>
  <c r="I155" i="213" s="1"/>
  <c r="G24" i="213"/>
  <c r="F24" i="213"/>
  <c r="E24" i="213"/>
  <c r="B24" i="213"/>
  <c r="B78" i="213" s="1"/>
  <c r="B156" i="213" s="1"/>
  <c r="A24" i="213"/>
  <c r="J39" i="213" s="1"/>
  <c r="J93" i="213" s="1"/>
  <c r="J132" i="213" s="1"/>
  <c r="J171" i="213" s="1"/>
  <c r="O23" i="213"/>
  <c r="N23" i="213"/>
  <c r="M23" i="213"/>
  <c r="I23" i="213"/>
  <c r="I76" i="213" s="1"/>
  <c r="G23" i="213"/>
  <c r="F23" i="213"/>
  <c r="N56" i="213" s="1"/>
  <c r="E23" i="213"/>
  <c r="B23" i="213"/>
  <c r="B77" i="213" s="1"/>
  <c r="A23" i="213"/>
  <c r="A77" i="213" s="1"/>
  <c r="A155" i="213" s="1"/>
  <c r="I22" i="213"/>
  <c r="I75" i="213" s="1"/>
  <c r="G22" i="213"/>
  <c r="F22" i="213"/>
  <c r="E22" i="213"/>
  <c r="F52" i="113" s="1"/>
  <c r="F25" i="183" s="1"/>
  <c r="B22" i="213"/>
  <c r="B76" i="213" s="1"/>
  <c r="A22" i="213"/>
  <c r="A76" i="213" s="1"/>
  <c r="A21" i="213"/>
  <c r="A33" i="213" s="1"/>
  <c r="A87" i="213" s="1"/>
  <c r="O19" i="213"/>
  <c r="X52" i="123" s="1"/>
  <c r="N19" i="213"/>
  <c r="T52" i="123" s="1"/>
  <c r="M19" i="213"/>
  <c r="P52" i="123" s="1"/>
  <c r="I19" i="213"/>
  <c r="I73" i="213" s="1"/>
  <c r="I151" i="213" s="1"/>
  <c r="I18" i="213"/>
  <c r="I72" i="213" s="1"/>
  <c r="G18" i="213"/>
  <c r="O53" i="213" s="1"/>
  <c r="F18" i="213"/>
  <c r="N53" i="213" s="1"/>
  <c r="E18" i="213"/>
  <c r="M53" i="213" s="1"/>
  <c r="D16" i="213"/>
  <c r="D70" i="213" s="1"/>
  <c r="A15" i="213"/>
  <c r="A69" i="213" s="1"/>
  <c r="A13" i="213"/>
  <c r="A2" i="213"/>
  <c r="A14" i="213" s="1"/>
  <c r="A66" i="213" s="1"/>
  <c r="I293" i="212"/>
  <c r="I291" i="212"/>
  <c r="I289" i="212"/>
  <c r="O287" i="212"/>
  <c r="N287" i="212"/>
  <c r="M287" i="212"/>
  <c r="I255" i="212"/>
  <c r="I253" i="212"/>
  <c r="I251" i="212"/>
  <c r="O249" i="212"/>
  <c r="N249" i="212"/>
  <c r="M249" i="212"/>
  <c r="I217" i="212"/>
  <c r="I215" i="212"/>
  <c r="I213" i="212"/>
  <c r="O211" i="212"/>
  <c r="N211" i="212"/>
  <c r="M211" i="212"/>
  <c r="G177" i="212"/>
  <c r="G178" i="212" s="1"/>
  <c r="F177" i="212"/>
  <c r="F178" i="212" s="1"/>
  <c r="D174" i="212"/>
  <c r="G166" i="212"/>
  <c r="I165" i="212"/>
  <c r="G165" i="212"/>
  <c r="G180" i="212" s="1"/>
  <c r="F165" i="212"/>
  <c r="F180" i="212" s="1"/>
  <c r="E165" i="212"/>
  <c r="M164" i="212"/>
  <c r="L164" i="212"/>
  <c r="C157" i="212"/>
  <c r="F153" i="212"/>
  <c r="D152" i="212"/>
  <c r="O150" i="212"/>
  <c r="N150" i="212"/>
  <c r="M150" i="212"/>
  <c r="L150" i="212"/>
  <c r="K150" i="212"/>
  <c r="J150" i="212"/>
  <c r="G147" i="212"/>
  <c r="F147" i="212"/>
  <c r="A146" i="212"/>
  <c r="O145" i="212"/>
  <c r="N145" i="212"/>
  <c r="M145" i="212"/>
  <c r="L145" i="212"/>
  <c r="K145" i="212"/>
  <c r="J145" i="212"/>
  <c r="I145" i="212"/>
  <c r="H145" i="212"/>
  <c r="G145" i="212"/>
  <c r="F145" i="212"/>
  <c r="E145" i="212"/>
  <c r="D145" i="212"/>
  <c r="C145" i="212"/>
  <c r="K144" i="212"/>
  <c r="J144" i="212"/>
  <c r="C144" i="212"/>
  <c r="C138" i="212"/>
  <c r="D134" i="212"/>
  <c r="C134" i="212"/>
  <c r="D130" i="212"/>
  <c r="C130" i="212"/>
  <c r="E127" i="212"/>
  <c r="D127" i="212"/>
  <c r="K126" i="212"/>
  <c r="J126" i="212"/>
  <c r="G126" i="212"/>
  <c r="G138" i="212" s="1"/>
  <c r="G139" i="212" s="1"/>
  <c r="G141" i="212" s="1"/>
  <c r="Q51" i="113" s="1"/>
  <c r="F126" i="212"/>
  <c r="E126" i="212"/>
  <c r="E138" i="212" s="1"/>
  <c r="E139" i="212" s="1"/>
  <c r="E141" i="212" s="1"/>
  <c r="I51" i="113" s="1"/>
  <c r="B126" i="212"/>
  <c r="O125" i="212"/>
  <c r="C125" i="212"/>
  <c r="D124" i="212"/>
  <c r="C121" i="212"/>
  <c r="D120" i="212"/>
  <c r="C117" i="212"/>
  <c r="D116" i="212"/>
  <c r="D114" i="212"/>
  <c r="C114" i="212"/>
  <c r="B113" i="212"/>
  <c r="O111" i="212"/>
  <c r="N111" i="212"/>
  <c r="M111" i="212"/>
  <c r="L111" i="212"/>
  <c r="K111" i="212"/>
  <c r="J111" i="212"/>
  <c r="N108" i="212"/>
  <c r="M108" i="212"/>
  <c r="D108" i="212"/>
  <c r="C108" i="212"/>
  <c r="O106" i="212"/>
  <c r="N106" i="212"/>
  <c r="M106" i="212"/>
  <c r="L106" i="212"/>
  <c r="K106" i="212"/>
  <c r="J106" i="212"/>
  <c r="I106" i="212"/>
  <c r="H106" i="212"/>
  <c r="G106" i="212"/>
  <c r="F106" i="212"/>
  <c r="E106" i="212"/>
  <c r="D106" i="212"/>
  <c r="C106" i="212"/>
  <c r="O105" i="212"/>
  <c r="N105" i="212"/>
  <c r="G105" i="212"/>
  <c r="F105" i="212"/>
  <c r="C99" i="212"/>
  <c r="C177" i="212" s="1"/>
  <c r="D98" i="212"/>
  <c r="D176" i="212" s="1"/>
  <c r="C98" i="212"/>
  <c r="C176" i="212" s="1"/>
  <c r="D97" i="212"/>
  <c r="D136" i="212" s="1"/>
  <c r="C97" i="212"/>
  <c r="D96" i="212"/>
  <c r="D135" i="212" s="1"/>
  <c r="C96" i="212"/>
  <c r="C174" i="212" s="1"/>
  <c r="D95" i="212"/>
  <c r="D173" i="212" s="1"/>
  <c r="C95" i="212"/>
  <c r="C173" i="212" s="1"/>
  <c r="D94" i="212"/>
  <c r="D172" i="212" s="1"/>
  <c r="C94" i="212"/>
  <c r="C172" i="212" s="1"/>
  <c r="D93" i="212"/>
  <c r="D132" i="212" s="1"/>
  <c r="C93" i="212"/>
  <c r="D92" i="212"/>
  <c r="D170" i="212" s="1"/>
  <c r="C92" i="212"/>
  <c r="C170" i="212" s="1"/>
  <c r="D91" i="212"/>
  <c r="D169" i="212" s="1"/>
  <c r="C91" i="212"/>
  <c r="C169" i="212" s="1"/>
  <c r="D90" i="212"/>
  <c r="D168" i="212" s="1"/>
  <c r="C90" i="212"/>
  <c r="C168" i="212" s="1"/>
  <c r="D89" i="212"/>
  <c r="D128" i="212" s="1"/>
  <c r="C89" i="212"/>
  <c r="G88" i="212"/>
  <c r="G127" i="212" s="1"/>
  <c r="F88" i="212"/>
  <c r="F166" i="212" s="1"/>
  <c r="E88" i="212"/>
  <c r="E166" i="212" s="1"/>
  <c r="D88" i="212"/>
  <c r="D166" i="212" s="1"/>
  <c r="C88" i="212"/>
  <c r="C166" i="212" s="1"/>
  <c r="B88" i="212"/>
  <c r="B166" i="212" s="1"/>
  <c r="O87" i="212"/>
  <c r="O126" i="212" s="1"/>
  <c r="N87" i="212"/>
  <c r="M87" i="212"/>
  <c r="M165" i="212" s="1"/>
  <c r="L87" i="212"/>
  <c r="L165" i="212" s="1"/>
  <c r="K87" i="212"/>
  <c r="K165" i="212" s="1"/>
  <c r="J87" i="212"/>
  <c r="J165" i="212" s="1"/>
  <c r="I87" i="212"/>
  <c r="I126" i="212" s="1"/>
  <c r="G87" i="212"/>
  <c r="G99" i="212" s="1"/>
  <c r="F87" i="212"/>
  <c r="F99" i="212" s="1"/>
  <c r="E87" i="212"/>
  <c r="D87" i="212"/>
  <c r="D165" i="212" s="1"/>
  <c r="C87" i="212"/>
  <c r="C165" i="212" s="1"/>
  <c r="B87" i="212"/>
  <c r="B165" i="212" s="1"/>
  <c r="O86" i="212"/>
  <c r="O164" i="212" s="1"/>
  <c r="N86" i="212"/>
  <c r="N164" i="212" s="1"/>
  <c r="M86" i="212"/>
  <c r="M125" i="212" s="1"/>
  <c r="L86" i="212"/>
  <c r="L125" i="212" s="1"/>
  <c r="K86" i="212"/>
  <c r="J86" i="212"/>
  <c r="J125" i="212" s="1"/>
  <c r="D86" i="212"/>
  <c r="D164" i="212" s="1"/>
  <c r="C86" i="212"/>
  <c r="C164" i="212" s="1"/>
  <c r="D85" i="212"/>
  <c r="D163" i="212" s="1"/>
  <c r="C85" i="212"/>
  <c r="C163" i="212" s="1"/>
  <c r="D84" i="212"/>
  <c r="D162" i="212" s="1"/>
  <c r="C84" i="212"/>
  <c r="C123" i="212" s="1"/>
  <c r="D83" i="212"/>
  <c r="D122" i="212" s="1"/>
  <c r="C83" i="212"/>
  <c r="C122" i="212" s="1"/>
  <c r="D82" i="212"/>
  <c r="D160" i="212" s="1"/>
  <c r="C82" i="212"/>
  <c r="C160" i="212" s="1"/>
  <c r="D81" i="212"/>
  <c r="D159" i="212" s="1"/>
  <c r="C81" i="212"/>
  <c r="C159" i="212" s="1"/>
  <c r="D80" i="212"/>
  <c r="D158" i="212" s="1"/>
  <c r="C80" i="212"/>
  <c r="C119" i="212" s="1"/>
  <c r="D79" i="212"/>
  <c r="C79" i="212"/>
  <c r="C118" i="212" s="1"/>
  <c r="D78" i="212"/>
  <c r="D117" i="212" s="1"/>
  <c r="C78" i="212"/>
  <c r="C156" i="212" s="1"/>
  <c r="D77" i="212"/>
  <c r="D155" i="212" s="1"/>
  <c r="C77" i="212"/>
  <c r="C155" i="212" s="1"/>
  <c r="D76" i="212"/>
  <c r="D154" i="212" s="1"/>
  <c r="C76" i="212"/>
  <c r="C115" i="212" s="1"/>
  <c r="G75" i="212"/>
  <c r="F75" i="212"/>
  <c r="F114" i="212" s="1"/>
  <c r="E75" i="212"/>
  <c r="E114" i="212" s="1"/>
  <c r="D75" i="212"/>
  <c r="D153" i="212" s="1"/>
  <c r="C75" i="212"/>
  <c r="C153" i="212" s="1"/>
  <c r="B75" i="212"/>
  <c r="B153" i="212" s="1"/>
  <c r="G74" i="212"/>
  <c r="G152" i="212" s="1"/>
  <c r="F74" i="212"/>
  <c r="F113" i="212" s="1"/>
  <c r="E74" i="212"/>
  <c r="D74" i="212"/>
  <c r="D113" i="212" s="1"/>
  <c r="C74" i="212"/>
  <c r="C113" i="212" s="1"/>
  <c r="B74" i="212"/>
  <c r="B152" i="212" s="1"/>
  <c r="O69" i="212"/>
  <c r="O108" i="212" s="1"/>
  <c r="N69" i="212"/>
  <c r="N147" i="212" s="1"/>
  <c r="M69" i="212"/>
  <c r="M147" i="212" s="1"/>
  <c r="L69" i="212"/>
  <c r="L147" i="212" s="1"/>
  <c r="K69" i="212"/>
  <c r="J69" i="212"/>
  <c r="J108" i="212" s="1"/>
  <c r="G69" i="212"/>
  <c r="G108" i="212" s="1"/>
  <c r="F69" i="212"/>
  <c r="F108" i="212" s="1"/>
  <c r="E69" i="212"/>
  <c r="E108" i="212" s="1"/>
  <c r="D69" i="212"/>
  <c r="D147" i="212" s="1"/>
  <c r="C69" i="212"/>
  <c r="C147" i="212" s="1"/>
  <c r="B69" i="212"/>
  <c r="B147" i="212" s="1"/>
  <c r="O67" i="212"/>
  <c r="N67" i="212"/>
  <c r="M67" i="212"/>
  <c r="L67" i="212"/>
  <c r="K67" i="212"/>
  <c r="J67" i="212"/>
  <c r="I67" i="212"/>
  <c r="H67" i="212"/>
  <c r="G67" i="212"/>
  <c r="F67" i="212"/>
  <c r="E67" i="212"/>
  <c r="D67" i="212"/>
  <c r="C67" i="212"/>
  <c r="O66" i="212"/>
  <c r="O144" i="212" s="1"/>
  <c r="N66" i="212"/>
  <c r="N144" i="212" s="1"/>
  <c r="M66" i="212"/>
  <c r="M144" i="212" s="1"/>
  <c r="L66" i="212"/>
  <c r="K66" i="212"/>
  <c r="K105" i="212" s="1"/>
  <c r="J66" i="212"/>
  <c r="J105" i="212" s="1"/>
  <c r="I66" i="212"/>
  <c r="I105" i="212" s="1"/>
  <c r="H66" i="212"/>
  <c r="H105" i="212" s="1"/>
  <c r="G66" i="212"/>
  <c r="G144" i="212" s="1"/>
  <c r="F66" i="212"/>
  <c r="F144" i="212" s="1"/>
  <c r="E66" i="212"/>
  <c r="E144" i="212" s="1"/>
  <c r="D66" i="212"/>
  <c r="C66" i="212"/>
  <c r="C105" i="212" s="1"/>
  <c r="A63" i="212"/>
  <c r="A62" i="212"/>
  <c r="A61" i="212"/>
  <c r="A60" i="212"/>
  <c r="A59" i="212"/>
  <c r="A58" i="212"/>
  <c r="A57" i="212"/>
  <c r="A56" i="212"/>
  <c r="A55" i="212"/>
  <c r="A54" i="212"/>
  <c r="A53" i="212"/>
  <c r="A52" i="212"/>
  <c r="A50" i="212"/>
  <c r="G44" i="212"/>
  <c r="F44" i="212"/>
  <c r="E44" i="212"/>
  <c r="I43" i="212"/>
  <c r="I96" i="212" s="1"/>
  <c r="G43" i="212"/>
  <c r="F43" i="212"/>
  <c r="E43" i="212"/>
  <c r="G42" i="212"/>
  <c r="F42" i="212"/>
  <c r="E42" i="212"/>
  <c r="G41" i="212"/>
  <c r="F41" i="212"/>
  <c r="E41" i="212"/>
  <c r="O40" i="212"/>
  <c r="N40" i="212"/>
  <c r="M40" i="212"/>
  <c r="J40" i="212"/>
  <c r="J94" i="212" s="1"/>
  <c r="J133" i="212" s="1"/>
  <c r="J172" i="212" s="1"/>
  <c r="G40" i="212"/>
  <c r="F40" i="212"/>
  <c r="E40" i="212"/>
  <c r="O39" i="212"/>
  <c r="N39" i="212"/>
  <c r="M39" i="212"/>
  <c r="G39" i="212"/>
  <c r="F39" i="212"/>
  <c r="E39" i="212"/>
  <c r="O38" i="212"/>
  <c r="N38" i="212"/>
  <c r="M38" i="212"/>
  <c r="I38" i="212"/>
  <c r="I92" i="212" s="1"/>
  <c r="I131" i="212" s="1"/>
  <c r="I170" i="212" s="1"/>
  <c r="G38" i="212"/>
  <c r="F38" i="212"/>
  <c r="E38" i="212"/>
  <c r="J37" i="212"/>
  <c r="J91" i="212" s="1"/>
  <c r="J130" i="212" s="1"/>
  <c r="J169" i="212" s="1"/>
  <c r="I37" i="212"/>
  <c r="I91" i="212" s="1"/>
  <c r="I130" i="212" s="1"/>
  <c r="I169" i="212" s="1"/>
  <c r="G37" i="212"/>
  <c r="F37" i="212"/>
  <c r="E37" i="212"/>
  <c r="G36" i="212"/>
  <c r="E36" i="212"/>
  <c r="G35" i="212"/>
  <c r="E35" i="212"/>
  <c r="M56" i="212" s="1"/>
  <c r="A34" i="212"/>
  <c r="A88" i="212" s="1"/>
  <c r="G33" i="212"/>
  <c r="I32" i="212"/>
  <c r="I86" i="212" s="1"/>
  <c r="G32" i="212"/>
  <c r="F32" i="212"/>
  <c r="E32" i="212"/>
  <c r="B32" i="212"/>
  <c r="B45" i="212" s="1"/>
  <c r="B99" i="212" s="1"/>
  <c r="A32" i="212"/>
  <c r="A86" i="212" s="1"/>
  <c r="G31" i="212"/>
  <c r="F31" i="212"/>
  <c r="E31" i="212"/>
  <c r="B31" i="212"/>
  <c r="B85" i="212" s="1"/>
  <c r="A31" i="212"/>
  <c r="A85" i="212" s="1"/>
  <c r="G30" i="212"/>
  <c r="F30" i="212"/>
  <c r="E30" i="212"/>
  <c r="B30" i="212"/>
  <c r="B84" i="212" s="1"/>
  <c r="A30" i="212"/>
  <c r="A84" i="212" s="1"/>
  <c r="I29" i="212"/>
  <c r="I82" i="212" s="1"/>
  <c r="G29" i="212"/>
  <c r="P49" i="113" s="1"/>
  <c r="F29" i="212"/>
  <c r="L49" i="113" s="1"/>
  <c r="E29" i="212"/>
  <c r="B29" i="212"/>
  <c r="B42" i="212" s="1"/>
  <c r="B96" i="212" s="1"/>
  <c r="A29" i="212"/>
  <c r="A83" i="212" s="1"/>
  <c r="G28" i="212"/>
  <c r="F28" i="212"/>
  <c r="E28" i="212"/>
  <c r="B28" i="212"/>
  <c r="B82" i="212" s="1"/>
  <c r="A28" i="212"/>
  <c r="A82" i="212" s="1"/>
  <c r="I27" i="212"/>
  <c r="I80" i="212" s="1"/>
  <c r="G27" i="212"/>
  <c r="F27" i="212"/>
  <c r="E27" i="212"/>
  <c r="B27" i="212"/>
  <c r="B40" i="212" s="1"/>
  <c r="B94" i="212" s="1"/>
  <c r="A27" i="212"/>
  <c r="A81" i="212" s="1"/>
  <c r="O26" i="212"/>
  <c r="N26" i="212"/>
  <c r="M26" i="212"/>
  <c r="I26" i="212"/>
  <c r="I79" i="212" s="1"/>
  <c r="G26" i="212"/>
  <c r="F26" i="212"/>
  <c r="E26" i="212"/>
  <c r="B26" i="212"/>
  <c r="B80" i="212" s="1"/>
  <c r="A26" i="212"/>
  <c r="A39" i="212" s="1"/>
  <c r="A93" i="212" s="1"/>
  <c r="I25" i="212"/>
  <c r="I78" i="212" s="1"/>
  <c r="G25" i="212"/>
  <c r="F25" i="212"/>
  <c r="E25" i="212"/>
  <c r="B25" i="212"/>
  <c r="B79" i="212" s="1"/>
  <c r="A25" i="212"/>
  <c r="A79" i="212" s="1"/>
  <c r="O24" i="212"/>
  <c r="N24" i="212"/>
  <c r="M24" i="212"/>
  <c r="I24" i="212"/>
  <c r="I77" i="212" s="1"/>
  <c r="G24" i="212"/>
  <c r="F24" i="212"/>
  <c r="E24" i="212"/>
  <c r="B24" i="212"/>
  <c r="B78" i="212" s="1"/>
  <c r="A24" i="212"/>
  <c r="A78" i="212" s="1"/>
  <c r="O23" i="212"/>
  <c r="N23" i="212"/>
  <c r="M23" i="212"/>
  <c r="I23" i="212"/>
  <c r="I76" i="212" s="1"/>
  <c r="G23" i="212"/>
  <c r="F23" i="212"/>
  <c r="E23" i="212"/>
  <c r="B23" i="212"/>
  <c r="B77" i="212" s="1"/>
  <c r="A23" i="212"/>
  <c r="A77" i="212" s="1"/>
  <c r="I22" i="212"/>
  <c r="I75" i="212" s="1"/>
  <c r="G22" i="212"/>
  <c r="F22" i="212"/>
  <c r="E22" i="212"/>
  <c r="B22" i="212"/>
  <c r="B76" i="212" s="1"/>
  <c r="A22" i="212"/>
  <c r="A76" i="212" s="1"/>
  <c r="A21" i="212"/>
  <c r="A75" i="212" s="1"/>
  <c r="O19" i="212"/>
  <c r="X49" i="123" s="1"/>
  <c r="N19" i="212"/>
  <c r="T49" i="123" s="1"/>
  <c r="M19" i="212"/>
  <c r="P49" i="123" s="1"/>
  <c r="I19" i="212"/>
  <c r="I73" i="212" s="1"/>
  <c r="I18" i="212"/>
  <c r="I72" i="212" s="1"/>
  <c r="G18" i="212"/>
  <c r="O53" i="212" s="1"/>
  <c r="E18" i="212"/>
  <c r="M53" i="212" s="1"/>
  <c r="D16" i="212"/>
  <c r="D70" i="212" s="1"/>
  <c r="I15" i="212"/>
  <c r="I69" i="212" s="1"/>
  <c r="A15" i="212"/>
  <c r="A69" i="212" s="1"/>
  <c r="A13" i="212"/>
  <c r="A2" i="212"/>
  <c r="I293" i="211"/>
  <c r="I291" i="211"/>
  <c r="I289" i="211"/>
  <c r="O287" i="211"/>
  <c r="N287" i="211"/>
  <c r="M287" i="211"/>
  <c r="I255" i="211"/>
  <c r="I253" i="211"/>
  <c r="I251" i="211"/>
  <c r="O249" i="211"/>
  <c r="N249" i="211"/>
  <c r="M249" i="211"/>
  <c r="I217" i="211"/>
  <c r="I215" i="211"/>
  <c r="I213" i="211"/>
  <c r="O211" i="211"/>
  <c r="N211" i="211"/>
  <c r="M211" i="211"/>
  <c r="F178" i="211"/>
  <c r="E177" i="211"/>
  <c r="C176" i="211"/>
  <c r="C172" i="211"/>
  <c r="C168" i="211"/>
  <c r="B166" i="211"/>
  <c r="G165" i="211"/>
  <c r="F165" i="211"/>
  <c r="F177" i="211" s="1"/>
  <c r="E165" i="211"/>
  <c r="M164" i="211"/>
  <c r="D162" i="211"/>
  <c r="D158" i="211"/>
  <c r="D154" i="211"/>
  <c r="G152" i="211"/>
  <c r="O150" i="211"/>
  <c r="N150" i="211"/>
  <c r="M150" i="211"/>
  <c r="L150" i="211"/>
  <c r="K150" i="211"/>
  <c r="J150" i="211"/>
  <c r="L147" i="211"/>
  <c r="K147" i="211"/>
  <c r="B147" i="211"/>
  <c r="A146" i="211"/>
  <c r="O145" i="211"/>
  <c r="N145" i="211"/>
  <c r="M145" i="211"/>
  <c r="L145" i="211"/>
  <c r="K145" i="211"/>
  <c r="J145" i="211"/>
  <c r="I145" i="211"/>
  <c r="H145" i="211"/>
  <c r="G145" i="211"/>
  <c r="F145" i="211"/>
  <c r="E145" i="211"/>
  <c r="D145" i="211"/>
  <c r="C145" i="211"/>
  <c r="N144" i="211"/>
  <c r="M144" i="211"/>
  <c r="F144" i="211"/>
  <c r="E144" i="211"/>
  <c r="C137" i="211"/>
  <c r="D136" i="211"/>
  <c r="C133" i="211"/>
  <c r="D132" i="211"/>
  <c r="C129" i="211"/>
  <c r="D128" i="211"/>
  <c r="B127" i="211"/>
  <c r="O126" i="211"/>
  <c r="G126" i="211"/>
  <c r="F126" i="211"/>
  <c r="E126" i="211"/>
  <c r="E138" i="211" s="1"/>
  <c r="M125" i="211"/>
  <c r="L125" i="211"/>
  <c r="D123" i="211"/>
  <c r="C123" i="211"/>
  <c r="D119" i="211"/>
  <c r="C119" i="211"/>
  <c r="D115" i="211"/>
  <c r="C115" i="211"/>
  <c r="G113" i="211"/>
  <c r="F113" i="211"/>
  <c r="O111" i="211"/>
  <c r="N111" i="211"/>
  <c r="M111" i="211"/>
  <c r="L111" i="211"/>
  <c r="K111" i="211"/>
  <c r="J111" i="211"/>
  <c r="K108" i="211"/>
  <c r="J108" i="211"/>
  <c r="O106" i="211"/>
  <c r="N106" i="211"/>
  <c r="M106" i="211"/>
  <c r="L106" i="211"/>
  <c r="K106" i="211"/>
  <c r="J106" i="211"/>
  <c r="I106" i="211"/>
  <c r="H106" i="211"/>
  <c r="G106" i="211"/>
  <c r="F106" i="211"/>
  <c r="E106" i="211"/>
  <c r="D106" i="211"/>
  <c r="C106" i="211"/>
  <c r="L105" i="211"/>
  <c r="K105" i="211"/>
  <c r="D105" i="211"/>
  <c r="C105" i="211"/>
  <c r="C99" i="211"/>
  <c r="C138" i="211" s="1"/>
  <c r="D98" i="211"/>
  <c r="C98" i="211"/>
  <c r="D97" i="211"/>
  <c r="D175" i="211" s="1"/>
  <c r="C97" i="211"/>
  <c r="C136" i="211" s="1"/>
  <c r="D96" i="211"/>
  <c r="D174" i="211" s="1"/>
  <c r="C96" i="211"/>
  <c r="C135" i="211" s="1"/>
  <c r="D95" i="211"/>
  <c r="D134" i="211" s="1"/>
  <c r="C95" i="211"/>
  <c r="C134" i="211" s="1"/>
  <c r="D94" i="211"/>
  <c r="C94" i="211"/>
  <c r="D93" i="211"/>
  <c r="D171" i="211" s="1"/>
  <c r="C93" i="211"/>
  <c r="C132" i="211" s="1"/>
  <c r="D92" i="211"/>
  <c r="D170" i="211" s="1"/>
  <c r="C92" i="211"/>
  <c r="C131" i="211" s="1"/>
  <c r="D91" i="211"/>
  <c r="D130" i="211" s="1"/>
  <c r="C91" i="211"/>
  <c r="C130" i="211" s="1"/>
  <c r="D90" i="211"/>
  <c r="C90" i="211"/>
  <c r="D89" i="211"/>
  <c r="D167" i="211" s="1"/>
  <c r="C89" i="211"/>
  <c r="C128" i="211" s="1"/>
  <c r="G88" i="211"/>
  <c r="G166" i="211" s="1"/>
  <c r="F88" i="211"/>
  <c r="F127" i="211" s="1"/>
  <c r="E88" i="211"/>
  <c r="E127" i="211" s="1"/>
  <c r="D88" i="211"/>
  <c r="D127" i="211" s="1"/>
  <c r="C88" i="211"/>
  <c r="B88" i="211"/>
  <c r="O87" i="211"/>
  <c r="O165" i="211" s="1"/>
  <c r="N87" i="211"/>
  <c r="N126" i="211" s="1"/>
  <c r="M87" i="211"/>
  <c r="M165" i="211" s="1"/>
  <c r="L87" i="211"/>
  <c r="L126" i="211" s="1"/>
  <c r="K87" i="211"/>
  <c r="K126" i="211" s="1"/>
  <c r="J87" i="211"/>
  <c r="J126" i="211" s="1"/>
  <c r="I87" i="211"/>
  <c r="G87" i="211"/>
  <c r="G99" i="211" s="1"/>
  <c r="F87" i="211"/>
  <c r="F99" i="211" s="1"/>
  <c r="E87" i="211"/>
  <c r="E33" i="211" s="1"/>
  <c r="D87" i="211"/>
  <c r="D165" i="211" s="1"/>
  <c r="C87" i="211"/>
  <c r="C126" i="211" s="1"/>
  <c r="B87" i="211"/>
  <c r="B126" i="211" s="1"/>
  <c r="O86" i="211"/>
  <c r="O125" i="211" s="1"/>
  <c r="N86" i="211"/>
  <c r="M86" i="211"/>
  <c r="L86" i="211"/>
  <c r="L164" i="211" s="1"/>
  <c r="K86" i="211"/>
  <c r="K125" i="211" s="1"/>
  <c r="J86" i="211"/>
  <c r="J164" i="211" s="1"/>
  <c r="D86" i="211"/>
  <c r="D125" i="211" s="1"/>
  <c r="C86" i="211"/>
  <c r="C125" i="211" s="1"/>
  <c r="D85" i="211"/>
  <c r="D124" i="211" s="1"/>
  <c r="C85" i="211"/>
  <c r="D84" i="211"/>
  <c r="C84" i="211"/>
  <c r="C162" i="211" s="1"/>
  <c r="D83" i="211"/>
  <c r="D122" i="211" s="1"/>
  <c r="C83" i="211"/>
  <c r="C161" i="211" s="1"/>
  <c r="D82" i="211"/>
  <c r="D121" i="211" s="1"/>
  <c r="C82" i="211"/>
  <c r="C121" i="211" s="1"/>
  <c r="D81" i="211"/>
  <c r="D120" i="211" s="1"/>
  <c r="C81" i="211"/>
  <c r="D80" i="211"/>
  <c r="C80" i="211"/>
  <c r="C158" i="211" s="1"/>
  <c r="D79" i="211"/>
  <c r="D118" i="211" s="1"/>
  <c r="C79" i="211"/>
  <c r="C157" i="211" s="1"/>
  <c r="D78" i="211"/>
  <c r="D117" i="211" s="1"/>
  <c r="C78" i="211"/>
  <c r="C117" i="211" s="1"/>
  <c r="D77" i="211"/>
  <c r="D116" i="211" s="1"/>
  <c r="C77" i="211"/>
  <c r="D76" i="211"/>
  <c r="C76" i="211"/>
  <c r="C154" i="211" s="1"/>
  <c r="G75" i="211"/>
  <c r="G114" i="211" s="1"/>
  <c r="F75" i="211"/>
  <c r="F153" i="211" s="1"/>
  <c r="E75" i="211"/>
  <c r="E114" i="211" s="1"/>
  <c r="D75" i="211"/>
  <c r="D114" i="211" s="1"/>
  <c r="C75" i="211"/>
  <c r="C114" i="211" s="1"/>
  <c r="B75" i="211"/>
  <c r="G74" i="211"/>
  <c r="F74" i="211"/>
  <c r="F152" i="211" s="1"/>
  <c r="E74" i="211"/>
  <c r="E113" i="211" s="1"/>
  <c r="D74" i="211"/>
  <c r="D152" i="211" s="1"/>
  <c r="C74" i="211"/>
  <c r="C113" i="211" s="1"/>
  <c r="B74" i="211"/>
  <c r="B113" i="211" s="1"/>
  <c r="O69" i="211"/>
  <c r="O108" i="211" s="1"/>
  <c r="N69" i="211"/>
  <c r="M69" i="211"/>
  <c r="M108" i="211" s="1"/>
  <c r="L69" i="211"/>
  <c r="L108" i="211" s="1"/>
  <c r="K69" i="211"/>
  <c r="J69" i="211"/>
  <c r="J147" i="211" s="1"/>
  <c r="G69" i="211"/>
  <c r="G108" i="211" s="1"/>
  <c r="F69" i="211"/>
  <c r="F147" i="211" s="1"/>
  <c r="E69" i="211"/>
  <c r="E108" i="211" s="1"/>
  <c r="D69" i="211"/>
  <c r="C69" i="211"/>
  <c r="C108" i="211" s="1"/>
  <c r="B69" i="211"/>
  <c r="B108" i="211" s="1"/>
  <c r="O67" i="211"/>
  <c r="N67" i="211"/>
  <c r="M67" i="211"/>
  <c r="L67" i="211"/>
  <c r="K67" i="211"/>
  <c r="J67" i="211"/>
  <c r="I67" i="211"/>
  <c r="H67" i="211"/>
  <c r="G67" i="211"/>
  <c r="F67" i="211"/>
  <c r="E67" i="211"/>
  <c r="D67" i="211"/>
  <c r="C67" i="211"/>
  <c r="O66" i="211"/>
  <c r="N66" i="211"/>
  <c r="N105" i="211" s="1"/>
  <c r="M66" i="211"/>
  <c r="M105" i="211" s="1"/>
  <c r="L66" i="211"/>
  <c r="L144" i="211" s="1"/>
  <c r="K66" i="211"/>
  <c r="K144" i="211" s="1"/>
  <c r="J66" i="211"/>
  <c r="J144" i="211" s="1"/>
  <c r="I66" i="211"/>
  <c r="I144" i="211" s="1"/>
  <c r="H66" i="211"/>
  <c r="H105" i="211" s="1"/>
  <c r="G66" i="211"/>
  <c r="F66" i="211"/>
  <c r="F105" i="211" s="1"/>
  <c r="E66" i="211"/>
  <c r="E105" i="211" s="1"/>
  <c r="D66" i="211"/>
  <c r="D144" i="211" s="1"/>
  <c r="C66" i="211"/>
  <c r="C144" i="211" s="1"/>
  <c r="A63" i="211"/>
  <c r="N62" i="211"/>
  <c r="A62" i="211"/>
  <c r="A61" i="211"/>
  <c r="A60" i="211"/>
  <c r="A59" i="211"/>
  <c r="A58" i="211"/>
  <c r="A57" i="211"/>
  <c r="M56" i="211"/>
  <c r="A56" i="211"/>
  <c r="A55" i="211"/>
  <c r="A54" i="211"/>
  <c r="A53" i="211"/>
  <c r="A52" i="211"/>
  <c r="A50" i="211"/>
  <c r="G44" i="211"/>
  <c r="F44" i="211"/>
  <c r="E44" i="211"/>
  <c r="I43" i="211"/>
  <c r="I96" i="211" s="1"/>
  <c r="G43" i="211"/>
  <c r="F43" i="211"/>
  <c r="E43" i="211"/>
  <c r="G42" i="211"/>
  <c r="F42" i="211"/>
  <c r="E42" i="211"/>
  <c r="G41" i="211"/>
  <c r="F41" i="211"/>
  <c r="E41" i="211"/>
  <c r="O40" i="211"/>
  <c r="N40" i="211"/>
  <c r="M40" i="211"/>
  <c r="J40" i="211"/>
  <c r="J94" i="211" s="1"/>
  <c r="J133" i="211" s="1"/>
  <c r="J172" i="211" s="1"/>
  <c r="G40" i="211"/>
  <c r="F40" i="211"/>
  <c r="E40" i="211"/>
  <c r="O39" i="211"/>
  <c r="N39" i="211"/>
  <c r="M39" i="211"/>
  <c r="G39" i="211"/>
  <c r="F39" i="211"/>
  <c r="E39" i="211"/>
  <c r="O38" i="211"/>
  <c r="N38" i="211"/>
  <c r="M38" i="211"/>
  <c r="I38" i="211"/>
  <c r="I92" i="211" s="1"/>
  <c r="I131" i="211" s="1"/>
  <c r="I170" i="211" s="1"/>
  <c r="G38" i="211"/>
  <c r="F38" i="211"/>
  <c r="E38" i="211"/>
  <c r="J37" i="211"/>
  <c r="J91" i="211" s="1"/>
  <c r="J130" i="211" s="1"/>
  <c r="J169" i="211" s="1"/>
  <c r="I37" i="211"/>
  <c r="I91" i="211" s="1"/>
  <c r="I130" i="211" s="1"/>
  <c r="I169" i="211" s="1"/>
  <c r="G37" i="211"/>
  <c r="F37" i="211"/>
  <c r="E37" i="211"/>
  <c r="G36" i="211"/>
  <c r="F36" i="211"/>
  <c r="E36" i="211"/>
  <c r="G35" i="211"/>
  <c r="F35" i="211"/>
  <c r="E35" i="211"/>
  <c r="A34" i="211"/>
  <c r="A88" i="211" s="1"/>
  <c r="I32" i="211"/>
  <c r="I86" i="211" s="1"/>
  <c r="G32" i="211"/>
  <c r="F32" i="211"/>
  <c r="E32" i="211"/>
  <c r="B32" i="211"/>
  <c r="B45" i="211" s="1"/>
  <c r="B99" i="211" s="1"/>
  <c r="A32" i="211"/>
  <c r="A86" i="211" s="1"/>
  <c r="G31" i="211"/>
  <c r="F31" i="211"/>
  <c r="E31" i="211"/>
  <c r="B31" i="211"/>
  <c r="B85" i="211" s="1"/>
  <c r="A31" i="211"/>
  <c r="A85" i="211" s="1"/>
  <c r="G30" i="211"/>
  <c r="F30" i="211"/>
  <c r="E30" i="211"/>
  <c r="B30" i="211"/>
  <c r="B84" i="211" s="1"/>
  <c r="A30" i="211"/>
  <c r="A84" i="211" s="1"/>
  <c r="I29" i="211"/>
  <c r="I82" i="211" s="1"/>
  <c r="G29" i="211"/>
  <c r="P46" i="113" s="1"/>
  <c r="F29" i="211"/>
  <c r="L46" i="113" s="1"/>
  <c r="E29" i="211"/>
  <c r="M62" i="211" s="1"/>
  <c r="B29" i="211"/>
  <c r="B83" i="211" s="1"/>
  <c r="A29" i="211"/>
  <c r="A83" i="211" s="1"/>
  <c r="G28" i="211"/>
  <c r="F28" i="211"/>
  <c r="E28" i="211"/>
  <c r="B28" i="211"/>
  <c r="B82" i="211" s="1"/>
  <c r="A28" i="211"/>
  <c r="A82" i="211" s="1"/>
  <c r="I27" i="211"/>
  <c r="I80" i="211" s="1"/>
  <c r="G27" i="211"/>
  <c r="F27" i="211"/>
  <c r="E27" i="211"/>
  <c r="B27" i="211"/>
  <c r="B81" i="211" s="1"/>
  <c r="A27" i="211"/>
  <c r="A81" i="211" s="1"/>
  <c r="O26" i="211"/>
  <c r="N26" i="211"/>
  <c r="M26" i="211"/>
  <c r="I26" i="211"/>
  <c r="I79" i="211" s="1"/>
  <c r="G26" i="211"/>
  <c r="F26" i="211"/>
  <c r="E26" i="211"/>
  <c r="B26" i="211"/>
  <c r="B80" i="211" s="1"/>
  <c r="A26" i="211"/>
  <c r="A80" i="211" s="1"/>
  <c r="I25" i="211"/>
  <c r="I78" i="211" s="1"/>
  <c r="G25" i="211"/>
  <c r="F25" i="211"/>
  <c r="E25" i="211"/>
  <c r="B25" i="211"/>
  <c r="B79" i="211" s="1"/>
  <c r="A25" i="211"/>
  <c r="A79" i="211" s="1"/>
  <c r="O24" i="211"/>
  <c r="N24" i="211"/>
  <c r="M24" i="211"/>
  <c r="I24" i="211"/>
  <c r="I77" i="211" s="1"/>
  <c r="G24" i="211"/>
  <c r="F24" i="211"/>
  <c r="E24" i="211"/>
  <c r="B24" i="211"/>
  <c r="B78" i="211" s="1"/>
  <c r="A24" i="211"/>
  <c r="A78" i="211" s="1"/>
  <c r="O23" i="211"/>
  <c r="N23" i="211"/>
  <c r="M23" i="211"/>
  <c r="I23" i="211"/>
  <c r="I76" i="211" s="1"/>
  <c r="G23" i="211"/>
  <c r="F23" i="211"/>
  <c r="E23" i="211"/>
  <c r="B23" i="211"/>
  <c r="B77" i="211" s="1"/>
  <c r="A23" i="211"/>
  <c r="A77" i="211" s="1"/>
  <c r="I22" i="211"/>
  <c r="I75" i="211" s="1"/>
  <c r="G22" i="211"/>
  <c r="N46" i="113" s="1"/>
  <c r="N23" i="183" s="1"/>
  <c r="F22" i="211"/>
  <c r="E22" i="211"/>
  <c r="B22" i="211"/>
  <c r="B76" i="211" s="1"/>
  <c r="A22" i="211"/>
  <c r="A76" i="211" s="1"/>
  <c r="A21" i="211"/>
  <c r="A75" i="211" s="1"/>
  <c r="O19" i="211"/>
  <c r="X46" i="123" s="1"/>
  <c r="N19" i="211"/>
  <c r="T46" i="123" s="1"/>
  <c r="M19" i="211"/>
  <c r="P46" i="123" s="1"/>
  <c r="I19" i="211"/>
  <c r="I73" i="211" s="1"/>
  <c r="I18" i="211"/>
  <c r="I72" i="211" s="1"/>
  <c r="G18" i="211"/>
  <c r="O53" i="211" s="1"/>
  <c r="F18" i="211"/>
  <c r="N53" i="211" s="1"/>
  <c r="M53" i="211"/>
  <c r="D16" i="211"/>
  <c r="D70" i="211" s="1"/>
  <c r="A15" i="211"/>
  <c r="A69" i="211" s="1"/>
  <c r="A13" i="211"/>
  <c r="A2" i="211"/>
  <c r="I293" i="210"/>
  <c r="I291" i="210"/>
  <c r="I289" i="210"/>
  <c r="O287" i="210"/>
  <c r="N287" i="210"/>
  <c r="M287" i="210"/>
  <c r="I255" i="210"/>
  <c r="I253" i="210"/>
  <c r="I251" i="210"/>
  <c r="O249" i="210"/>
  <c r="N249" i="210"/>
  <c r="M249" i="210"/>
  <c r="I217" i="210"/>
  <c r="I215" i="210"/>
  <c r="I213" i="210"/>
  <c r="O211" i="210"/>
  <c r="N211" i="210"/>
  <c r="M211" i="210"/>
  <c r="C176" i="210"/>
  <c r="C172" i="210"/>
  <c r="C168" i="210"/>
  <c r="B166" i="210"/>
  <c r="G165" i="210"/>
  <c r="F165" i="210"/>
  <c r="E165" i="210"/>
  <c r="E177" i="210" s="1"/>
  <c r="E178" i="210" s="1"/>
  <c r="M164" i="210"/>
  <c r="C162" i="210"/>
  <c r="G152" i="210"/>
  <c r="O150" i="210"/>
  <c r="N150" i="210"/>
  <c r="M150" i="210"/>
  <c r="L150" i="210"/>
  <c r="K150" i="210"/>
  <c r="J150" i="210"/>
  <c r="A146" i="210"/>
  <c r="O145" i="210"/>
  <c r="N145" i="210"/>
  <c r="M145" i="210"/>
  <c r="L145" i="210"/>
  <c r="K145" i="210"/>
  <c r="J145" i="210"/>
  <c r="I145" i="210"/>
  <c r="H145" i="210"/>
  <c r="G145" i="210"/>
  <c r="F145" i="210"/>
  <c r="E145" i="210"/>
  <c r="D145" i="210"/>
  <c r="C145" i="210"/>
  <c r="L144" i="210"/>
  <c r="D144" i="210"/>
  <c r="G138" i="210"/>
  <c r="G139" i="210" s="1"/>
  <c r="C136" i="210"/>
  <c r="C132" i="210"/>
  <c r="C128" i="210"/>
  <c r="G126" i="210"/>
  <c r="F126" i="210"/>
  <c r="E126" i="210"/>
  <c r="C123" i="210"/>
  <c r="C120" i="210"/>
  <c r="D119" i="210"/>
  <c r="C118" i="210"/>
  <c r="C116" i="210"/>
  <c r="D115" i="210"/>
  <c r="F114" i="210"/>
  <c r="B114" i="210"/>
  <c r="G113" i="210"/>
  <c r="D113" i="210"/>
  <c r="O111" i="210"/>
  <c r="N111" i="210"/>
  <c r="M111" i="210"/>
  <c r="L111" i="210"/>
  <c r="K111" i="210"/>
  <c r="J111" i="210"/>
  <c r="O106" i="210"/>
  <c r="N106" i="210"/>
  <c r="M106" i="210"/>
  <c r="L106" i="210"/>
  <c r="K106" i="210"/>
  <c r="J106" i="210"/>
  <c r="I106" i="210"/>
  <c r="H106" i="210"/>
  <c r="G106" i="210"/>
  <c r="F106" i="210"/>
  <c r="E106" i="210"/>
  <c r="D106" i="210"/>
  <c r="C106" i="210"/>
  <c r="G99" i="210"/>
  <c r="G100" i="210" s="1"/>
  <c r="C99" i="210"/>
  <c r="D98" i="210"/>
  <c r="C98" i="210"/>
  <c r="C137" i="210" s="1"/>
  <c r="D97" i="210"/>
  <c r="D175" i="210" s="1"/>
  <c r="C97" i="210"/>
  <c r="C175" i="210" s="1"/>
  <c r="D96" i="210"/>
  <c r="C96" i="210"/>
  <c r="D95" i="210"/>
  <c r="C95" i="210"/>
  <c r="D94" i="210"/>
  <c r="C94" i="210"/>
  <c r="C133" i="210" s="1"/>
  <c r="D93" i="210"/>
  <c r="D171" i="210" s="1"/>
  <c r="C93" i="210"/>
  <c r="C171" i="210" s="1"/>
  <c r="D92" i="210"/>
  <c r="C92" i="210"/>
  <c r="D91" i="210"/>
  <c r="C91" i="210"/>
  <c r="D90" i="210"/>
  <c r="C90" i="210"/>
  <c r="C129" i="210" s="1"/>
  <c r="D89" i="210"/>
  <c r="D167" i="210" s="1"/>
  <c r="C89" i="210"/>
  <c r="C167" i="210" s="1"/>
  <c r="G88" i="210"/>
  <c r="F88" i="210"/>
  <c r="E88" i="210"/>
  <c r="D88" i="210"/>
  <c r="C88" i="210"/>
  <c r="B88" i="210"/>
  <c r="B127" i="210" s="1"/>
  <c r="O87" i="210"/>
  <c r="O165" i="210" s="1"/>
  <c r="N87" i="210"/>
  <c r="N165" i="210" s="1"/>
  <c r="M87" i="210"/>
  <c r="L87" i="210"/>
  <c r="K87" i="210"/>
  <c r="J87" i="210"/>
  <c r="I87" i="210"/>
  <c r="G87" i="210"/>
  <c r="F87" i="210"/>
  <c r="F99" i="210" s="1"/>
  <c r="E87" i="210"/>
  <c r="E33" i="210" s="1"/>
  <c r="D87" i="210"/>
  <c r="C87" i="210"/>
  <c r="B87" i="210"/>
  <c r="O86" i="210"/>
  <c r="N86" i="210"/>
  <c r="M86" i="210"/>
  <c r="M125" i="210" s="1"/>
  <c r="L86" i="210"/>
  <c r="L164" i="210" s="1"/>
  <c r="K86" i="210"/>
  <c r="K164" i="210" s="1"/>
  <c r="J86" i="210"/>
  <c r="D86" i="210"/>
  <c r="C86" i="210"/>
  <c r="D85" i="210"/>
  <c r="C85" i="210"/>
  <c r="D84" i="210"/>
  <c r="D123" i="210" s="1"/>
  <c r="C84" i="210"/>
  <c r="D83" i="210"/>
  <c r="D161" i="210" s="1"/>
  <c r="C83" i="210"/>
  <c r="D82" i="210"/>
  <c r="C82" i="210"/>
  <c r="D81" i="210"/>
  <c r="D159" i="210" s="1"/>
  <c r="C81" i="210"/>
  <c r="C159" i="210" s="1"/>
  <c r="D80" i="210"/>
  <c r="D158" i="210" s="1"/>
  <c r="C80" i="210"/>
  <c r="C119" i="210" s="1"/>
  <c r="D79" i="210"/>
  <c r="D157" i="210" s="1"/>
  <c r="C79" i="210"/>
  <c r="C157" i="210" s="1"/>
  <c r="D78" i="210"/>
  <c r="D156" i="210" s="1"/>
  <c r="C78" i="210"/>
  <c r="D77" i="210"/>
  <c r="D155" i="210" s="1"/>
  <c r="C77" i="210"/>
  <c r="C155" i="210" s="1"/>
  <c r="D76" i="210"/>
  <c r="D154" i="210" s="1"/>
  <c r="C76" i="210"/>
  <c r="C154" i="210" s="1"/>
  <c r="G75" i="210"/>
  <c r="G153" i="210" s="1"/>
  <c r="F75" i="210"/>
  <c r="F153" i="210" s="1"/>
  <c r="E75" i="210"/>
  <c r="E153" i="210" s="1"/>
  <c r="D75" i="210"/>
  <c r="C75" i="210"/>
  <c r="C153" i="210" s="1"/>
  <c r="B75" i="210"/>
  <c r="B153" i="210" s="1"/>
  <c r="G74" i="210"/>
  <c r="F74" i="210"/>
  <c r="F152" i="210" s="1"/>
  <c r="E74" i="210"/>
  <c r="E152" i="210" s="1"/>
  <c r="D74" i="210"/>
  <c r="D152" i="210" s="1"/>
  <c r="C74" i="210"/>
  <c r="C152" i="210" s="1"/>
  <c r="B74" i="210"/>
  <c r="O69" i="210"/>
  <c r="O147" i="210" s="1"/>
  <c r="N69" i="210"/>
  <c r="N147" i="210" s="1"/>
  <c r="M69" i="210"/>
  <c r="M147" i="210" s="1"/>
  <c r="L69" i="210"/>
  <c r="L147" i="210" s="1"/>
  <c r="K69" i="210"/>
  <c r="K147" i="210" s="1"/>
  <c r="J69" i="210"/>
  <c r="J147" i="210" s="1"/>
  <c r="G69" i="210"/>
  <c r="G147" i="210" s="1"/>
  <c r="F69" i="210"/>
  <c r="F147" i="210" s="1"/>
  <c r="E69" i="210"/>
  <c r="E147" i="210" s="1"/>
  <c r="D69" i="210"/>
  <c r="D147" i="210" s="1"/>
  <c r="C69" i="210"/>
  <c r="C147" i="210" s="1"/>
  <c r="B69" i="210"/>
  <c r="B147" i="210" s="1"/>
  <c r="O67" i="210"/>
  <c r="N67" i="210"/>
  <c r="M67" i="210"/>
  <c r="L67" i="210"/>
  <c r="K67" i="210"/>
  <c r="J67" i="210"/>
  <c r="I67" i="210"/>
  <c r="H67" i="210"/>
  <c r="G67" i="210"/>
  <c r="F67" i="210"/>
  <c r="E67" i="210"/>
  <c r="D67" i="210"/>
  <c r="C67" i="210"/>
  <c r="O66" i="210"/>
  <c r="O144" i="210" s="1"/>
  <c r="N66" i="210"/>
  <c r="N144" i="210" s="1"/>
  <c r="M66" i="210"/>
  <c r="M105" i="210" s="1"/>
  <c r="L66" i="210"/>
  <c r="L105" i="210" s="1"/>
  <c r="K66" i="210"/>
  <c r="K144" i="210" s="1"/>
  <c r="J66" i="210"/>
  <c r="J144" i="210" s="1"/>
  <c r="I66" i="210"/>
  <c r="I144" i="210" s="1"/>
  <c r="H66" i="210"/>
  <c r="H144" i="210" s="1"/>
  <c r="G66" i="210"/>
  <c r="G144" i="210" s="1"/>
  <c r="F66" i="210"/>
  <c r="F144" i="210" s="1"/>
  <c r="E66" i="210"/>
  <c r="E105" i="210" s="1"/>
  <c r="D66" i="210"/>
  <c r="D105" i="210" s="1"/>
  <c r="C66" i="210"/>
  <c r="C144" i="210" s="1"/>
  <c r="A63" i="210"/>
  <c r="O62" i="210"/>
  <c r="A62" i="210"/>
  <c r="A61" i="210"/>
  <c r="A60" i="210"/>
  <c r="A59" i="210"/>
  <c r="A58" i="210"/>
  <c r="A57" i="210"/>
  <c r="A56" i="210"/>
  <c r="A55" i="210"/>
  <c r="A54" i="210"/>
  <c r="A53" i="210"/>
  <c r="A52" i="210"/>
  <c r="A50" i="210"/>
  <c r="G44" i="210"/>
  <c r="F44" i="210"/>
  <c r="E44" i="210"/>
  <c r="I43" i="210"/>
  <c r="I96" i="210" s="1"/>
  <c r="G43" i="210"/>
  <c r="F43" i="210"/>
  <c r="E43" i="210"/>
  <c r="G42" i="210"/>
  <c r="F42" i="210"/>
  <c r="E42" i="210"/>
  <c r="G41" i="210"/>
  <c r="F41" i="210"/>
  <c r="E41" i="210"/>
  <c r="O40" i="210"/>
  <c r="N40" i="210"/>
  <c r="M40" i="210"/>
  <c r="J40" i="210"/>
  <c r="J94" i="210" s="1"/>
  <c r="J133" i="210" s="1"/>
  <c r="J172" i="210" s="1"/>
  <c r="G40" i="210"/>
  <c r="F40" i="210"/>
  <c r="E40" i="210"/>
  <c r="O39" i="210"/>
  <c r="N39" i="210"/>
  <c r="M39" i="210"/>
  <c r="G39" i="210"/>
  <c r="F39" i="210"/>
  <c r="E39" i="210"/>
  <c r="O38" i="210"/>
  <c r="N38" i="210"/>
  <c r="M38" i="210"/>
  <c r="I38" i="210"/>
  <c r="I92" i="210" s="1"/>
  <c r="I131" i="210" s="1"/>
  <c r="I170" i="210" s="1"/>
  <c r="G38" i="210"/>
  <c r="F38" i="210"/>
  <c r="E38" i="210"/>
  <c r="J37" i="210"/>
  <c r="J91" i="210" s="1"/>
  <c r="J130" i="210" s="1"/>
  <c r="J169" i="210" s="1"/>
  <c r="I37" i="210"/>
  <c r="I91" i="210" s="1"/>
  <c r="I130" i="210" s="1"/>
  <c r="I169" i="210" s="1"/>
  <c r="G37" i="210"/>
  <c r="F37" i="210"/>
  <c r="E37" i="210"/>
  <c r="G36" i="210"/>
  <c r="F36" i="210"/>
  <c r="E36" i="210"/>
  <c r="G35" i="210"/>
  <c r="F35" i="210"/>
  <c r="E35" i="210"/>
  <c r="A34" i="210"/>
  <c r="A88" i="210" s="1"/>
  <c r="G33" i="210"/>
  <c r="I32" i="210"/>
  <c r="I34" i="210" s="1"/>
  <c r="I88" i="210" s="1"/>
  <c r="G32" i="210"/>
  <c r="F32" i="210"/>
  <c r="E32" i="210"/>
  <c r="B32" i="210"/>
  <c r="B86" i="210" s="1"/>
  <c r="A32" i="210"/>
  <c r="A86" i="210" s="1"/>
  <c r="G31" i="210"/>
  <c r="F31" i="210"/>
  <c r="E31" i="210"/>
  <c r="B31" i="210"/>
  <c r="B85" i="210" s="1"/>
  <c r="A31" i="210"/>
  <c r="A85" i="210" s="1"/>
  <c r="G30" i="210"/>
  <c r="F30" i="210"/>
  <c r="E30" i="210"/>
  <c r="B30" i="210"/>
  <c r="B84" i="210" s="1"/>
  <c r="A30" i="210"/>
  <c r="A84" i="210" s="1"/>
  <c r="I29" i="210"/>
  <c r="I82" i="210" s="1"/>
  <c r="G29" i="210"/>
  <c r="P43" i="113" s="1"/>
  <c r="F29" i="210"/>
  <c r="L43" i="113" s="1"/>
  <c r="E29" i="210"/>
  <c r="M62" i="210" s="1"/>
  <c r="B29" i="210"/>
  <c r="B83" i="210" s="1"/>
  <c r="A29" i="210"/>
  <c r="A42" i="210" s="1"/>
  <c r="A96" i="210" s="1"/>
  <c r="G28" i="210"/>
  <c r="F28" i="210"/>
  <c r="E28" i="210"/>
  <c r="B28" i="210"/>
  <c r="B82" i="210" s="1"/>
  <c r="A28" i="210"/>
  <c r="A82" i="210" s="1"/>
  <c r="I27" i="210"/>
  <c r="I80" i="210" s="1"/>
  <c r="G27" i="210"/>
  <c r="F27" i="210"/>
  <c r="E27" i="210"/>
  <c r="B27" i="210"/>
  <c r="B81" i="210" s="1"/>
  <c r="A27" i="210"/>
  <c r="A40" i="210" s="1"/>
  <c r="A94" i="210" s="1"/>
  <c r="O26" i="210"/>
  <c r="N26" i="210"/>
  <c r="M26" i="210"/>
  <c r="I26" i="210"/>
  <c r="I79" i="210" s="1"/>
  <c r="G26" i="210"/>
  <c r="F26" i="210"/>
  <c r="E26" i="210"/>
  <c r="B26" i="210"/>
  <c r="B39" i="210" s="1"/>
  <c r="B93" i="210" s="1"/>
  <c r="A26" i="210"/>
  <c r="A80" i="210" s="1"/>
  <c r="I25" i="210"/>
  <c r="I78" i="210" s="1"/>
  <c r="G25" i="210"/>
  <c r="F25" i="210"/>
  <c r="E25" i="210"/>
  <c r="B25" i="210"/>
  <c r="B79" i="210" s="1"/>
  <c r="A25" i="210"/>
  <c r="A79" i="210" s="1"/>
  <c r="O24" i="210"/>
  <c r="N24" i="210"/>
  <c r="M24" i="210"/>
  <c r="I24" i="210"/>
  <c r="I77" i="210" s="1"/>
  <c r="G24" i="210"/>
  <c r="F24" i="210"/>
  <c r="E24" i="210"/>
  <c r="B24" i="210"/>
  <c r="B78" i="210" s="1"/>
  <c r="A24" i="210"/>
  <c r="A78" i="210" s="1"/>
  <c r="O23" i="210"/>
  <c r="N23" i="210"/>
  <c r="M23" i="210"/>
  <c r="I23" i="210"/>
  <c r="I76" i="210" s="1"/>
  <c r="G23" i="210"/>
  <c r="F23" i="210"/>
  <c r="E23" i="210"/>
  <c r="B23" i="210"/>
  <c r="B77" i="210" s="1"/>
  <c r="A23" i="210"/>
  <c r="A77" i="210" s="1"/>
  <c r="I22" i="210"/>
  <c r="I75" i="210" s="1"/>
  <c r="G22" i="210"/>
  <c r="O56" i="210" s="1"/>
  <c r="F22" i="210"/>
  <c r="E22" i="210"/>
  <c r="B22" i="210"/>
  <c r="B76" i="210" s="1"/>
  <c r="A22" i="210"/>
  <c r="A35" i="210" s="1"/>
  <c r="A89" i="210" s="1"/>
  <c r="A21" i="210"/>
  <c r="A75" i="210" s="1"/>
  <c r="O19" i="210"/>
  <c r="X43" i="123" s="1"/>
  <c r="N19" i="210"/>
  <c r="T43" i="123" s="1"/>
  <c r="M19" i="210"/>
  <c r="P43" i="123" s="1"/>
  <c r="I19" i="210"/>
  <c r="I73" i="210" s="1"/>
  <c r="I18" i="210"/>
  <c r="I72" i="210" s="1"/>
  <c r="G18" i="210"/>
  <c r="O53" i="210" s="1"/>
  <c r="F18" i="210"/>
  <c r="N53" i="210" s="1"/>
  <c r="E18" i="210"/>
  <c r="M53" i="210" s="1"/>
  <c r="D16" i="210"/>
  <c r="L16" i="210" s="1"/>
  <c r="L70" i="210" s="1"/>
  <c r="I15" i="210"/>
  <c r="I69" i="210" s="1"/>
  <c r="A15" i="210"/>
  <c r="A20" i="210" s="1"/>
  <c r="A74" i="210" s="1"/>
  <c r="A13" i="210"/>
  <c r="A2" i="210"/>
  <c r="I293" i="209"/>
  <c r="I291" i="209"/>
  <c r="I289" i="209"/>
  <c r="O287" i="209"/>
  <c r="N287" i="209"/>
  <c r="M287" i="209"/>
  <c r="I255" i="209"/>
  <c r="I253" i="209"/>
  <c r="I251" i="209"/>
  <c r="O249" i="209"/>
  <c r="N249" i="209"/>
  <c r="M249" i="209"/>
  <c r="I217" i="209"/>
  <c r="I215" i="209"/>
  <c r="I213" i="209"/>
  <c r="O211" i="209"/>
  <c r="N211" i="209"/>
  <c r="M211" i="209"/>
  <c r="E177" i="209"/>
  <c r="C176" i="209"/>
  <c r="C174" i="209"/>
  <c r="C172" i="209"/>
  <c r="C170" i="209"/>
  <c r="C168" i="209"/>
  <c r="F166" i="209"/>
  <c r="B166" i="209"/>
  <c r="L165" i="209"/>
  <c r="G165" i="209"/>
  <c r="F165" i="209"/>
  <c r="F177" i="209" s="1"/>
  <c r="F178" i="209" s="1"/>
  <c r="F180" i="209" s="1"/>
  <c r="E165" i="209"/>
  <c r="C165" i="209"/>
  <c r="M164" i="209"/>
  <c r="D164" i="209"/>
  <c r="D162" i="209"/>
  <c r="D160" i="209"/>
  <c r="D158" i="209"/>
  <c r="D156" i="209"/>
  <c r="D154" i="209"/>
  <c r="E153" i="209"/>
  <c r="G152" i="209"/>
  <c r="C152" i="209"/>
  <c r="O150" i="209"/>
  <c r="N150" i="209"/>
  <c r="M150" i="209"/>
  <c r="L150" i="209"/>
  <c r="K150" i="209"/>
  <c r="J150" i="209"/>
  <c r="K147" i="209"/>
  <c r="A146" i="209"/>
  <c r="O145" i="209"/>
  <c r="N145" i="209"/>
  <c r="M145" i="209"/>
  <c r="L145" i="209"/>
  <c r="K145" i="209"/>
  <c r="J145" i="209"/>
  <c r="I145" i="209"/>
  <c r="H145" i="209"/>
  <c r="G145" i="209"/>
  <c r="F145" i="209"/>
  <c r="E145" i="209"/>
  <c r="D145" i="209"/>
  <c r="C145" i="209"/>
  <c r="O144" i="209"/>
  <c r="M144" i="209"/>
  <c r="I144" i="209"/>
  <c r="G144" i="209"/>
  <c r="E144" i="209"/>
  <c r="D137" i="209"/>
  <c r="D136" i="209"/>
  <c r="D134" i="209"/>
  <c r="D133" i="209"/>
  <c r="D132" i="209"/>
  <c r="D130" i="209"/>
  <c r="D129" i="209"/>
  <c r="D128" i="209"/>
  <c r="E127" i="209"/>
  <c r="C127" i="209"/>
  <c r="O126" i="209"/>
  <c r="K126" i="209"/>
  <c r="I126" i="209"/>
  <c r="G126" i="209"/>
  <c r="F126" i="209"/>
  <c r="E126" i="209"/>
  <c r="E138" i="209" s="1"/>
  <c r="B126" i="209"/>
  <c r="N125" i="209"/>
  <c r="L125" i="209"/>
  <c r="C125" i="209"/>
  <c r="C124" i="209"/>
  <c r="C123" i="209"/>
  <c r="C121" i="209"/>
  <c r="C120" i="209"/>
  <c r="C119" i="209"/>
  <c r="C117" i="209"/>
  <c r="C116" i="209"/>
  <c r="C115" i="209"/>
  <c r="D114" i="209"/>
  <c r="B114" i="209"/>
  <c r="F113" i="209"/>
  <c r="B113" i="209"/>
  <c r="O111" i="209"/>
  <c r="N111" i="209"/>
  <c r="M111" i="209"/>
  <c r="L111" i="209"/>
  <c r="K111" i="209"/>
  <c r="J111" i="209"/>
  <c r="N108" i="209"/>
  <c r="L108" i="209"/>
  <c r="J108" i="209"/>
  <c r="D108" i="209"/>
  <c r="B108" i="209"/>
  <c r="A107" i="209"/>
  <c r="O106" i="209"/>
  <c r="N106" i="209"/>
  <c r="M106" i="209"/>
  <c r="L106" i="209"/>
  <c r="K106" i="209"/>
  <c r="J106" i="209"/>
  <c r="I106" i="209"/>
  <c r="H106" i="209"/>
  <c r="G106" i="209"/>
  <c r="F106" i="209"/>
  <c r="E106" i="209"/>
  <c r="D106" i="209"/>
  <c r="C106" i="209"/>
  <c r="L105" i="209"/>
  <c r="D105" i="209"/>
  <c r="G99" i="209"/>
  <c r="C99" i="209"/>
  <c r="C138" i="209" s="1"/>
  <c r="D98" i="209"/>
  <c r="D176" i="209" s="1"/>
  <c r="C98" i="209"/>
  <c r="C137" i="209" s="1"/>
  <c r="D97" i="209"/>
  <c r="D175" i="209" s="1"/>
  <c r="C97" i="209"/>
  <c r="D96" i="209"/>
  <c r="D174" i="209" s="1"/>
  <c r="C96" i="209"/>
  <c r="C135" i="209" s="1"/>
  <c r="D95" i="209"/>
  <c r="D173" i="209" s="1"/>
  <c r="C95" i="209"/>
  <c r="C134" i="209" s="1"/>
  <c r="D94" i="209"/>
  <c r="D172" i="209" s="1"/>
  <c r="C94" i="209"/>
  <c r="C133" i="209" s="1"/>
  <c r="D93" i="209"/>
  <c r="D171" i="209" s="1"/>
  <c r="C93" i="209"/>
  <c r="D92" i="209"/>
  <c r="D170" i="209" s="1"/>
  <c r="C92" i="209"/>
  <c r="C131" i="209" s="1"/>
  <c r="D91" i="209"/>
  <c r="D169" i="209" s="1"/>
  <c r="C91" i="209"/>
  <c r="C130" i="209" s="1"/>
  <c r="D90" i="209"/>
  <c r="D168" i="209" s="1"/>
  <c r="C90" i="209"/>
  <c r="C129" i="209" s="1"/>
  <c r="D89" i="209"/>
  <c r="D167" i="209" s="1"/>
  <c r="C89" i="209"/>
  <c r="G88" i="209"/>
  <c r="G166" i="209" s="1"/>
  <c r="F88" i="209"/>
  <c r="F127" i="209" s="1"/>
  <c r="E88" i="209"/>
  <c r="E166" i="209" s="1"/>
  <c r="D88" i="209"/>
  <c r="D127" i="209" s="1"/>
  <c r="C88" i="209"/>
  <c r="C166" i="209" s="1"/>
  <c r="B88" i="209"/>
  <c r="B127" i="209" s="1"/>
  <c r="O87" i="209"/>
  <c r="O165" i="209" s="1"/>
  <c r="N87" i="209"/>
  <c r="M87" i="209"/>
  <c r="M165" i="209" s="1"/>
  <c r="L87" i="209"/>
  <c r="L126" i="209" s="1"/>
  <c r="K87" i="209"/>
  <c r="K165" i="209" s="1"/>
  <c r="J87" i="209"/>
  <c r="J126" i="209" s="1"/>
  <c r="I87" i="209"/>
  <c r="I165" i="209" s="1"/>
  <c r="G87" i="209"/>
  <c r="F87" i="209"/>
  <c r="E87" i="209"/>
  <c r="D87" i="209"/>
  <c r="D165" i="209" s="1"/>
  <c r="C87" i="209"/>
  <c r="C126" i="209" s="1"/>
  <c r="B87" i="209"/>
  <c r="B165" i="209" s="1"/>
  <c r="O86" i="209"/>
  <c r="O125" i="209" s="1"/>
  <c r="N86" i="209"/>
  <c r="N164" i="209" s="1"/>
  <c r="M86" i="209"/>
  <c r="M125" i="209" s="1"/>
  <c r="L86" i="209"/>
  <c r="L164" i="209" s="1"/>
  <c r="K86" i="209"/>
  <c r="J86" i="209"/>
  <c r="J164" i="209" s="1"/>
  <c r="D86" i="209"/>
  <c r="D125" i="209" s="1"/>
  <c r="C86" i="209"/>
  <c r="C164" i="209" s="1"/>
  <c r="D85" i="209"/>
  <c r="D124" i="209" s="1"/>
  <c r="C85" i="209"/>
  <c r="C163" i="209" s="1"/>
  <c r="D84" i="209"/>
  <c r="D123" i="209" s="1"/>
  <c r="C84" i="209"/>
  <c r="C162" i="209" s="1"/>
  <c r="D83" i="209"/>
  <c r="C83" i="209"/>
  <c r="C161" i="209" s="1"/>
  <c r="D82" i="209"/>
  <c r="D121" i="209" s="1"/>
  <c r="C82" i="209"/>
  <c r="C160" i="209" s="1"/>
  <c r="D81" i="209"/>
  <c r="D120" i="209" s="1"/>
  <c r="C81" i="209"/>
  <c r="C159" i="209" s="1"/>
  <c r="D80" i="209"/>
  <c r="D119" i="209" s="1"/>
  <c r="C80" i="209"/>
  <c r="C158" i="209" s="1"/>
  <c r="D79" i="209"/>
  <c r="C79" i="209"/>
  <c r="C157" i="209" s="1"/>
  <c r="D78" i="209"/>
  <c r="D117" i="209" s="1"/>
  <c r="C78" i="209"/>
  <c r="C156" i="209" s="1"/>
  <c r="D77" i="209"/>
  <c r="D116" i="209" s="1"/>
  <c r="C77" i="209"/>
  <c r="C155" i="209" s="1"/>
  <c r="D76" i="209"/>
  <c r="D115" i="209" s="1"/>
  <c r="C76" i="209"/>
  <c r="C154" i="209" s="1"/>
  <c r="G75" i="209"/>
  <c r="F75" i="209"/>
  <c r="F153" i="209" s="1"/>
  <c r="E75" i="209"/>
  <c r="E114" i="209" s="1"/>
  <c r="D75" i="209"/>
  <c r="D153" i="209" s="1"/>
  <c r="C75" i="209"/>
  <c r="C114" i="209" s="1"/>
  <c r="B75" i="209"/>
  <c r="B153" i="209" s="1"/>
  <c r="G74" i="209"/>
  <c r="G113" i="209" s="1"/>
  <c r="F74" i="209"/>
  <c r="F152" i="209" s="1"/>
  <c r="E74" i="209"/>
  <c r="D74" i="209"/>
  <c r="D152" i="209" s="1"/>
  <c r="C74" i="209"/>
  <c r="C113" i="209" s="1"/>
  <c r="B74" i="209"/>
  <c r="B152" i="209" s="1"/>
  <c r="O69" i="209"/>
  <c r="O108" i="209" s="1"/>
  <c r="N69" i="209"/>
  <c r="N147" i="209" s="1"/>
  <c r="M69" i="209"/>
  <c r="M108" i="209" s="1"/>
  <c r="L69" i="209"/>
  <c r="L147" i="209" s="1"/>
  <c r="K69" i="209"/>
  <c r="K108" i="209" s="1"/>
  <c r="J69" i="209"/>
  <c r="J147" i="209" s="1"/>
  <c r="G69" i="209"/>
  <c r="G108" i="209" s="1"/>
  <c r="F69" i="209"/>
  <c r="F147" i="209" s="1"/>
  <c r="E69" i="209"/>
  <c r="E108" i="209" s="1"/>
  <c r="D69" i="209"/>
  <c r="D147" i="209" s="1"/>
  <c r="C69" i="209"/>
  <c r="C108" i="209" s="1"/>
  <c r="B69" i="209"/>
  <c r="B147" i="209" s="1"/>
  <c r="O67" i="209"/>
  <c r="N67" i="209"/>
  <c r="M67" i="209"/>
  <c r="L67" i="209"/>
  <c r="K67" i="209"/>
  <c r="J67" i="209"/>
  <c r="I67" i="209"/>
  <c r="H67" i="209"/>
  <c r="G67" i="209"/>
  <c r="F67" i="209"/>
  <c r="E67" i="209"/>
  <c r="D67" i="209"/>
  <c r="C67" i="209"/>
  <c r="O66" i="209"/>
  <c r="O105" i="209" s="1"/>
  <c r="N66" i="209"/>
  <c r="N105" i="209" s="1"/>
  <c r="M66" i="209"/>
  <c r="M105" i="209" s="1"/>
  <c r="L66" i="209"/>
  <c r="L144" i="209" s="1"/>
  <c r="K66" i="209"/>
  <c r="K105" i="209" s="1"/>
  <c r="J66" i="209"/>
  <c r="J144" i="209" s="1"/>
  <c r="I66" i="209"/>
  <c r="I105" i="209" s="1"/>
  <c r="H66" i="209"/>
  <c r="H105" i="209" s="1"/>
  <c r="G66" i="209"/>
  <c r="G105" i="209" s="1"/>
  <c r="F66" i="209"/>
  <c r="F105" i="209" s="1"/>
  <c r="E66" i="209"/>
  <c r="E105" i="209" s="1"/>
  <c r="D66" i="209"/>
  <c r="D144" i="209" s="1"/>
  <c r="C66" i="209"/>
  <c r="C105" i="209" s="1"/>
  <c r="A63" i="209"/>
  <c r="N62" i="209"/>
  <c r="A62" i="209"/>
  <c r="A61" i="209"/>
  <c r="A60" i="209"/>
  <c r="A59" i="209"/>
  <c r="A58" i="209"/>
  <c r="A57" i="209"/>
  <c r="A56" i="209"/>
  <c r="A55" i="209"/>
  <c r="A54" i="209"/>
  <c r="A53" i="209"/>
  <c r="A52" i="209"/>
  <c r="A50" i="209"/>
  <c r="G44" i="209"/>
  <c r="F44" i="209"/>
  <c r="E44" i="209"/>
  <c r="I43" i="209"/>
  <c r="I96" i="209" s="1"/>
  <c r="G43" i="209"/>
  <c r="F43" i="209"/>
  <c r="E43" i="209"/>
  <c r="G42" i="209"/>
  <c r="F42" i="209"/>
  <c r="E42" i="209"/>
  <c r="G41" i="209"/>
  <c r="F41" i="209"/>
  <c r="E41" i="209"/>
  <c r="O40" i="209"/>
  <c r="N40" i="209"/>
  <c r="M40" i="209"/>
  <c r="J40" i="209"/>
  <c r="J94" i="209" s="1"/>
  <c r="J133" i="209" s="1"/>
  <c r="J172" i="209" s="1"/>
  <c r="G40" i="209"/>
  <c r="F40" i="209"/>
  <c r="E40" i="209"/>
  <c r="O39" i="209"/>
  <c r="N39" i="209"/>
  <c r="M39" i="209"/>
  <c r="G39" i="209"/>
  <c r="F39" i="209"/>
  <c r="E39" i="209"/>
  <c r="O38" i="209"/>
  <c r="N38" i="209"/>
  <c r="M38" i="209"/>
  <c r="I38" i="209"/>
  <c r="I92" i="209" s="1"/>
  <c r="I131" i="209" s="1"/>
  <c r="I170" i="209" s="1"/>
  <c r="G38" i="209"/>
  <c r="F38" i="209"/>
  <c r="E38" i="209"/>
  <c r="J37" i="209"/>
  <c r="J91" i="209" s="1"/>
  <c r="J130" i="209" s="1"/>
  <c r="J169" i="209" s="1"/>
  <c r="I37" i="209"/>
  <c r="I91" i="209" s="1"/>
  <c r="I130" i="209" s="1"/>
  <c r="I169" i="209" s="1"/>
  <c r="G37" i="209"/>
  <c r="F37" i="209"/>
  <c r="E37" i="209"/>
  <c r="G36" i="209"/>
  <c r="F36" i="209"/>
  <c r="E36" i="209"/>
  <c r="G35" i="209"/>
  <c r="O56" i="209" s="1"/>
  <c r="F35" i="209"/>
  <c r="E35" i="209"/>
  <c r="A34" i="209"/>
  <c r="A88" i="209" s="1"/>
  <c r="I32" i="209"/>
  <c r="I86" i="209" s="1"/>
  <c r="G32" i="209"/>
  <c r="F32" i="209"/>
  <c r="E32" i="209"/>
  <c r="B32" i="209"/>
  <c r="B45" i="209" s="1"/>
  <c r="B99" i="209" s="1"/>
  <c r="A32" i="209"/>
  <c r="A86" i="209" s="1"/>
  <c r="G31" i="209"/>
  <c r="F31" i="209"/>
  <c r="E31" i="209"/>
  <c r="B31" i="209"/>
  <c r="B85" i="209" s="1"/>
  <c r="A31" i="209"/>
  <c r="A85" i="209" s="1"/>
  <c r="G30" i="209"/>
  <c r="F30" i="209"/>
  <c r="E30" i="209"/>
  <c r="B30" i="209"/>
  <c r="B84" i="209" s="1"/>
  <c r="A30" i="209"/>
  <c r="A84" i="209" s="1"/>
  <c r="I29" i="209"/>
  <c r="I82" i="209" s="1"/>
  <c r="G29" i="209"/>
  <c r="F29" i="209"/>
  <c r="L41" i="113" s="1"/>
  <c r="E29" i="209"/>
  <c r="B29" i="209"/>
  <c r="B42" i="209" s="1"/>
  <c r="B96" i="209" s="1"/>
  <c r="A29" i="209"/>
  <c r="A83" i="209" s="1"/>
  <c r="G28" i="209"/>
  <c r="F28" i="209"/>
  <c r="E28" i="209"/>
  <c r="B28" i="209"/>
  <c r="B82" i="209" s="1"/>
  <c r="A28" i="209"/>
  <c r="A82" i="209" s="1"/>
  <c r="I27" i="209"/>
  <c r="I80" i="209" s="1"/>
  <c r="G27" i="209"/>
  <c r="F27" i="209"/>
  <c r="E27" i="209"/>
  <c r="B27" i="209"/>
  <c r="B40" i="209" s="1"/>
  <c r="B94" i="209" s="1"/>
  <c r="A27" i="209"/>
  <c r="A81" i="209" s="1"/>
  <c r="O26" i="209"/>
  <c r="N26" i="209"/>
  <c r="M26" i="209"/>
  <c r="I26" i="209"/>
  <c r="I79" i="209" s="1"/>
  <c r="G26" i="209"/>
  <c r="F26" i="209"/>
  <c r="E26" i="209"/>
  <c r="B26" i="209"/>
  <c r="B80" i="209" s="1"/>
  <c r="A26" i="209"/>
  <c r="A39" i="209" s="1"/>
  <c r="A93" i="209" s="1"/>
  <c r="I25" i="209"/>
  <c r="I78" i="209" s="1"/>
  <c r="G25" i="209"/>
  <c r="F25" i="209"/>
  <c r="E25" i="209"/>
  <c r="B25" i="209"/>
  <c r="B79" i="209" s="1"/>
  <c r="A25" i="209"/>
  <c r="A79" i="209" s="1"/>
  <c r="O24" i="209"/>
  <c r="N24" i="209"/>
  <c r="M24" i="209"/>
  <c r="I24" i="209"/>
  <c r="I77" i="209" s="1"/>
  <c r="G24" i="209"/>
  <c r="F24" i="209"/>
  <c r="E24" i="209"/>
  <c r="B24" i="209"/>
  <c r="B37" i="209" s="1"/>
  <c r="B91" i="209" s="1"/>
  <c r="A24" i="209"/>
  <c r="A78" i="209" s="1"/>
  <c r="O23" i="209"/>
  <c r="N23" i="209"/>
  <c r="M23" i="209"/>
  <c r="I23" i="209"/>
  <c r="I76" i="209" s="1"/>
  <c r="G23" i="209"/>
  <c r="F23" i="209"/>
  <c r="E23" i="209"/>
  <c r="B23" i="209"/>
  <c r="B77" i="209" s="1"/>
  <c r="A23" i="209"/>
  <c r="A36" i="209" s="1"/>
  <c r="A90" i="209" s="1"/>
  <c r="I22" i="209"/>
  <c r="I75" i="209" s="1"/>
  <c r="G22" i="209"/>
  <c r="F22" i="209"/>
  <c r="J41" i="113" s="1"/>
  <c r="J20" i="183" s="1"/>
  <c r="E22" i="209"/>
  <c r="F41" i="113" s="1"/>
  <c r="F20" i="183" s="1"/>
  <c r="B22" i="209"/>
  <c r="B35" i="209" s="1"/>
  <c r="B89" i="209" s="1"/>
  <c r="A22" i="209"/>
  <c r="A76" i="209" s="1"/>
  <c r="A21" i="209"/>
  <c r="A75" i="209" s="1"/>
  <c r="O19" i="209"/>
  <c r="X41" i="123" s="1"/>
  <c r="N19" i="209"/>
  <c r="T41" i="123" s="1"/>
  <c r="M19" i="209"/>
  <c r="P41" i="123" s="1"/>
  <c r="I19" i="209"/>
  <c r="I73" i="209" s="1"/>
  <c r="I18" i="209"/>
  <c r="I72" i="209" s="1"/>
  <c r="G18" i="209"/>
  <c r="O53" i="209" s="1"/>
  <c r="F18" i="209"/>
  <c r="N53" i="209" s="1"/>
  <c r="E18" i="209"/>
  <c r="M53" i="209" s="1"/>
  <c r="D16" i="209"/>
  <c r="L16" i="209" s="1"/>
  <c r="L70" i="209" s="1"/>
  <c r="I15" i="209"/>
  <c r="I69" i="209" s="1"/>
  <c r="A15" i="209"/>
  <c r="A69" i="209" s="1"/>
  <c r="A13" i="209"/>
  <c r="A2" i="209"/>
  <c r="A14" i="209" s="1"/>
  <c r="I293" i="208"/>
  <c r="I291" i="208"/>
  <c r="I289" i="208"/>
  <c r="O287" i="208"/>
  <c r="N287" i="208"/>
  <c r="M287" i="208"/>
  <c r="I255" i="208"/>
  <c r="I253" i="208"/>
  <c r="I251" i="208"/>
  <c r="O249" i="208"/>
  <c r="N249" i="208"/>
  <c r="M249" i="208"/>
  <c r="I217" i="208"/>
  <c r="I215" i="208"/>
  <c r="I213" i="208"/>
  <c r="O211" i="208"/>
  <c r="N211" i="208"/>
  <c r="M211" i="208"/>
  <c r="D175" i="208"/>
  <c r="D173" i="208"/>
  <c r="D171" i="208"/>
  <c r="D169" i="208"/>
  <c r="D167" i="208"/>
  <c r="E166" i="208"/>
  <c r="O165" i="208"/>
  <c r="K165" i="208"/>
  <c r="G165" i="208"/>
  <c r="G177" i="208" s="1"/>
  <c r="G178" i="208" s="1"/>
  <c r="F165" i="208"/>
  <c r="F177" i="208" s="1"/>
  <c r="F178" i="208" s="1"/>
  <c r="F180" i="208" s="1"/>
  <c r="E165" i="208"/>
  <c r="E177" i="208" s="1"/>
  <c r="B165" i="208"/>
  <c r="L164" i="208"/>
  <c r="C164" i="208"/>
  <c r="C162" i="208"/>
  <c r="C160" i="208"/>
  <c r="C158" i="208"/>
  <c r="C156" i="208"/>
  <c r="C154" i="208"/>
  <c r="D153" i="208"/>
  <c r="F152" i="208"/>
  <c r="B152" i="208"/>
  <c r="O150" i="208"/>
  <c r="N150" i="208"/>
  <c r="M150" i="208"/>
  <c r="L150" i="208"/>
  <c r="K150" i="208"/>
  <c r="J150" i="208"/>
  <c r="A146" i="208"/>
  <c r="O145" i="208"/>
  <c r="N145" i="208"/>
  <c r="M145" i="208"/>
  <c r="L145" i="208"/>
  <c r="K145" i="208"/>
  <c r="J145" i="208"/>
  <c r="I145" i="208"/>
  <c r="H145" i="208"/>
  <c r="G145" i="208"/>
  <c r="F145" i="208"/>
  <c r="E145" i="208"/>
  <c r="D145" i="208"/>
  <c r="C145" i="208"/>
  <c r="L144" i="208"/>
  <c r="H144" i="208"/>
  <c r="D144" i="208"/>
  <c r="G138" i="208"/>
  <c r="G139" i="208" s="1"/>
  <c r="C138" i="208"/>
  <c r="C136" i="208"/>
  <c r="C134" i="208"/>
  <c r="C132" i="208"/>
  <c r="C130" i="208"/>
  <c r="C128" i="208"/>
  <c r="D127" i="208"/>
  <c r="N126" i="208"/>
  <c r="J126" i="208"/>
  <c r="G126" i="208"/>
  <c r="G141" i="208" s="1"/>
  <c r="F126" i="208"/>
  <c r="F138" i="208" s="1"/>
  <c r="F139" i="208" s="1"/>
  <c r="E126" i="208"/>
  <c r="E138" i="208" s="1"/>
  <c r="O125" i="208"/>
  <c r="K125" i="208"/>
  <c r="D124" i="208"/>
  <c r="D122" i="208"/>
  <c r="D120" i="208"/>
  <c r="D118" i="208"/>
  <c r="D116" i="208"/>
  <c r="G114" i="208"/>
  <c r="C114" i="208"/>
  <c r="E113" i="208"/>
  <c r="O111" i="208"/>
  <c r="N111" i="208"/>
  <c r="M111" i="208"/>
  <c r="L111" i="208"/>
  <c r="K111" i="208"/>
  <c r="J111" i="208"/>
  <c r="M108" i="208"/>
  <c r="G108" i="208"/>
  <c r="C108" i="208"/>
  <c r="A107" i="208"/>
  <c r="O106" i="208"/>
  <c r="N106" i="208"/>
  <c r="M106" i="208"/>
  <c r="L106" i="208"/>
  <c r="K106" i="208"/>
  <c r="J106" i="208"/>
  <c r="I106" i="208"/>
  <c r="H106" i="208"/>
  <c r="G106" i="208"/>
  <c r="F106" i="208"/>
  <c r="E106" i="208"/>
  <c r="D106" i="208"/>
  <c r="C106" i="208"/>
  <c r="F99" i="208"/>
  <c r="C99" i="208"/>
  <c r="C177" i="208" s="1"/>
  <c r="D98" i="208"/>
  <c r="C98" i="208"/>
  <c r="C176" i="208" s="1"/>
  <c r="D97" i="208"/>
  <c r="D136" i="208" s="1"/>
  <c r="C97" i="208"/>
  <c r="C175" i="208" s="1"/>
  <c r="D96" i="208"/>
  <c r="D135" i="208" s="1"/>
  <c r="C96" i="208"/>
  <c r="C135" i="208" s="1"/>
  <c r="D95" i="208"/>
  <c r="D134" i="208" s="1"/>
  <c r="C95" i="208"/>
  <c r="C173" i="208" s="1"/>
  <c r="D94" i="208"/>
  <c r="C94" i="208"/>
  <c r="C172" i="208" s="1"/>
  <c r="D93" i="208"/>
  <c r="D132" i="208" s="1"/>
  <c r="C93" i="208"/>
  <c r="C171" i="208" s="1"/>
  <c r="D92" i="208"/>
  <c r="D131" i="208" s="1"/>
  <c r="C92" i="208"/>
  <c r="C131" i="208" s="1"/>
  <c r="D91" i="208"/>
  <c r="D130" i="208" s="1"/>
  <c r="C91" i="208"/>
  <c r="C169" i="208" s="1"/>
  <c r="D90" i="208"/>
  <c r="C90" i="208"/>
  <c r="C168" i="208" s="1"/>
  <c r="D89" i="208"/>
  <c r="D128" i="208" s="1"/>
  <c r="C89" i="208"/>
  <c r="C167" i="208" s="1"/>
  <c r="G88" i="208"/>
  <c r="G127" i="208" s="1"/>
  <c r="F88" i="208"/>
  <c r="F127" i="208" s="1"/>
  <c r="E88" i="208"/>
  <c r="E127" i="208" s="1"/>
  <c r="D88" i="208"/>
  <c r="D166" i="208" s="1"/>
  <c r="C88" i="208"/>
  <c r="B88" i="208"/>
  <c r="B166" i="208" s="1"/>
  <c r="O87" i="208"/>
  <c r="O126" i="208" s="1"/>
  <c r="N87" i="208"/>
  <c r="N165" i="208" s="1"/>
  <c r="M87" i="208"/>
  <c r="M126" i="208" s="1"/>
  <c r="L87" i="208"/>
  <c r="L126" i="208" s="1"/>
  <c r="K87" i="208"/>
  <c r="K126" i="208" s="1"/>
  <c r="J87" i="208"/>
  <c r="J165" i="208" s="1"/>
  <c r="I87" i="208"/>
  <c r="G87" i="208"/>
  <c r="G99" i="208" s="1"/>
  <c r="G45" i="208" s="1"/>
  <c r="F87" i="208"/>
  <c r="E87" i="208"/>
  <c r="E99" i="208" s="1"/>
  <c r="E45" i="208" s="1"/>
  <c r="D87" i="208"/>
  <c r="D126" i="208" s="1"/>
  <c r="C87" i="208"/>
  <c r="C126" i="208" s="1"/>
  <c r="B87" i="208"/>
  <c r="B126" i="208" s="1"/>
  <c r="O86" i="208"/>
  <c r="O164" i="208" s="1"/>
  <c r="N86" i="208"/>
  <c r="M86" i="208"/>
  <c r="M164" i="208" s="1"/>
  <c r="L86" i="208"/>
  <c r="L125" i="208" s="1"/>
  <c r="K86" i="208"/>
  <c r="K164" i="208" s="1"/>
  <c r="J86" i="208"/>
  <c r="J125" i="208" s="1"/>
  <c r="D86" i="208"/>
  <c r="D125" i="208" s="1"/>
  <c r="C86" i="208"/>
  <c r="C125" i="208" s="1"/>
  <c r="D85" i="208"/>
  <c r="D163" i="208" s="1"/>
  <c r="C85" i="208"/>
  <c r="D84" i="208"/>
  <c r="D162" i="208" s="1"/>
  <c r="C84" i="208"/>
  <c r="C123" i="208" s="1"/>
  <c r="D83" i="208"/>
  <c r="D161" i="208" s="1"/>
  <c r="C83" i="208"/>
  <c r="C122" i="208" s="1"/>
  <c r="D82" i="208"/>
  <c r="D121" i="208" s="1"/>
  <c r="C82" i="208"/>
  <c r="C121" i="208" s="1"/>
  <c r="D81" i="208"/>
  <c r="D159" i="208" s="1"/>
  <c r="C81" i="208"/>
  <c r="D80" i="208"/>
  <c r="D158" i="208" s="1"/>
  <c r="C80" i="208"/>
  <c r="C119" i="208" s="1"/>
  <c r="D79" i="208"/>
  <c r="D157" i="208" s="1"/>
  <c r="C79" i="208"/>
  <c r="C118" i="208" s="1"/>
  <c r="D78" i="208"/>
  <c r="D117" i="208" s="1"/>
  <c r="C78" i="208"/>
  <c r="C117" i="208" s="1"/>
  <c r="D77" i="208"/>
  <c r="D155" i="208" s="1"/>
  <c r="C77" i="208"/>
  <c r="D76" i="208"/>
  <c r="D154" i="208" s="1"/>
  <c r="C76" i="208"/>
  <c r="C115" i="208" s="1"/>
  <c r="G75" i="208"/>
  <c r="G153" i="208" s="1"/>
  <c r="F75" i="208"/>
  <c r="F114" i="208" s="1"/>
  <c r="E75" i="208"/>
  <c r="E114" i="208" s="1"/>
  <c r="D75" i="208"/>
  <c r="D114" i="208" s="1"/>
  <c r="C75" i="208"/>
  <c r="C153" i="208" s="1"/>
  <c r="B75" i="208"/>
  <c r="G74" i="208"/>
  <c r="G152" i="208" s="1"/>
  <c r="F74" i="208"/>
  <c r="F113" i="208" s="1"/>
  <c r="E74" i="208"/>
  <c r="E152" i="208" s="1"/>
  <c r="D74" i="208"/>
  <c r="D113" i="208" s="1"/>
  <c r="C74" i="208"/>
  <c r="C113" i="208" s="1"/>
  <c r="B74" i="208"/>
  <c r="B113" i="208" s="1"/>
  <c r="O69" i="208"/>
  <c r="O108" i="208" s="1"/>
  <c r="N69" i="208"/>
  <c r="M69" i="208"/>
  <c r="M147" i="208" s="1"/>
  <c r="L69" i="208"/>
  <c r="L108" i="208" s="1"/>
  <c r="K69" i="208"/>
  <c r="K147" i="208" s="1"/>
  <c r="J69" i="208"/>
  <c r="J108" i="208" s="1"/>
  <c r="G69" i="208"/>
  <c r="G147" i="208" s="1"/>
  <c r="F69" i="208"/>
  <c r="F108" i="208" s="1"/>
  <c r="E69" i="208"/>
  <c r="E108" i="208" s="1"/>
  <c r="D69" i="208"/>
  <c r="C69" i="208"/>
  <c r="C147" i="208" s="1"/>
  <c r="B69" i="208"/>
  <c r="B108" i="208" s="1"/>
  <c r="O67" i="208"/>
  <c r="N67" i="208"/>
  <c r="M67" i="208"/>
  <c r="L67" i="208"/>
  <c r="K67" i="208"/>
  <c r="J67" i="208"/>
  <c r="I67" i="208"/>
  <c r="H67" i="208"/>
  <c r="G67" i="208"/>
  <c r="F67" i="208"/>
  <c r="E67" i="208"/>
  <c r="D67" i="208"/>
  <c r="C67" i="208"/>
  <c r="O66" i="208"/>
  <c r="N66" i="208"/>
  <c r="N105" i="208" s="1"/>
  <c r="M66" i="208"/>
  <c r="M144" i="208" s="1"/>
  <c r="L66" i="208"/>
  <c r="L105" i="208" s="1"/>
  <c r="K66" i="208"/>
  <c r="K105" i="208" s="1"/>
  <c r="J66" i="208"/>
  <c r="J105" i="208" s="1"/>
  <c r="I66" i="208"/>
  <c r="I105" i="208" s="1"/>
  <c r="H66" i="208"/>
  <c r="H105" i="208" s="1"/>
  <c r="G66" i="208"/>
  <c r="F66" i="208"/>
  <c r="F105" i="208" s="1"/>
  <c r="E66" i="208"/>
  <c r="E144" i="208" s="1"/>
  <c r="D66" i="208"/>
  <c r="D105" i="208" s="1"/>
  <c r="C66" i="208"/>
  <c r="C105" i="208" s="1"/>
  <c r="A63" i="208"/>
  <c r="M62" i="208"/>
  <c r="A62" i="208"/>
  <c r="A61" i="208"/>
  <c r="A60" i="208"/>
  <c r="A59" i="208"/>
  <c r="A58" i="208"/>
  <c r="A57" i="208"/>
  <c r="A56" i="208"/>
  <c r="A55" i="208"/>
  <c r="A54" i="208"/>
  <c r="A53" i="208"/>
  <c r="A52" i="208"/>
  <c r="A50" i="208"/>
  <c r="G44" i="208"/>
  <c r="F44" i="208"/>
  <c r="E44" i="208"/>
  <c r="I43" i="208"/>
  <c r="I96" i="208" s="1"/>
  <c r="G43" i="208"/>
  <c r="F43" i="208"/>
  <c r="E43" i="208"/>
  <c r="G42" i="208"/>
  <c r="F42" i="208"/>
  <c r="E42" i="208"/>
  <c r="G41" i="208"/>
  <c r="F41" i="208"/>
  <c r="E41" i="208"/>
  <c r="O40" i="208"/>
  <c r="N40" i="208"/>
  <c r="M40" i="208"/>
  <c r="J40" i="208"/>
  <c r="J94" i="208" s="1"/>
  <c r="J133" i="208" s="1"/>
  <c r="J172" i="208" s="1"/>
  <c r="G40" i="208"/>
  <c r="F40" i="208"/>
  <c r="E40" i="208"/>
  <c r="O39" i="208"/>
  <c r="N39" i="208"/>
  <c r="M39" i="208"/>
  <c r="G39" i="208"/>
  <c r="F39" i="208"/>
  <c r="E39" i="208"/>
  <c r="O38" i="208"/>
  <c r="N38" i="208"/>
  <c r="M38" i="208"/>
  <c r="I38" i="208"/>
  <c r="I92" i="208" s="1"/>
  <c r="I131" i="208" s="1"/>
  <c r="I170" i="208" s="1"/>
  <c r="G38" i="208"/>
  <c r="F38" i="208"/>
  <c r="E38" i="208"/>
  <c r="J37" i="208"/>
  <c r="J91" i="208" s="1"/>
  <c r="J130" i="208" s="1"/>
  <c r="J169" i="208" s="1"/>
  <c r="I37" i="208"/>
  <c r="I91" i="208" s="1"/>
  <c r="I130" i="208" s="1"/>
  <c r="I169" i="208" s="1"/>
  <c r="G37" i="208"/>
  <c r="F37" i="208"/>
  <c r="E37" i="208"/>
  <c r="G36" i="208"/>
  <c r="F36" i="208"/>
  <c r="E36" i="208"/>
  <c r="G35" i="208"/>
  <c r="F35" i="208"/>
  <c r="E35" i="208"/>
  <c r="A34" i="208"/>
  <c r="A88" i="208" s="1"/>
  <c r="G33" i="208"/>
  <c r="F33" i="208"/>
  <c r="E33" i="208"/>
  <c r="I32" i="208"/>
  <c r="I86" i="208" s="1"/>
  <c r="G32" i="208"/>
  <c r="F32" i="208"/>
  <c r="E32" i="208"/>
  <c r="B32" i="208"/>
  <c r="B86" i="208" s="1"/>
  <c r="A32" i="208"/>
  <c r="A45" i="208" s="1"/>
  <c r="A99" i="208" s="1"/>
  <c r="G31" i="208"/>
  <c r="F31" i="208"/>
  <c r="E31" i="208"/>
  <c r="B31" i="208"/>
  <c r="B85" i="208" s="1"/>
  <c r="A31" i="208"/>
  <c r="A85" i="208" s="1"/>
  <c r="G30" i="208"/>
  <c r="F30" i="208"/>
  <c r="E30" i="208"/>
  <c r="B30" i="208"/>
  <c r="B84" i="208" s="1"/>
  <c r="A30" i="208"/>
  <c r="A84" i="208" s="1"/>
  <c r="I29" i="208"/>
  <c r="I82" i="208" s="1"/>
  <c r="G29" i="208"/>
  <c r="P39" i="113" s="1"/>
  <c r="F29" i="208"/>
  <c r="L39" i="113" s="1"/>
  <c r="E29" i="208"/>
  <c r="H39" i="113" s="1"/>
  <c r="B29" i="208"/>
  <c r="B83" i="208" s="1"/>
  <c r="A29" i="208"/>
  <c r="A42" i="208" s="1"/>
  <c r="A96" i="208" s="1"/>
  <c r="G28" i="208"/>
  <c r="F28" i="208"/>
  <c r="E28" i="208"/>
  <c r="B28" i="208"/>
  <c r="B82" i="208" s="1"/>
  <c r="A28" i="208"/>
  <c r="A82" i="208" s="1"/>
  <c r="I27" i="208"/>
  <c r="I80" i="208" s="1"/>
  <c r="G27" i="208"/>
  <c r="F27" i="208"/>
  <c r="E27" i="208"/>
  <c r="B27" i="208"/>
  <c r="B81" i="208" s="1"/>
  <c r="A27" i="208"/>
  <c r="A40" i="208" s="1"/>
  <c r="A94" i="208" s="1"/>
  <c r="O26" i="208"/>
  <c r="N26" i="208"/>
  <c r="M26" i="208"/>
  <c r="I26" i="208"/>
  <c r="I79" i="208" s="1"/>
  <c r="G26" i="208"/>
  <c r="F26" i="208"/>
  <c r="E26" i="208"/>
  <c r="B26" i="208"/>
  <c r="B39" i="208" s="1"/>
  <c r="B93" i="208" s="1"/>
  <c r="A26" i="208"/>
  <c r="A80" i="208" s="1"/>
  <c r="I25" i="208"/>
  <c r="I78" i="208" s="1"/>
  <c r="G25" i="208"/>
  <c r="F25" i="208"/>
  <c r="E25" i="208"/>
  <c r="B25" i="208"/>
  <c r="B79" i="208" s="1"/>
  <c r="A25" i="208"/>
  <c r="A79" i="208" s="1"/>
  <c r="O24" i="208"/>
  <c r="N24" i="208"/>
  <c r="M24" i="208"/>
  <c r="I24" i="208"/>
  <c r="I77" i="208" s="1"/>
  <c r="G24" i="208"/>
  <c r="F24" i="208"/>
  <c r="E24" i="208"/>
  <c r="B24" i="208"/>
  <c r="B78" i="208" s="1"/>
  <c r="A24" i="208"/>
  <c r="J39" i="208" s="1"/>
  <c r="J93" i="208" s="1"/>
  <c r="J132" i="208" s="1"/>
  <c r="J171" i="208" s="1"/>
  <c r="O23" i="208"/>
  <c r="N23" i="208"/>
  <c r="M23" i="208"/>
  <c r="I23" i="208"/>
  <c r="I76" i="208" s="1"/>
  <c r="G23" i="208"/>
  <c r="F23" i="208"/>
  <c r="N56" i="208" s="1"/>
  <c r="E23" i="208"/>
  <c r="B23" i="208"/>
  <c r="B77" i="208" s="1"/>
  <c r="A23" i="208"/>
  <c r="A77" i="208" s="1"/>
  <c r="I22" i="208"/>
  <c r="I75" i="208" s="1"/>
  <c r="G22" i="208"/>
  <c r="F22" i="208"/>
  <c r="E22" i="208"/>
  <c r="F39" i="113" s="1"/>
  <c r="F19" i="183" s="1"/>
  <c r="B22" i="208"/>
  <c r="B76" i="208" s="1"/>
  <c r="A22" i="208"/>
  <c r="A76" i="208" s="1"/>
  <c r="A21" i="208"/>
  <c r="A33" i="208" s="1"/>
  <c r="A87" i="208" s="1"/>
  <c r="O19" i="208"/>
  <c r="X39" i="123" s="1"/>
  <c r="N19" i="208"/>
  <c r="T39" i="123" s="1"/>
  <c r="M19" i="208"/>
  <c r="P39" i="123" s="1"/>
  <c r="I19" i="208"/>
  <c r="I73" i="208" s="1"/>
  <c r="I18" i="208"/>
  <c r="I72" i="208" s="1"/>
  <c r="G18" i="208"/>
  <c r="O53" i="208" s="1"/>
  <c r="F18" i="208"/>
  <c r="N53" i="208" s="1"/>
  <c r="E18" i="208"/>
  <c r="M53" i="208" s="1"/>
  <c r="D16" i="208"/>
  <c r="D70" i="208" s="1"/>
  <c r="A15" i="208"/>
  <c r="A69" i="208" s="1"/>
  <c r="A13" i="208"/>
  <c r="A2" i="208"/>
  <c r="A14" i="208" s="1"/>
  <c r="I293" i="207"/>
  <c r="I291" i="207"/>
  <c r="I289" i="207"/>
  <c r="O287" i="207"/>
  <c r="N287" i="207"/>
  <c r="M287" i="207"/>
  <c r="I255" i="207"/>
  <c r="I253" i="207"/>
  <c r="I251" i="207"/>
  <c r="O249" i="207"/>
  <c r="N249" i="207"/>
  <c r="M249" i="207"/>
  <c r="I217" i="207"/>
  <c r="I215" i="207"/>
  <c r="I213" i="207"/>
  <c r="O211" i="207"/>
  <c r="N211" i="207"/>
  <c r="M211" i="207"/>
  <c r="F177" i="207"/>
  <c r="F178" i="207" s="1"/>
  <c r="D176" i="207"/>
  <c r="D174" i="207"/>
  <c r="D172" i="207"/>
  <c r="D170" i="207"/>
  <c r="D168" i="207"/>
  <c r="G166" i="207"/>
  <c r="C166" i="207"/>
  <c r="M165" i="207"/>
  <c r="I165" i="207"/>
  <c r="G165" i="207"/>
  <c r="G177" i="207" s="1"/>
  <c r="G178" i="207" s="1"/>
  <c r="F165" i="207"/>
  <c r="F180" i="207" s="1"/>
  <c r="E165" i="207"/>
  <c r="D165" i="207"/>
  <c r="N164" i="207"/>
  <c r="J164" i="207"/>
  <c r="C163" i="207"/>
  <c r="C161" i="207"/>
  <c r="C159" i="207"/>
  <c r="C157" i="207"/>
  <c r="C155" i="207"/>
  <c r="F153" i="207"/>
  <c r="B153" i="207"/>
  <c r="D152" i="207"/>
  <c r="O150" i="207"/>
  <c r="N150" i="207"/>
  <c r="M150" i="207"/>
  <c r="L150" i="207"/>
  <c r="K150" i="207"/>
  <c r="J150" i="207"/>
  <c r="L147" i="207"/>
  <c r="F147" i="207"/>
  <c r="B147" i="207"/>
  <c r="A146" i="207"/>
  <c r="O145" i="207"/>
  <c r="N145" i="207"/>
  <c r="M145" i="207"/>
  <c r="L145" i="207"/>
  <c r="K145" i="207"/>
  <c r="J145" i="207"/>
  <c r="I145" i="207"/>
  <c r="H145" i="207"/>
  <c r="G145" i="207"/>
  <c r="F145" i="207"/>
  <c r="E145" i="207"/>
  <c r="D145" i="207"/>
  <c r="C145" i="207"/>
  <c r="J144" i="207"/>
  <c r="E138" i="207"/>
  <c r="C135" i="207"/>
  <c r="C131" i="207"/>
  <c r="F127" i="207"/>
  <c r="G126" i="207"/>
  <c r="G138" i="207" s="1"/>
  <c r="G139" i="207" s="1"/>
  <c r="G141" i="207" s="1"/>
  <c r="F126" i="207"/>
  <c r="F138" i="207" s="1"/>
  <c r="F139" i="207" s="1"/>
  <c r="E126" i="207"/>
  <c r="C126" i="207"/>
  <c r="D125" i="207"/>
  <c r="D121" i="207"/>
  <c r="D117" i="207"/>
  <c r="C113" i="207"/>
  <c r="O111" i="207"/>
  <c r="N111" i="207"/>
  <c r="M111" i="207"/>
  <c r="L111" i="207"/>
  <c r="K111" i="207"/>
  <c r="J111" i="207"/>
  <c r="O108" i="207"/>
  <c r="K108" i="207"/>
  <c r="E108" i="207"/>
  <c r="A107" i="207"/>
  <c r="O106" i="207"/>
  <c r="N106" i="207"/>
  <c r="M106" i="207"/>
  <c r="L106" i="207"/>
  <c r="K106" i="207"/>
  <c r="J106" i="207"/>
  <c r="I106" i="207"/>
  <c r="H106" i="207"/>
  <c r="G106" i="207"/>
  <c r="F106" i="207"/>
  <c r="E106" i="207"/>
  <c r="D106" i="207"/>
  <c r="C106" i="207"/>
  <c r="M105" i="207"/>
  <c r="I105" i="207"/>
  <c r="E105" i="207"/>
  <c r="F99" i="207"/>
  <c r="F100" i="207" s="1"/>
  <c r="C99" i="207"/>
  <c r="C177" i="207" s="1"/>
  <c r="D98" i="207"/>
  <c r="D137" i="207" s="1"/>
  <c r="C98" i="207"/>
  <c r="C137" i="207" s="1"/>
  <c r="D97" i="207"/>
  <c r="D136" i="207" s="1"/>
  <c r="C97" i="207"/>
  <c r="C136" i="207" s="1"/>
  <c r="D96" i="207"/>
  <c r="D135" i="207" s="1"/>
  <c r="C96" i="207"/>
  <c r="C174" i="207" s="1"/>
  <c r="D95" i="207"/>
  <c r="D134" i="207" s="1"/>
  <c r="C95" i="207"/>
  <c r="C173" i="207" s="1"/>
  <c r="D94" i="207"/>
  <c r="D133" i="207" s="1"/>
  <c r="C94" i="207"/>
  <c r="C133" i="207" s="1"/>
  <c r="D93" i="207"/>
  <c r="D132" i="207" s="1"/>
  <c r="C93" i="207"/>
  <c r="C132" i="207" s="1"/>
  <c r="D92" i="207"/>
  <c r="D131" i="207" s="1"/>
  <c r="C92" i="207"/>
  <c r="C170" i="207" s="1"/>
  <c r="D91" i="207"/>
  <c r="D130" i="207" s="1"/>
  <c r="C91" i="207"/>
  <c r="C169" i="207" s="1"/>
  <c r="D90" i="207"/>
  <c r="D129" i="207" s="1"/>
  <c r="C90" i="207"/>
  <c r="C129" i="207" s="1"/>
  <c r="D89" i="207"/>
  <c r="D128" i="207" s="1"/>
  <c r="C89" i="207"/>
  <c r="C128" i="207" s="1"/>
  <c r="G88" i="207"/>
  <c r="G127" i="207" s="1"/>
  <c r="F88" i="207"/>
  <c r="F166" i="207" s="1"/>
  <c r="E88" i="207"/>
  <c r="E127" i="207" s="1"/>
  <c r="D88" i="207"/>
  <c r="D166" i="207" s="1"/>
  <c r="C88" i="207"/>
  <c r="C127" i="207" s="1"/>
  <c r="B88" i="207"/>
  <c r="B127" i="207" s="1"/>
  <c r="O87" i="207"/>
  <c r="O126" i="207" s="1"/>
  <c r="N87" i="207"/>
  <c r="N126" i="207" s="1"/>
  <c r="M87" i="207"/>
  <c r="M126" i="207" s="1"/>
  <c r="L87" i="207"/>
  <c r="L165" i="207" s="1"/>
  <c r="K87" i="207"/>
  <c r="K126" i="207" s="1"/>
  <c r="J87" i="207"/>
  <c r="J165" i="207" s="1"/>
  <c r="I87" i="207"/>
  <c r="I126" i="207" s="1"/>
  <c r="G87" i="207"/>
  <c r="G99" i="207" s="1"/>
  <c r="F87" i="207"/>
  <c r="E87" i="207"/>
  <c r="E99" i="207" s="1"/>
  <c r="D87" i="207"/>
  <c r="D126" i="207" s="1"/>
  <c r="C87" i="207"/>
  <c r="C165" i="207" s="1"/>
  <c r="B87" i="207"/>
  <c r="B126" i="207" s="1"/>
  <c r="O86" i="207"/>
  <c r="O164" i="207" s="1"/>
  <c r="N86" i="207"/>
  <c r="N125" i="207" s="1"/>
  <c r="M86" i="207"/>
  <c r="M125" i="207" s="1"/>
  <c r="L86" i="207"/>
  <c r="L125" i="207" s="1"/>
  <c r="K86" i="207"/>
  <c r="K125" i="207" s="1"/>
  <c r="J86" i="207"/>
  <c r="J125" i="207" s="1"/>
  <c r="D86" i="207"/>
  <c r="D164" i="207" s="1"/>
  <c r="C86" i="207"/>
  <c r="C125" i="207" s="1"/>
  <c r="D85" i="207"/>
  <c r="D163" i="207" s="1"/>
  <c r="C85" i="207"/>
  <c r="C124" i="207" s="1"/>
  <c r="D84" i="207"/>
  <c r="D123" i="207" s="1"/>
  <c r="C84" i="207"/>
  <c r="C123" i="207" s="1"/>
  <c r="D83" i="207"/>
  <c r="D122" i="207" s="1"/>
  <c r="C83" i="207"/>
  <c r="C122" i="207" s="1"/>
  <c r="D82" i="207"/>
  <c r="D160" i="207" s="1"/>
  <c r="C82" i="207"/>
  <c r="C121" i="207" s="1"/>
  <c r="D81" i="207"/>
  <c r="D159" i="207" s="1"/>
  <c r="C81" i="207"/>
  <c r="C120" i="207" s="1"/>
  <c r="D80" i="207"/>
  <c r="D119" i="207" s="1"/>
  <c r="C80" i="207"/>
  <c r="C119" i="207" s="1"/>
  <c r="D79" i="207"/>
  <c r="D118" i="207" s="1"/>
  <c r="C79" i="207"/>
  <c r="C118" i="207" s="1"/>
  <c r="D78" i="207"/>
  <c r="D156" i="207" s="1"/>
  <c r="C78" i="207"/>
  <c r="C117" i="207" s="1"/>
  <c r="D77" i="207"/>
  <c r="D155" i="207" s="1"/>
  <c r="C77" i="207"/>
  <c r="C116" i="207" s="1"/>
  <c r="D76" i="207"/>
  <c r="D115" i="207" s="1"/>
  <c r="C76" i="207"/>
  <c r="C115" i="207" s="1"/>
  <c r="G75" i="207"/>
  <c r="G114" i="207" s="1"/>
  <c r="F75" i="207"/>
  <c r="F114" i="207" s="1"/>
  <c r="E75" i="207"/>
  <c r="E153" i="207" s="1"/>
  <c r="D75" i="207"/>
  <c r="D114" i="207" s="1"/>
  <c r="C75" i="207"/>
  <c r="C153" i="207" s="1"/>
  <c r="B75" i="207"/>
  <c r="B114" i="207" s="1"/>
  <c r="G74" i="207"/>
  <c r="G113" i="207" s="1"/>
  <c r="F74" i="207"/>
  <c r="F113" i="207" s="1"/>
  <c r="E74" i="207"/>
  <c r="E113" i="207" s="1"/>
  <c r="D74" i="207"/>
  <c r="D113" i="207" s="1"/>
  <c r="C74" i="207"/>
  <c r="C152" i="207" s="1"/>
  <c r="B74" i="207"/>
  <c r="B113" i="207" s="1"/>
  <c r="O69" i="207"/>
  <c r="O147" i="207" s="1"/>
  <c r="N69" i="207"/>
  <c r="N108" i="207" s="1"/>
  <c r="M69" i="207"/>
  <c r="M147" i="207" s="1"/>
  <c r="L69" i="207"/>
  <c r="L108" i="207" s="1"/>
  <c r="K69" i="207"/>
  <c r="K147" i="207" s="1"/>
  <c r="J69" i="207"/>
  <c r="J108" i="207" s="1"/>
  <c r="G69" i="207"/>
  <c r="F69" i="207"/>
  <c r="F108" i="207" s="1"/>
  <c r="E69" i="207"/>
  <c r="E147" i="207" s="1"/>
  <c r="D69" i="207"/>
  <c r="D108" i="207" s="1"/>
  <c r="C69" i="207"/>
  <c r="C147" i="207" s="1"/>
  <c r="B69" i="207"/>
  <c r="B108" i="207" s="1"/>
  <c r="O67" i="207"/>
  <c r="N67" i="207"/>
  <c r="M67" i="207"/>
  <c r="L67" i="207"/>
  <c r="K67" i="207"/>
  <c r="J67" i="207"/>
  <c r="I67" i="207"/>
  <c r="H67" i="207"/>
  <c r="G67" i="207"/>
  <c r="F67" i="207"/>
  <c r="E67" i="207"/>
  <c r="D67" i="207"/>
  <c r="C67" i="207"/>
  <c r="O66" i="207"/>
  <c r="O144" i="207" s="1"/>
  <c r="N66" i="207"/>
  <c r="N105" i="207" s="1"/>
  <c r="M66" i="207"/>
  <c r="M144" i="207" s="1"/>
  <c r="L66" i="207"/>
  <c r="L105" i="207" s="1"/>
  <c r="K66" i="207"/>
  <c r="K105" i="207" s="1"/>
  <c r="J66" i="207"/>
  <c r="J105" i="207" s="1"/>
  <c r="I66" i="207"/>
  <c r="I144" i="207" s="1"/>
  <c r="H66" i="207"/>
  <c r="H105" i="207" s="1"/>
  <c r="G66" i="207"/>
  <c r="G144" i="207" s="1"/>
  <c r="F66" i="207"/>
  <c r="F105" i="207" s="1"/>
  <c r="E66" i="207"/>
  <c r="E144" i="207" s="1"/>
  <c r="D66" i="207"/>
  <c r="D105" i="207" s="1"/>
  <c r="C66" i="207"/>
  <c r="C105" i="207" s="1"/>
  <c r="A63" i="207"/>
  <c r="A62" i="207"/>
  <c r="A61" i="207"/>
  <c r="A60" i="207"/>
  <c r="A59" i="207"/>
  <c r="A58" i="207"/>
  <c r="A57" i="207"/>
  <c r="A56" i="207"/>
  <c r="A55" i="207"/>
  <c r="A54" i="207"/>
  <c r="A53" i="207"/>
  <c r="A52" i="207"/>
  <c r="A50" i="207"/>
  <c r="G44" i="207"/>
  <c r="F44" i="207"/>
  <c r="E44" i="207"/>
  <c r="I43" i="207"/>
  <c r="I96" i="207" s="1"/>
  <c r="G43" i="207"/>
  <c r="F43" i="207"/>
  <c r="E43" i="207"/>
  <c r="G42" i="207"/>
  <c r="F42" i="207"/>
  <c r="E42" i="207"/>
  <c r="G41" i="207"/>
  <c r="F41" i="207"/>
  <c r="E41" i="207"/>
  <c r="O40" i="207"/>
  <c r="N40" i="207"/>
  <c r="M40" i="207"/>
  <c r="J40" i="207"/>
  <c r="J94" i="207" s="1"/>
  <c r="J133" i="207" s="1"/>
  <c r="J172" i="207" s="1"/>
  <c r="G40" i="207"/>
  <c r="F40" i="207"/>
  <c r="E40" i="207"/>
  <c r="O39" i="207"/>
  <c r="N39" i="207"/>
  <c r="M39" i="207"/>
  <c r="G39" i="207"/>
  <c r="F39" i="207"/>
  <c r="E39" i="207"/>
  <c r="O38" i="207"/>
  <c r="N38" i="207"/>
  <c r="M38" i="207"/>
  <c r="I38" i="207"/>
  <c r="I92" i="207" s="1"/>
  <c r="I131" i="207" s="1"/>
  <c r="I170" i="207" s="1"/>
  <c r="G38" i="207"/>
  <c r="F38" i="207"/>
  <c r="E38" i="207"/>
  <c r="J37" i="207"/>
  <c r="J91" i="207" s="1"/>
  <c r="J130" i="207" s="1"/>
  <c r="J169" i="207" s="1"/>
  <c r="I37" i="207"/>
  <c r="I91" i="207" s="1"/>
  <c r="I130" i="207" s="1"/>
  <c r="I169" i="207" s="1"/>
  <c r="G37" i="207"/>
  <c r="F37" i="207"/>
  <c r="E37" i="207"/>
  <c r="G36" i="207"/>
  <c r="F36" i="207"/>
  <c r="E36" i="207"/>
  <c r="G35" i="207"/>
  <c r="F35" i="207"/>
  <c r="E35" i="207"/>
  <c r="M56" i="207" s="1"/>
  <c r="A34" i="207"/>
  <c r="A88" i="207" s="1"/>
  <c r="F33" i="207"/>
  <c r="E33" i="207"/>
  <c r="I32" i="207"/>
  <c r="I86" i="207" s="1"/>
  <c r="G32" i="207"/>
  <c r="F32" i="207"/>
  <c r="E32" i="207"/>
  <c r="B32" i="207"/>
  <c r="B86" i="207" s="1"/>
  <c r="A32" i="207"/>
  <c r="A45" i="207" s="1"/>
  <c r="A99" i="207" s="1"/>
  <c r="G31" i="207"/>
  <c r="F31" i="207"/>
  <c r="E31" i="207"/>
  <c r="B31" i="207"/>
  <c r="B85" i="207" s="1"/>
  <c r="A31" i="207"/>
  <c r="A85" i="207" s="1"/>
  <c r="G30" i="207"/>
  <c r="F30" i="207"/>
  <c r="E30" i="207"/>
  <c r="B30" i="207"/>
  <c r="B84" i="207" s="1"/>
  <c r="A30" i="207"/>
  <c r="A84" i="207" s="1"/>
  <c r="I29" i="207"/>
  <c r="I82" i="207" s="1"/>
  <c r="G29" i="207"/>
  <c r="O62" i="207" s="1"/>
  <c r="F29" i="207"/>
  <c r="L37" i="113" s="1"/>
  <c r="E29" i="207"/>
  <c r="B29" i="207"/>
  <c r="B83" i="207" s="1"/>
  <c r="A29" i="207"/>
  <c r="A42" i="207" s="1"/>
  <c r="A96" i="207" s="1"/>
  <c r="G28" i="207"/>
  <c r="F28" i="207"/>
  <c r="E28" i="207"/>
  <c r="B28" i="207"/>
  <c r="B82" i="207" s="1"/>
  <c r="A28" i="207"/>
  <c r="A82" i="207" s="1"/>
  <c r="I27" i="207"/>
  <c r="I80" i="207" s="1"/>
  <c r="G27" i="207"/>
  <c r="F27" i="207"/>
  <c r="E27" i="207"/>
  <c r="B27" i="207"/>
  <c r="B81" i="207" s="1"/>
  <c r="A27" i="207"/>
  <c r="A40" i="207" s="1"/>
  <c r="A94" i="207" s="1"/>
  <c r="O26" i="207"/>
  <c r="N26" i="207"/>
  <c r="M26" i="207"/>
  <c r="I26" i="207"/>
  <c r="I79" i="207" s="1"/>
  <c r="G26" i="207"/>
  <c r="F26" i="207"/>
  <c r="E26" i="207"/>
  <c r="B26" i="207"/>
  <c r="B39" i="207" s="1"/>
  <c r="B93" i="207" s="1"/>
  <c r="A26" i="207"/>
  <c r="A80" i="207" s="1"/>
  <c r="I25" i="207"/>
  <c r="I78" i="207" s="1"/>
  <c r="G25" i="207"/>
  <c r="F25" i="207"/>
  <c r="E25" i="207"/>
  <c r="B25" i="207"/>
  <c r="B79" i="207" s="1"/>
  <c r="A25" i="207"/>
  <c r="A79" i="207" s="1"/>
  <c r="O24" i="207"/>
  <c r="N24" i="207"/>
  <c r="M24" i="207"/>
  <c r="I24" i="207"/>
  <c r="I77" i="207" s="1"/>
  <c r="G24" i="207"/>
  <c r="F24" i="207"/>
  <c r="E24" i="207"/>
  <c r="B24" i="207"/>
  <c r="B78" i="207" s="1"/>
  <c r="A24" i="207"/>
  <c r="J39" i="207" s="1"/>
  <c r="J93" i="207" s="1"/>
  <c r="J132" i="207" s="1"/>
  <c r="J171" i="207" s="1"/>
  <c r="O23" i="207"/>
  <c r="N23" i="207"/>
  <c r="M23" i="207"/>
  <c r="I23" i="207"/>
  <c r="I76" i="207" s="1"/>
  <c r="G23" i="207"/>
  <c r="F23" i="207"/>
  <c r="E23" i="207"/>
  <c r="B23" i="207"/>
  <c r="B36" i="207" s="1"/>
  <c r="B90" i="207" s="1"/>
  <c r="A23" i="207"/>
  <c r="A77" i="207" s="1"/>
  <c r="I22" i="207"/>
  <c r="I75" i="207" s="1"/>
  <c r="G22" i="207"/>
  <c r="F22" i="207"/>
  <c r="E22" i="207"/>
  <c r="B22" i="207"/>
  <c r="B76" i="207" s="1"/>
  <c r="A22" i="207"/>
  <c r="A35" i="207" s="1"/>
  <c r="A89" i="207" s="1"/>
  <c r="A21" i="207"/>
  <c r="A33" i="207" s="1"/>
  <c r="A87" i="207" s="1"/>
  <c r="O19" i="207"/>
  <c r="X37" i="123" s="1"/>
  <c r="N19" i="207"/>
  <c r="T37" i="123" s="1"/>
  <c r="M19" i="207"/>
  <c r="P37" i="123" s="1"/>
  <c r="I19" i="207"/>
  <c r="I73" i="207" s="1"/>
  <c r="I18" i="207"/>
  <c r="I72" i="207" s="1"/>
  <c r="G18" i="207"/>
  <c r="O53" i="207" s="1"/>
  <c r="F18" i="207"/>
  <c r="N53" i="207" s="1"/>
  <c r="E18" i="207"/>
  <c r="M53" i="207" s="1"/>
  <c r="D16" i="207"/>
  <c r="L16" i="207" s="1"/>
  <c r="L70" i="207" s="1"/>
  <c r="A15" i="207"/>
  <c r="A20" i="207" s="1"/>
  <c r="A74" i="207" s="1"/>
  <c r="A13" i="207"/>
  <c r="A2" i="207"/>
  <c r="I294" i="206"/>
  <c r="I292" i="206"/>
  <c r="I290" i="206"/>
  <c r="O288" i="206"/>
  <c r="N288" i="206"/>
  <c r="M288" i="206"/>
  <c r="I256" i="206"/>
  <c r="I254" i="206"/>
  <c r="I252" i="206"/>
  <c r="O250" i="206"/>
  <c r="N250" i="206"/>
  <c r="M250" i="206"/>
  <c r="G216" i="206"/>
  <c r="G217" i="206" s="1"/>
  <c r="F216" i="206"/>
  <c r="F217" i="206" s="1"/>
  <c r="F219" i="206" s="1"/>
  <c r="C216" i="206"/>
  <c r="C212" i="206"/>
  <c r="C208" i="206"/>
  <c r="D205" i="206"/>
  <c r="J204" i="206"/>
  <c r="G204" i="206"/>
  <c r="G219" i="206" s="1"/>
  <c r="F204" i="206"/>
  <c r="E204" i="206"/>
  <c r="E216" i="206" s="1"/>
  <c r="O203" i="206"/>
  <c r="D202" i="206"/>
  <c r="D198" i="206"/>
  <c r="D194" i="206"/>
  <c r="C192" i="206"/>
  <c r="O189" i="206"/>
  <c r="N189" i="206"/>
  <c r="M189" i="206"/>
  <c r="L189" i="206"/>
  <c r="K189" i="206"/>
  <c r="J189" i="206"/>
  <c r="M186" i="206"/>
  <c r="C186" i="206"/>
  <c r="A185" i="206"/>
  <c r="O184" i="206"/>
  <c r="N184" i="206"/>
  <c r="M184" i="206"/>
  <c r="L184" i="206"/>
  <c r="K184" i="206"/>
  <c r="J184" i="206"/>
  <c r="I184" i="206"/>
  <c r="H184" i="206"/>
  <c r="G184" i="206"/>
  <c r="F184" i="206"/>
  <c r="E184" i="206"/>
  <c r="D184" i="206"/>
  <c r="C184" i="206"/>
  <c r="O183" i="206"/>
  <c r="G183" i="206"/>
  <c r="F177" i="206"/>
  <c r="F178" i="206" s="1"/>
  <c r="E177" i="206"/>
  <c r="D177" i="206" s="1"/>
  <c r="C177" i="206"/>
  <c r="D176" i="206"/>
  <c r="C174" i="206"/>
  <c r="C173" i="206"/>
  <c r="D172" i="206"/>
  <c r="C170" i="206"/>
  <c r="C169" i="206"/>
  <c r="D168" i="206"/>
  <c r="F166" i="206"/>
  <c r="D166" i="206"/>
  <c r="C166" i="206"/>
  <c r="J165" i="206"/>
  <c r="I165" i="206"/>
  <c r="G165" i="206"/>
  <c r="G177" i="206" s="1"/>
  <c r="G178" i="206" s="1"/>
  <c r="G180" i="206" s="1"/>
  <c r="F165" i="206"/>
  <c r="F180" i="206" s="1"/>
  <c r="E165" i="206"/>
  <c r="O164" i="206"/>
  <c r="N164" i="206"/>
  <c r="D163" i="206"/>
  <c r="C163" i="206"/>
  <c r="C159" i="206"/>
  <c r="C155" i="206"/>
  <c r="B153" i="206"/>
  <c r="O150" i="206"/>
  <c r="N150" i="206"/>
  <c r="M150" i="206"/>
  <c r="L150" i="206"/>
  <c r="K150" i="206"/>
  <c r="J150" i="206"/>
  <c r="L147" i="206"/>
  <c r="B147" i="206"/>
  <c r="O145" i="206"/>
  <c r="N145" i="206"/>
  <c r="M145" i="206"/>
  <c r="L145" i="206"/>
  <c r="K145" i="206"/>
  <c r="J145" i="206"/>
  <c r="I145" i="206"/>
  <c r="H145" i="206"/>
  <c r="G145" i="206"/>
  <c r="F145" i="206"/>
  <c r="E145" i="206"/>
  <c r="D145" i="206"/>
  <c r="C145" i="206"/>
  <c r="M144" i="206"/>
  <c r="E144" i="206"/>
  <c r="C138" i="206"/>
  <c r="D136" i="206"/>
  <c r="C134" i="206"/>
  <c r="D132" i="206"/>
  <c r="C130" i="206"/>
  <c r="D128" i="206"/>
  <c r="D127" i="206"/>
  <c r="O126" i="206"/>
  <c r="J126" i="206"/>
  <c r="G126" i="206"/>
  <c r="F126" i="206"/>
  <c r="E126" i="206"/>
  <c r="E138" i="206" s="1"/>
  <c r="O125" i="206"/>
  <c r="L125" i="206"/>
  <c r="D124" i="206"/>
  <c r="C123" i="206"/>
  <c r="D120" i="206"/>
  <c r="C119" i="206"/>
  <c r="D116" i="206"/>
  <c r="C115" i="206"/>
  <c r="C114" i="206"/>
  <c r="F113" i="206"/>
  <c r="O111" i="206"/>
  <c r="N111" i="206"/>
  <c r="M111" i="206"/>
  <c r="L111" i="206"/>
  <c r="K111" i="206"/>
  <c r="J111" i="206"/>
  <c r="O106" i="206"/>
  <c r="N106" i="206"/>
  <c r="M106" i="206"/>
  <c r="L106" i="206"/>
  <c r="K106" i="206"/>
  <c r="J106" i="206"/>
  <c r="I106" i="206"/>
  <c r="H106" i="206"/>
  <c r="G106" i="206"/>
  <c r="F106" i="206"/>
  <c r="E106" i="206"/>
  <c r="D106" i="206"/>
  <c r="C106" i="206"/>
  <c r="G99" i="206"/>
  <c r="G100" i="206" s="1"/>
  <c r="F99" i="206"/>
  <c r="C99" i="206"/>
  <c r="D98" i="206"/>
  <c r="D137" i="206" s="1"/>
  <c r="C98" i="206"/>
  <c r="C137" i="206" s="1"/>
  <c r="D97" i="206"/>
  <c r="D214" i="206" s="1"/>
  <c r="C97" i="206"/>
  <c r="C175" i="206" s="1"/>
  <c r="D96" i="206"/>
  <c r="C96" i="206"/>
  <c r="C135" i="206" s="1"/>
  <c r="D95" i="206"/>
  <c r="D134" i="206" s="1"/>
  <c r="C95" i="206"/>
  <c r="D94" i="206"/>
  <c r="D133" i="206" s="1"/>
  <c r="C94" i="206"/>
  <c r="C133" i="206" s="1"/>
  <c r="D93" i="206"/>
  <c r="D210" i="206" s="1"/>
  <c r="C93" i="206"/>
  <c r="C171" i="206" s="1"/>
  <c r="D92" i="206"/>
  <c r="C92" i="206"/>
  <c r="C131" i="206" s="1"/>
  <c r="D91" i="206"/>
  <c r="D130" i="206" s="1"/>
  <c r="C91" i="206"/>
  <c r="D90" i="206"/>
  <c r="D129" i="206" s="1"/>
  <c r="C90" i="206"/>
  <c r="C129" i="206" s="1"/>
  <c r="D89" i="206"/>
  <c r="D206" i="206" s="1"/>
  <c r="C89" i="206"/>
  <c r="C167" i="206" s="1"/>
  <c r="G88" i="206"/>
  <c r="F88" i="206"/>
  <c r="F127" i="206" s="1"/>
  <c r="E88" i="206"/>
  <c r="E127" i="206" s="1"/>
  <c r="D88" i="206"/>
  <c r="C88" i="206"/>
  <c r="C127" i="206" s="1"/>
  <c r="B88" i="206"/>
  <c r="B127" i="206" s="1"/>
  <c r="O87" i="206"/>
  <c r="O204" i="206" s="1"/>
  <c r="N87" i="206"/>
  <c r="N165" i="206" s="1"/>
  <c r="M87" i="206"/>
  <c r="L87" i="206"/>
  <c r="L126" i="206" s="1"/>
  <c r="K87" i="206"/>
  <c r="K126" i="206" s="1"/>
  <c r="J87" i="206"/>
  <c r="I87" i="206"/>
  <c r="I126" i="206" s="1"/>
  <c r="G87" i="206"/>
  <c r="F87" i="206"/>
  <c r="E87" i="206"/>
  <c r="D87" i="206"/>
  <c r="C87" i="206"/>
  <c r="C126" i="206" s="1"/>
  <c r="B87" i="206"/>
  <c r="B126" i="206" s="1"/>
  <c r="O86" i="206"/>
  <c r="N86" i="206"/>
  <c r="N125" i="206" s="1"/>
  <c r="M86" i="206"/>
  <c r="M125" i="206" s="1"/>
  <c r="L86" i="206"/>
  <c r="L203" i="206" s="1"/>
  <c r="K86" i="206"/>
  <c r="K164" i="206" s="1"/>
  <c r="J86" i="206"/>
  <c r="D86" i="206"/>
  <c r="D125" i="206" s="1"/>
  <c r="C86" i="206"/>
  <c r="C125" i="206" s="1"/>
  <c r="D85" i="206"/>
  <c r="C85" i="206"/>
  <c r="C124" i="206" s="1"/>
  <c r="D84" i="206"/>
  <c r="D123" i="206" s="1"/>
  <c r="C84" i="206"/>
  <c r="C201" i="206" s="1"/>
  <c r="D83" i="206"/>
  <c r="D161" i="206" s="1"/>
  <c r="C83" i="206"/>
  <c r="D82" i="206"/>
  <c r="D121" i="206" s="1"/>
  <c r="C82" i="206"/>
  <c r="C121" i="206" s="1"/>
  <c r="D81" i="206"/>
  <c r="D159" i="206" s="1"/>
  <c r="C81" i="206"/>
  <c r="C120" i="206" s="1"/>
  <c r="D80" i="206"/>
  <c r="D119" i="206" s="1"/>
  <c r="C80" i="206"/>
  <c r="C197" i="206" s="1"/>
  <c r="D79" i="206"/>
  <c r="D157" i="206" s="1"/>
  <c r="C79" i="206"/>
  <c r="D78" i="206"/>
  <c r="D117" i="206" s="1"/>
  <c r="C78" i="206"/>
  <c r="C117" i="206" s="1"/>
  <c r="D77" i="206"/>
  <c r="D155" i="206" s="1"/>
  <c r="C77" i="206"/>
  <c r="C116" i="206" s="1"/>
  <c r="D76" i="206"/>
  <c r="D115" i="206" s="1"/>
  <c r="C76" i="206"/>
  <c r="C193" i="206" s="1"/>
  <c r="G75" i="206"/>
  <c r="G153" i="206" s="1"/>
  <c r="F75" i="206"/>
  <c r="E75" i="206"/>
  <c r="E114" i="206" s="1"/>
  <c r="D75" i="206"/>
  <c r="D114" i="206" s="1"/>
  <c r="C75" i="206"/>
  <c r="C153" i="206" s="1"/>
  <c r="B75" i="206"/>
  <c r="B114" i="206" s="1"/>
  <c r="G74" i="206"/>
  <c r="G113" i="206" s="1"/>
  <c r="F74" i="206"/>
  <c r="F191" i="206" s="1"/>
  <c r="E74" i="206"/>
  <c r="E152" i="206" s="1"/>
  <c r="D74" i="206"/>
  <c r="C74" i="206"/>
  <c r="C113" i="206" s="1"/>
  <c r="B74" i="206"/>
  <c r="B113" i="206" s="1"/>
  <c r="O69" i="206"/>
  <c r="O108" i="206" s="1"/>
  <c r="N69" i="206"/>
  <c r="N108" i="206" s="1"/>
  <c r="M69" i="206"/>
  <c r="M108" i="206" s="1"/>
  <c r="L69" i="206"/>
  <c r="L108" i="206" s="1"/>
  <c r="K69" i="206"/>
  <c r="K108" i="206" s="1"/>
  <c r="J69" i="206"/>
  <c r="J108" i="206" s="1"/>
  <c r="G69" i="206"/>
  <c r="G147" i="206" s="1"/>
  <c r="F69" i="206"/>
  <c r="F147" i="206" s="1"/>
  <c r="E69" i="206"/>
  <c r="E108" i="206" s="1"/>
  <c r="D69" i="206"/>
  <c r="D108" i="206" s="1"/>
  <c r="C69" i="206"/>
  <c r="C108" i="206" s="1"/>
  <c r="B69" i="206"/>
  <c r="B108" i="206" s="1"/>
  <c r="O67" i="206"/>
  <c r="N67" i="206"/>
  <c r="M67" i="206"/>
  <c r="L67" i="206"/>
  <c r="K67" i="206"/>
  <c r="J67" i="206"/>
  <c r="I67" i="206"/>
  <c r="H67" i="206"/>
  <c r="G67" i="206"/>
  <c r="F67" i="206"/>
  <c r="E67" i="206"/>
  <c r="D67" i="206"/>
  <c r="C67" i="206"/>
  <c r="O66" i="206"/>
  <c r="O105" i="206" s="1"/>
  <c r="N66" i="206"/>
  <c r="N105" i="206" s="1"/>
  <c r="M66" i="206"/>
  <c r="M105" i="206" s="1"/>
  <c r="L66" i="206"/>
  <c r="L183" i="206" s="1"/>
  <c r="K66" i="206"/>
  <c r="J66" i="206"/>
  <c r="J144" i="206" s="1"/>
  <c r="I66" i="206"/>
  <c r="I144" i="206" s="1"/>
  <c r="H66" i="206"/>
  <c r="H105" i="206" s="1"/>
  <c r="G66" i="206"/>
  <c r="G105" i="206" s="1"/>
  <c r="F66" i="206"/>
  <c r="F105" i="206" s="1"/>
  <c r="E66" i="206"/>
  <c r="E105" i="206" s="1"/>
  <c r="D66" i="206"/>
  <c r="D183" i="206" s="1"/>
  <c r="C66" i="206"/>
  <c r="A63" i="206"/>
  <c r="A62" i="206"/>
  <c r="A61" i="206"/>
  <c r="A60" i="206"/>
  <c r="A59" i="206"/>
  <c r="A58" i="206"/>
  <c r="A57" i="206"/>
  <c r="A56" i="206"/>
  <c r="A55" i="206"/>
  <c r="A54" i="206"/>
  <c r="A53" i="206"/>
  <c r="A52" i="206"/>
  <c r="A50" i="206"/>
  <c r="G44" i="206"/>
  <c r="F44" i="206"/>
  <c r="E44" i="206"/>
  <c r="I43" i="206"/>
  <c r="I96" i="206" s="1"/>
  <c r="G43" i="206"/>
  <c r="F43" i="206"/>
  <c r="E43" i="206"/>
  <c r="G42" i="206"/>
  <c r="F42" i="206"/>
  <c r="E42" i="206"/>
  <c r="G41" i="206"/>
  <c r="F41" i="206"/>
  <c r="E41" i="206"/>
  <c r="O40" i="206"/>
  <c r="N40" i="206"/>
  <c r="M40" i="206"/>
  <c r="J40" i="206"/>
  <c r="J94" i="206" s="1"/>
  <c r="J133" i="206" s="1"/>
  <c r="J172" i="206" s="1"/>
  <c r="J211" i="206" s="1"/>
  <c r="G40" i="206"/>
  <c r="F40" i="206"/>
  <c r="E40" i="206"/>
  <c r="O39" i="206"/>
  <c r="N39" i="206"/>
  <c r="M39" i="206"/>
  <c r="G39" i="206"/>
  <c r="F39" i="206"/>
  <c r="E39" i="206"/>
  <c r="O38" i="206"/>
  <c r="N38" i="206"/>
  <c r="M38" i="206"/>
  <c r="I38" i="206"/>
  <c r="I92" i="206" s="1"/>
  <c r="I131" i="206" s="1"/>
  <c r="I170" i="206" s="1"/>
  <c r="I209" i="206" s="1"/>
  <c r="G38" i="206"/>
  <c r="F38" i="206"/>
  <c r="E38" i="206"/>
  <c r="J37" i="206"/>
  <c r="J91" i="206" s="1"/>
  <c r="J130" i="206" s="1"/>
  <c r="J169" i="206" s="1"/>
  <c r="J208" i="206" s="1"/>
  <c r="I37" i="206"/>
  <c r="I91" i="206" s="1"/>
  <c r="I130" i="206" s="1"/>
  <c r="I169" i="206" s="1"/>
  <c r="I208" i="206" s="1"/>
  <c r="G37" i="206"/>
  <c r="F37" i="206"/>
  <c r="E37" i="206"/>
  <c r="G36" i="206"/>
  <c r="F36" i="206"/>
  <c r="E36" i="206"/>
  <c r="G35" i="206"/>
  <c r="F35" i="206"/>
  <c r="E35" i="206"/>
  <c r="A34" i="206"/>
  <c r="A88" i="206" s="1"/>
  <c r="G33" i="206"/>
  <c r="E33" i="206"/>
  <c r="I32" i="206"/>
  <c r="I86" i="206" s="1"/>
  <c r="G32" i="206"/>
  <c r="F32" i="206"/>
  <c r="E32" i="206"/>
  <c r="B32" i="206"/>
  <c r="B45" i="206" s="1"/>
  <c r="B99" i="206" s="1"/>
  <c r="A32" i="206"/>
  <c r="A86" i="206" s="1"/>
  <c r="G31" i="206"/>
  <c r="F31" i="206"/>
  <c r="E31" i="206"/>
  <c r="B31" i="206"/>
  <c r="B85" i="206" s="1"/>
  <c r="A31" i="206"/>
  <c r="A85" i="206" s="1"/>
  <c r="G30" i="206"/>
  <c r="F30" i="206"/>
  <c r="E30" i="206"/>
  <c r="B30" i="206"/>
  <c r="B84" i="206" s="1"/>
  <c r="A30" i="206"/>
  <c r="A84" i="206" s="1"/>
  <c r="I29" i="206"/>
  <c r="I82" i="206" s="1"/>
  <c r="G29" i="206"/>
  <c r="P34" i="113" s="1"/>
  <c r="F29" i="206"/>
  <c r="E29" i="206"/>
  <c r="H34" i="113" s="1"/>
  <c r="B29" i="206"/>
  <c r="B42" i="206" s="1"/>
  <c r="B96" i="206" s="1"/>
  <c r="A29" i="206"/>
  <c r="A83" i="206" s="1"/>
  <c r="G28" i="206"/>
  <c r="F28" i="206"/>
  <c r="E28" i="206"/>
  <c r="B28" i="206"/>
  <c r="B82" i="206" s="1"/>
  <c r="A28" i="206"/>
  <c r="A82" i="206" s="1"/>
  <c r="I27" i="206"/>
  <c r="I80" i="206" s="1"/>
  <c r="G27" i="206"/>
  <c r="F27" i="206"/>
  <c r="E27" i="206"/>
  <c r="B27" i="206"/>
  <c r="B40" i="206" s="1"/>
  <c r="B94" i="206" s="1"/>
  <c r="A27" i="206"/>
  <c r="A81" i="206" s="1"/>
  <c r="O26" i="206"/>
  <c r="N26" i="206"/>
  <c r="M26" i="206"/>
  <c r="I26" i="206"/>
  <c r="I79" i="206" s="1"/>
  <c r="G26" i="206"/>
  <c r="F26" i="206"/>
  <c r="E26" i="206"/>
  <c r="B26" i="206"/>
  <c r="B80" i="206" s="1"/>
  <c r="A26" i="206"/>
  <c r="A39" i="206" s="1"/>
  <c r="A93" i="206" s="1"/>
  <c r="I25" i="206"/>
  <c r="I78" i="206" s="1"/>
  <c r="G25" i="206"/>
  <c r="F25" i="206"/>
  <c r="E25" i="206"/>
  <c r="B25" i="206"/>
  <c r="B79" i="206" s="1"/>
  <c r="A25" i="206"/>
  <c r="A79" i="206" s="1"/>
  <c r="O24" i="206"/>
  <c r="N24" i="206"/>
  <c r="M24" i="206"/>
  <c r="I24" i="206"/>
  <c r="I77" i="206" s="1"/>
  <c r="G24" i="206"/>
  <c r="F24" i="206"/>
  <c r="E24" i="206"/>
  <c r="B24" i="206"/>
  <c r="B37" i="206" s="1"/>
  <c r="B91" i="206" s="1"/>
  <c r="A24" i="206"/>
  <c r="A78" i="206" s="1"/>
  <c r="O23" i="206"/>
  <c r="N23" i="206"/>
  <c r="M23" i="206"/>
  <c r="I23" i="206"/>
  <c r="I76" i="206" s="1"/>
  <c r="G23" i="206"/>
  <c r="F23" i="206"/>
  <c r="E23" i="206"/>
  <c r="B23" i="206"/>
  <c r="B77" i="206" s="1"/>
  <c r="A23" i="206"/>
  <c r="A36" i="206" s="1"/>
  <c r="A90" i="206" s="1"/>
  <c r="I22" i="206"/>
  <c r="I75" i="206" s="1"/>
  <c r="G22" i="206"/>
  <c r="F22" i="206"/>
  <c r="E22" i="206"/>
  <c r="F34" i="113" s="1"/>
  <c r="F16" i="183" s="1"/>
  <c r="B22" i="206"/>
  <c r="B35" i="206" s="1"/>
  <c r="B89" i="206" s="1"/>
  <c r="A22" i="206"/>
  <c r="A76" i="206" s="1"/>
  <c r="A21" i="206"/>
  <c r="A75" i="206" s="1"/>
  <c r="O19" i="206"/>
  <c r="X34" i="123" s="1"/>
  <c r="N19" i="206"/>
  <c r="T34" i="123" s="1"/>
  <c r="M19" i="206"/>
  <c r="P34" i="123" s="1"/>
  <c r="I19" i="206"/>
  <c r="I73" i="206" s="1"/>
  <c r="I18" i="206"/>
  <c r="I72" i="206" s="1"/>
  <c r="G18" i="206"/>
  <c r="O53" i="206" s="1"/>
  <c r="F18" i="206"/>
  <c r="N53" i="206" s="1"/>
  <c r="E18" i="206"/>
  <c r="M53" i="206" s="1"/>
  <c r="D16" i="206"/>
  <c r="D70" i="206" s="1"/>
  <c r="I15" i="206"/>
  <c r="I69" i="206" s="1"/>
  <c r="A15" i="206"/>
  <c r="A69" i="206" s="1"/>
  <c r="A13" i="206"/>
  <c r="A2" i="206"/>
  <c r="A14" i="206" s="1"/>
  <c r="I294" i="205"/>
  <c r="I292" i="205"/>
  <c r="I290" i="205"/>
  <c r="O288" i="205"/>
  <c r="N288" i="205"/>
  <c r="M288" i="205"/>
  <c r="I256" i="205"/>
  <c r="I254" i="205"/>
  <c r="I252" i="205"/>
  <c r="O250" i="205"/>
  <c r="N250" i="205"/>
  <c r="M250" i="205"/>
  <c r="C216" i="205"/>
  <c r="D207" i="205"/>
  <c r="C205" i="205"/>
  <c r="I204" i="205"/>
  <c r="G204" i="205"/>
  <c r="F204" i="205"/>
  <c r="E204" i="205"/>
  <c r="D204" i="205"/>
  <c r="N203" i="205"/>
  <c r="L203" i="205"/>
  <c r="K203" i="205"/>
  <c r="J203" i="205"/>
  <c r="C202" i="205"/>
  <c r="C201" i="205"/>
  <c r="D200" i="205"/>
  <c r="C200" i="205"/>
  <c r="C198" i="205"/>
  <c r="C197" i="205"/>
  <c r="D196" i="205"/>
  <c r="C196" i="205"/>
  <c r="C194" i="205"/>
  <c r="C193" i="205"/>
  <c r="G192" i="205"/>
  <c r="F192" i="205"/>
  <c r="B192" i="205"/>
  <c r="F191" i="205"/>
  <c r="E191" i="205"/>
  <c r="D191" i="205"/>
  <c r="O189" i="205"/>
  <c r="N189" i="205"/>
  <c r="M189" i="205"/>
  <c r="L189" i="205"/>
  <c r="K189" i="205"/>
  <c r="J189" i="205"/>
  <c r="L186" i="205"/>
  <c r="J186" i="205"/>
  <c r="G186" i="205"/>
  <c r="F186" i="205"/>
  <c r="B186" i="205"/>
  <c r="A185" i="205"/>
  <c r="O184" i="205"/>
  <c r="N184" i="205"/>
  <c r="M184" i="205"/>
  <c r="L184" i="205"/>
  <c r="K184" i="205"/>
  <c r="J184" i="205"/>
  <c r="I184" i="205"/>
  <c r="H184" i="205"/>
  <c r="G184" i="205"/>
  <c r="F184" i="205"/>
  <c r="E184" i="205"/>
  <c r="D184" i="205"/>
  <c r="C184" i="205"/>
  <c r="N183" i="205"/>
  <c r="K183" i="205"/>
  <c r="J183" i="205"/>
  <c r="F183" i="205"/>
  <c r="C183" i="205"/>
  <c r="C173" i="205"/>
  <c r="D169" i="205"/>
  <c r="C169" i="205"/>
  <c r="G165" i="205"/>
  <c r="F165" i="205"/>
  <c r="E165" i="205"/>
  <c r="B165" i="205"/>
  <c r="O164" i="205"/>
  <c r="C156" i="205"/>
  <c r="D155" i="205"/>
  <c r="D153" i="205"/>
  <c r="C153" i="205"/>
  <c r="O150" i="205"/>
  <c r="N150" i="205"/>
  <c r="M150" i="205"/>
  <c r="L150" i="205"/>
  <c r="K150" i="205"/>
  <c r="J150" i="205"/>
  <c r="N147" i="205"/>
  <c r="M147" i="205"/>
  <c r="G147" i="205"/>
  <c r="D147" i="205"/>
  <c r="C147" i="205"/>
  <c r="O145" i="205"/>
  <c r="N145" i="205"/>
  <c r="M145" i="205"/>
  <c r="L145" i="205"/>
  <c r="K145" i="205"/>
  <c r="J145" i="205"/>
  <c r="I145" i="205"/>
  <c r="H145" i="205"/>
  <c r="G145" i="205"/>
  <c r="F145" i="205"/>
  <c r="E145" i="205"/>
  <c r="D145" i="205"/>
  <c r="C145" i="205"/>
  <c r="O144" i="205"/>
  <c r="N144" i="205"/>
  <c r="J144" i="205"/>
  <c r="G144" i="205"/>
  <c r="F144" i="205"/>
  <c r="C137" i="205"/>
  <c r="D136" i="205"/>
  <c r="C136" i="205"/>
  <c r="C133" i="205"/>
  <c r="D132" i="205"/>
  <c r="C132" i="205"/>
  <c r="C129" i="205"/>
  <c r="D128" i="205"/>
  <c r="C128" i="205"/>
  <c r="B127" i="205"/>
  <c r="O126" i="205"/>
  <c r="N126" i="205"/>
  <c r="G126" i="205"/>
  <c r="F126" i="205"/>
  <c r="E126" i="205"/>
  <c r="M125" i="205"/>
  <c r="L125" i="205"/>
  <c r="K125" i="205"/>
  <c r="D123" i="205"/>
  <c r="C123" i="205"/>
  <c r="D122" i="205"/>
  <c r="D119" i="205"/>
  <c r="C119" i="205"/>
  <c r="D118" i="205"/>
  <c r="D115" i="205"/>
  <c r="C115" i="205"/>
  <c r="G114" i="205"/>
  <c r="G113" i="205"/>
  <c r="F113" i="205"/>
  <c r="E113" i="205"/>
  <c r="O111" i="205"/>
  <c r="N111" i="205"/>
  <c r="M111" i="205"/>
  <c r="L111" i="205"/>
  <c r="K111" i="205"/>
  <c r="J111" i="205"/>
  <c r="M108" i="205"/>
  <c r="J108" i="205"/>
  <c r="G108" i="205"/>
  <c r="C108" i="205"/>
  <c r="O106" i="205"/>
  <c r="N106" i="205"/>
  <c r="M106" i="205"/>
  <c r="L106" i="205"/>
  <c r="K106" i="205"/>
  <c r="J106" i="205"/>
  <c r="I106" i="205"/>
  <c r="H106" i="205"/>
  <c r="G106" i="205"/>
  <c r="F106" i="205"/>
  <c r="E106" i="205"/>
  <c r="D106" i="205"/>
  <c r="C106" i="205"/>
  <c r="N105" i="205"/>
  <c r="K105" i="205"/>
  <c r="J105" i="205"/>
  <c r="F105" i="205"/>
  <c r="C105" i="205"/>
  <c r="C99" i="205"/>
  <c r="C138" i="205" s="1"/>
  <c r="D98" i="205"/>
  <c r="D215" i="205" s="1"/>
  <c r="C98" i="205"/>
  <c r="C215" i="205" s="1"/>
  <c r="D97" i="205"/>
  <c r="D214" i="205" s="1"/>
  <c r="C97" i="205"/>
  <c r="C214" i="205" s="1"/>
  <c r="D96" i="205"/>
  <c r="D213" i="205" s="1"/>
  <c r="C96" i="205"/>
  <c r="C213" i="205" s="1"/>
  <c r="D95" i="205"/>
  <c r="D134" i="205" s="1"/>
  <c r="C95" i="205"/>
  <c r="D94" i="205"/>
  <c r="D211" i="205" s="1"/>
  <c r="C94" i="205"/>
  <c r="C211" i="205" s="1"/>
  <c r="D93" i="205"/>
  <c r="D210" i="205" s="1"/>
  <c r="C93" i="205"/>
  <c r="C210" i="205" s="1"/>
  <c r="D92" i="205"/>
  <c r="D209" i="205" s="1"/>
  <c r="C92" i="205"/>
  <c r="C209" i="205" s="1"/>
  <c r="D91" i="205"/>
  <c r="C91" i="205"/>
  <c r="D90" i="205"/>
  <c r="D129" i="205" s="1"/>
  <c r="C90" i="205"/>
  <c r="C207" i="205" s="1"/>
  <c r="D89" i="205"/>
  <c r="D167" i="205" s="1"/>
  <c r="C89" i="205"/>
  <c r="C206" i="205" s="1"/>
  <c r="G88" i="205"/>
  <c r="G205" i="205" s="1"/>
  <c r="F88" i="205"/>
  <c r="F205" i="205" s="1"/>
  <c r="E88" i="205"/>
  <c r="D88" i="205"/>
  <c r="D127" i="205" s="1"/>
  <c r="C88" i="205"/>
  <c r="C127" i="205" s="1"/>
  <c r="B88" i="205"/>
  <c r="B205" i="205" s="1"/>
  <c r="O87" i="205"/>
  <c r="O165" i="205" s="1"/>
  <c r="N87" i="205"/>
  <c r="N204" i="205" s="1"/>
  <c r="M87" i="205"/>
  <c r="M204" i="205" s="1"/>
  <c r="L87" i="205"/>
  <c r="L204" i="205" s="1"/>
  <c r="K87" i="205"/>
  <c r="K165" i="205" s="1"/>
  <c r="J87" i="205"/>
  <c r="J165" i="205" s="1"/>
  <c r="I87" i="205"/>
  <c r="I126" i="205" s="1"/>
  <c r="G87" i="205"/>
  <c r="G99" i="205" s="1"/>
  <c r="F87" i="205"/>
  <c r="F99" i="205" s="1"/>
  <c r="E87" i="205"/>
  <c r="E99" i="205" s="1"/>
  <c r="D87" i="205"/>
  <c r="D165" i="205" s="1"/>
  <c r="C87" i="205"/>
  <c r="C165" i="205" s="1"/>
  <c r="B87" i="205"/>
  <c r="O86" i="205"/>
  <c r="N86" i="205"/>
  <c r="N125" i="205" s="1"/>
  <c r="M86" i="205"/>
  <c r="M203" i="205" s="1"/>
  <c r="L86" i="205"/>
  <c r="L164" i="205" s="1"/>
  <c r="K86" i="205"/>
  <c r="K164" i="205" s="1"/>
  <c r="J86" i="205"/>
  <c r="J164" i="205" s="1"/>
  <c r="D86" i="205"/>
  <c r="D164" i="205" s="1"/>
  <c r="C86" i="205"/>
  <c r="C164" i="205" s="1"/>
  <c r="D85" i="205"/>
  <c r="D163" i="205" s="1"/>
  <c r="C85" i="205"/>
  <c r="C124" i="205" s="1"/>
  <c r="D84" i="205"/>
  <c r="D201" i="205" s="1"/>
  <c r="C84" i="205"/>
  <c r="C162" i="205" s="1"/>
  <c r="D83" i="205"/>
  <c r="D161" i="205" s="1"/>
  <c r="C83" i="205"/>
  <c r="C161" i="205" s="1"/>
  <c r="D82" i="205"/>
  <c r="D160" i="205" s="1"/>
  <c r="C82" i="205"/>
  <c r="C160" i="205" s="1"/>
  <c r="D81" i="205"/>
  <c r="D159" i="205" s="1"/>
  <c r="C81" i="205"/>
  <c r="C120" i="205" s="1"/>
  <c r="D80" i="205"/>
  <c r="D197" i="205" s="1"/>
  <c r="C80" i="205"/>
  <c r="C158" i="205" s="1"/>
  <c r="D79" i="205"/>
  <c r="D157" i="205" s="1"/>
  <c r="C79" i="205"/>
  <c r="C157" i="205" s="1"/>
  <c r="D78" i="205"/>
  <c r="D156" i="205" s="1"/>
  <c r="C78" i="205"/>
  <c r="D77" i="205"/>
  <c r="C77" i="205"/>
  <c r="C116" i="205" s="1"/>
  <c r="D76" i="205"/>
  <c r="D193" i="205" s="1"/>
  <c r="C76" i="205"/>
  <c r="C154" i="205" s="1"/>
  <c r="G75" i="205"/>
  <c r="G153" i="205" s="1"/>
  <c r="F75" i="205"/>
  <c r="F153" i="205" s="1"/>
  <c r="E75" i="205"/>
  <c r="E153" i="205" s="1"/>
  <c r="D75" i="205"/>
  <c r="C75" i="205"/>
  <c r="B75" i="205"/>
  <c r="B114" i="205" s="1"/>
  <c r="G74" i="205"/>
  <c r="G191" i="205" s="1"/>
  <c r="F74" i="205"/>
  <c r="F152" i="205" s="1"/>
  <c r="E74" i="205"/>
  <c r="E152" i="205" s="1"/>
  <c r="D74" i="205"/>
  <c r="D152" i="205" s="1"/>
  <c r="C74" i="205"/>
  <c r="C152" i="205" s="1"/>
  <c r="B74" i="205"/>
  <c r="B152" i="205" s="1"/>
  <c r="O69" i="205"/>
  <c r="N69" i="205"/>
  <c r="N108" i="205" s="1"/>
  <c r="M69" i="205"/>
  <c r="M186" i="205" s="1"/>
  <c r="L69" i="205"/>
  <c r="L108" i="205" s="1"/>
  <c r="K69" i="205"/>
  <c r="K186" i="205" s="1"/>
  <c r="J69" i="205"/>
  <c r="J147" i="205" s="1"/>
  <c r="G69" i="205"/>
  <c r="F69" i="205"/>
  <c r="E69" i="205"/>
  <c r="D69" i="205"/>
  <c r="D108" i="205" s="1"/>
  <c r="C69" i="205"/>
  <c r="C186" i="205" s="1"/>
  <c r="B69" i="205"/>
  <c r="B108" i="205" s="1"/>
  <c r="O67" i="205"/>
  <c r="N67" i="205"/>
  <c r="M67" i="205"/>
  <c r="L67" i="205"/>
  <c r="K67" i="205"/>
  <c r="J67" i="205"/>
  <c r="I67" i="205"/>
  <c r="H67" i="205"/>
  <c r="G67" i="205"/>
  <c r="F67" i="205"/>
  <c r="E67" i="205"/>
  <c r="D67" i="205"/>
  <c r="C67" i="205"/>
  <c r="O66" i="205"/>
  <c r="O183" i="205" s="1"/>
  <c r="N66" i="205"/>
  <c r="M66" i="205"/>
  <c r="M183" i="205" s="1"/>
  <c r="L66" i="205"/>
  <c r="L183" i="205" s="1"/>
  <c r="K66" i="205"/>
  <c r="K144" i="205" s="1"/>
  <c r="J66" i="205"/>
  <c r="I66" i="205"/>
  <c r="H66" i="205"/>
  <c r="G66" i="205"/>
  <c r="G183" i="205" s="1"/>
  <c r="F66" i="205"/>
  <c r="E66" i="205"/>
  <c r="E183" i="205" s="1"/>
  <c r="D66" i="205"/>
  <c r="D183" i="205" s="1"/>
  <c r="C66" i="205"/>
  <c r="C144" i="205" s="1"/>
  <c r="A63" i="205"/>
  <c r="A62" i="205"/>
  <c r="A61" i="205"/>
  <c r="A60" i="205"/>
  <c r="A59" i="205"/>
  <c r="A58" i="205"/>
  <c r="A57" i="205"/>
  <c r="A56" i="205"/>
  <c r="A55" i="205"/>
  <c r="A54" i="205"/>
  <c r="A53" i="205"/>
  <c r="A52" i="205"/>
  <c r="A50" i="205"/>
  <c r="G44" i="205"/>
  <c r="F44" i="205"/>
  <c r="E44" i="205"/>
  <c r="I43" i="205"/>
  <c r="I96" i="205" s="1"/>
  <c r="G43" i="205"/>
  <c r="F43" i="205"/>
  <c r="E43" i="205"/>
  <c r="G42" i="205"/>
  <c r="F42" i="205"/>
  <c r="E42" i="205"/>
  <c r="G41" i="205"/>
  <c r="F41" i="205"/>
  <c r="E41" i="205"/>
  <c r="O40" i="205"/>
  <c r="N40" i="205"/>
  <c r="M40" i="205"/>
  <c r="J40" i="205"/>
  <c r="J94" i="205" s="1"/>
  <c r="J133" i="205" s="1"/>
  <c r="J172" i="205" s="1"/>
  <c r="J211" i="205" s="1"/>
  <c r="G40" i="205"/>
  <c r="F40" i="205"/>
  <c r="E40" i="205"/>
  <c r="O39" i="205"/>
  <c r="N39" i="205"/>
  <c r="M39" i="205"/>
  <c r="G39" i="205"/>
  <c r="F39" i="205"/>
  <c r="E39" i="205"/>
  <c r="O38" i="205"/>
  <c r="N38" i="205"/>
  <c r="M38" i="205"/>
  <c r="I38" i="205"/>
  <c r="I92" i="205" s="1"/>
  <c r="I131" i="205" s="1"/>
  <c r="I170" i="205" s="1"/>
  <c r="I209" i="205" s="1"/>
  <c r="G38" i="205"/>
  <c r="F38" i="205"/>
  <c r="E38" i="205"/>
  <c r="J37" i="205"/>
  <c r="J91" i="205" s="1"/>
  <c r="J130" i="205" s="1"/>
  <c r="J169" i="205" s="1"/>
  <c r="J208" i="205" s="1"/>
  <c r="I37" i="205"/>
  <c r="I91" i="205" s="1"/>
  <c r="I130" i="205" s="1"/>
  <c r="I169" i="205" s="1"/>
  <c r="I208" i="205" s="1"/>
  <c r="G37" i="205"/>
  <c r="F37" i="205"/>
  <c r="E37" i="205"/>
  <c r="G36" i="205"/>
  <c r="F36" i="205"/>
  <c r="E36" i="205"/>
  <c r="G35" i="205"/>
  <c r="F35" i="205"/>
  <c r="E35" i="205"/>
  <c r="A34" i="205"/>
  <c r="A88" i="205" s="1"/>
  <c r="F33" i="205"/>
  <c r="I32" i="205"/>
  <c r="I34" i="205" s="1"/>
  <c r="I88" i="205" s="1"/>
  <c r="G32" i="205"/>
  <c r="F32" i="205"/>
  <c r="E32" i="205"/>
  <c r="B32" i="205"/>
  <c r="B86" i="205" s="1"/>
  <c r="A32" i="205"/>
  <c r="A45" i="205" s="1"/>
  <c r="A99" i="205" s="1"/>
  <c r="G31" i="205"/>
  <c r="F31" i="205"/>
  <c r="E31" i="205"/>
  <c r="B31" i="205"/>
  <c r="B85" i="205" s="1"/>
  <c r="A31" i="205"/>
  <c r="A85" i="205" s="1"/>
  <c r="G30" i="205"/>
  <c r="F30" i="205"/>
  <c r="E30" i="205"/>
  <c r="B30" i="205"/>
  <c r="B84" i="205" s="1"/>
  <c r="A30" i="205"/>
  <c r="A84" i="205" s="1"/>
  <c r="I29" i="205"/>
  <c r="I82" i="205" s="1"/>
  <c r="G29" i="205"/>
  <c r="N62" i="205"/>
  <c r="E29" i="205"/>
  <c r="M62" i="205" s="1"/>
  <c r="B29" i="205"/>
  <c r="B83" i="205" s="1"/>
  <c r="A29" i="205"/>
  <c r="A42" i="205" s="1"/>
  <c r="A96" i="205" s="1"/>
  <c r="G28" i="205"/>
  <c r="F28" i="205"/>
  <c r="E28" i="205"/>
  <c r="B28" i="205"/>
  <c r="B82" i="205" s="1"/>
  <c r="A28" i="205"/>
  <c r="A82" i="205" s="1"/>
  <c r="I27" i="205"/>
  <c r="I80" i="205" s="1"/>
  <c r="G27" i="205"/>
  <c r="F27" i="205"/>
  <c r="E27" i="205"/>
  <c r="B27" i="205"/>
  <c r="B81" i="205" s="1"/>
  <c r="A27" i="205"/>
  <c r="A40" i="205" s="1"/>
  <c r="A94" i="205" s="1"/>
  <c r="O26" i="205"/>
  <c r="N26" i="205"/>
  <c r="M26" i="205"/>
  <c r="I26" i="205"/>
  <c r="I79" i="205" s="1"/>
  <c r="G26" i="205"/>
  <c r="F26" i="205"/>
  <c r="E26" i="205"/>
  <c r="B26" i="205"/>
  <c r="B39" i="205" s="1"/>
  <c r="B93" i="205" s="1"/>
  <c r="A26" i="205"/>
  <c r="A80" i="205" s="1"/>
  <c r="I25" i="205"/>
  <c r="I78" i="205" s="1"/>
  <c r="G25" i="205"/>
  <c r="F25" i="205"/>
  <c r="E25" i="205"/>
  <c r="B25" i="205"/>
  <c r="B79" i="205" s="1"/>
  <c r="A25" i="205"/>
  <c r="A79" i="205" s="1"/>
  <c r="O24" i="205"/>
  <c r="N24" i="205"/>
  <c r="M24" i="205"/>
  <c r="I24" i="205"/>
  <c r="I77" i="205" s="1"/>
  <c r="G24" i="205"/>
  <c r="F24" i="205"/>
  <c r="E24" i="205"/>
  <c r="B24" i="205"/>
  <c r="B78" i="205" s="1"/>
  <c r="A24" i="205"/>
  <c r="J39" i="205" s="1"/>
  <c r="J93" i="205" s="1"/>
  <c r="J132" i="205" s="1"/>
  <c r="J171" i="205" s="1"/>
  <c r="J210" i="205" s="1"/>
  <c r="O23" i="205"/>
  <c r="N23" i="205"/>
  <c r="M23" i="205"/>
  <c r="I23" i="205"/>
  <c r="I76" i="205" s="1"/>
  <c r="G23" i="205"/>
  <c r="F23" i="205"/>
  <c r="E23" i="205"/>
  <c r="B23" i="205"/>
  <c r="B36" i="205" s="1"/>
  <c r="B90" i="205" s="1"/>
  <c r="A23" i="205"/>
  <c r="A77" i="205" s="1"/>
  <c r="I22" i="205"/>
  <c r="I75" i="205" s="1"/>
  <c r="G22" i="205"/>
  <c r="F22" i="205"/>
  <c r="E22" i="205"/>
  <c r="B22" i="205"/>
  <c r="B76" i="205" s="1"/>
  <c r="A22" i="205"/>
  <c r="A35" i="205" s="1"/>
  <c r="A89" i="205" s="1"/>
  <c r="A21" i="205"/>
  <c r="A33" i="205" s="1"/>
  <c r="A87" i="205" s="1"/>
  <c r="O19" i="205"/>
  <c r="X30" i="123" s="1"/>
  <c r="N19" i="205"/>
  <c r="T30" i="123" s="1"/>
  <c r="M19" i="205"/>
  <c r="P30" i="123" s="1"/>
  <c r="I19" i="205"/>
  <c r="I73" i="205" s="1"/>
  <c r="I18" i="205"/>
  <c r="I72" i="205" s="1"/>
  <c r="G18" i="205"/>
  <c r="O53" i="205" s="1"/>
  <c r="F18" i="205"/>
  <c r="N53" i="205" s="1"/>
  <c r="E18" i="205"/>
  <c r="M53" i="205" s="1"/>
  <c r="D16" i="205"/>
  <c r="D70" i="205" s="1"/>
  <c r="I15" i="205"/>
  <c r="I69" i="205" s="1"/>
  <c r="A15" i="205"/>
  <c r="A18" i="205" s="1"/>
  <c r="A13" i="205"/>
  <c r="A2" i="205"/>
  <c r="A14" i="205" s="1"/>
  <c r="A66" i="205" s="1"/>
  <c r="G297" i="204"/>
  <c r="E294" i="204"/>
  <c r="E295" i="204" s="1"/>
  <c r="E297" i="204" s="1"/>
  <c r="C291" i="204"/>
  <c r="D290" i="204"/>
  <c r="C287" i="204"/>
  <c r="D286" i="204"/>
  <c r="F283" i="204"/>
  <c r="E283" i="204"/>
  <c r="L282" i="204"/>
  <c r="K282" i="204"/>
  <c r="G282" i="204"/>
  <c r="G294" i="204" s="1"/>
  <c r="G295" i="204" s="1"/>
  <c r="F282" i="204"/>
  <c r="F294" i="204" s="1"/>
  <c r="F295" i="204" s="1"/>
  <c r="F297" i="204" s="1"/>
  <c r="E282" i="204"/>
  <c r="C282" i="204"/>
  <c r="B282" i="204"/>
  <c r="D281" i="204"/>
  <c r="C281" i="204"/>
  <c r="D277" i="204"/>
  <c r="C277" i="204"/>
  <c r="D273" i="204"/>
  <c r="C273" i="204"/>
  <c r="O270" i="204"/>
  <c r="N270" i="204"/>
  <c r="M270" i="204"/>
  <c r="L270" i="204"/>
  <c r="K270" i="204"/>
  <c r="J270" i="204"/>
  <c r="C270" i="204"/>
  <c r="B270" i="204"/>
  <c r="O267" i="204"/>
  <c r="N267" i="204"/>
  <c r="M267" i="204"/>
  <c r="L267" i="204"/>
  <c r="K267" i="204"/>
  <c r="J267" i="204"/>
  <c r="I266" i="204"/>
  <c r="N264" i="204"/>
  <c r="M264" i="204"/>
  <c r="D264" i="204"/>
  <c r="C264" i="204"/>
  <c r="A263" i="204"/>
  <c r="O262" i="204"/>
  <c r="N262" i="204"/>
  <c r="M262" i="204"/>
  <c r="L262" i="204"/>
  <c r="K262" i="204"/>
  <c r="J262" i="204"/>
  <c r="I262" i="204"/>
  <c r="H262" i="204"/>
  <c r="G262" i="204"/>
  <c r="F262" i="204"/>
  <c r="E262" i="204"/>
  <c r="D262" i="204"/>
  <c r="C262" i="204"/>
  <c r="O261" i="204"/>
  <c r="H261" i="204"/>
  <c r="D253" i="204"/>
  <c r="C250" i="204"/>
  <c r="D249" i="204"/>
  <c r="C246" i="204"/>
  <c r="D245" i="204"/>
  <c r="B244" i="204"/>
  <c r="O243" i="204"/>
  <c r="G243" i="204"/>
  <c r="G255" i="204" s="1"/>
  <c r="F243" i="204"/>
  <c r="F255" i="204" s="1"/>
  <c r="E243" i="204"/>
  <c r="E255" i="204" s="1"/>
  <c r="M242" i="204"/>
  <c r="L242" i="204"/>
  <c r="D240" i="204"/>
  <c r="C240" i="204"/>
  <c r="C236" i="204"/>
  <c r="C232" i="204"/>
  <c r="G230" i="204"/>
  <c r="F230" i="204"/>
  <c r="O228" i="204"/>
  <c r="N228" i="204"/>
  <c r="M228" i="204"/>
  <c r="L228" i="204"/>
  <c r="K228" i="204"/>
  <c r="J228" i="204"/>
  <c r="K225" i="204"/>
  <c r="J225" i="204"/>
  <c r="O223" i="204"/>
  <c r="N223" i="204"/>
  <c r="M223" i="204"/>
  <c r="L223" i="204"/>
  <c r="K223" i="204"/>
  <c r="J223" i="204"/>
  <c r="I223" i="204"/>
  <c r="H223" i="204"/>
  <c r="G223" i="204"/>
  <c r="F223" i="204"/>
  <c r="E223" i="204"/>
  <c r="D223" i="204"/>
  <c r="C223" i="204"/>
  <c r="L222" i="204"/>
  <c r="K222" i="204"/>
  <c r="D222" i="204"/>
  <c r="C222" i="204"/>
  <c r="G216" i="204"/>
  <c r="G217" i="204" s="1"/>
  <c r="D214" i="204"/>
  <c r="C214" i="204"/>
  <c r="D210" i="204"/>
  <c r="C210" i="204"/>
  <c r="D206" i="204"/>
  <c r="C206" i="204"/>
  <c r="O204" i="204"/>
  <c r="N204" i="204"/>
  <c r="G204" i="204"/>
  <c r="F204" i="204"/>
  <c r="F216" i="204" s="1"/>
  <c r="F217" i="204" s="1"/>
  <c r="E204" i="204"/>
  <c r="E216" i="204" s="1"/>
  <c r="E217" i="204" s="1"/>
  <c r="L203" i="204"/>
  <c r="K203" i="204"/>
  <c r="C201" i="204"/>
  <c r="D200" i="204"/>
  <c r="C197" i="204"/>
  <c r="D196" i="204"/>
  <c r="C193" i="204"/>
  <c r="G192" i="204"/>
  <c r="F191" i="204"/>
  <c r="E191" i="204"/>
  <c r="O189" i="204"/>
  <c r="N189" i="204"/>
  <c r="M189" i="204"/>
  <c r="L189" i="204"/>
  <c r="K189" i="204"/>
  <c r="J189" i="204"/>
  <c r="J186" i="204"/>
  <c r="G186" i="204"/>
  <c r="O184" i="204"/>
  <c r="N184" i="204"/>
  <c r="M184" i="204"/>
  <c r="L184" i="204"/>
  <c r="K184" i="204"/>
  <c r="J184" i="204"/>
  <c r="I184" i="204"/>
  <c r="H184" i="204"/>
  <c r="G184" i="204"/>
  <c r="F184" i="204"/>
  <c r="E184" i="204"/>
  <c r="D184" i="204"/>
  <c r="C184" i="204"/>
  <c r="K183" i="204"/>
  <c r="J183" i="204"/>
  <c r="C183" i="204"/>
  <c r="G180" i="204"/>
  <c r="Q27" i="113" s="1"/>
  <c r="W27" i="123" s="1"/>
  <c r="F177" i="204"/>
  <c r="F178" i="204" s="1"/>
  <c r="E177" i="204"/>
  <c r="D174" i="204"/>
  <c r="C174" i="204"/>
  <c r="D170" i="204"/>
  <c r="C170" i="204"/>
  <c r="G166" i="204"/>
  <c r="F166" i="204"/>
  <c r="M165" i="204"/>
  <c r="L165" i="204"/>
  <c r="G165" i="204"/>
  <c r="G177" i="204" s="1"/>
  <c r="G178" i="204" s="1"/>
  <c r="F165" i="204"/>
  <c r="E165" i="204"/>
  <c r="D165" i="204"/>
  <c r="C165" i="204"/>
  <c r="J164" i="204"/>
  <c r="D164" i="204"/>
  <c r="C161" i="204"/>
  <c r="D160" i="204"/>
  <c r="C157" i="204"/>
  <c r="D156" i="204"/>
  <c r="F153" i="204"/>
  <c r="E153" i="204"/>
  <c r="D152" i="204"/>
  <c r="C152" i="204"/>
  <c r="O150" i="204"/>
  <c r="N150" i="204"/>
  <c r="M150" i="204"/>
  <c r="L150" i="204"/>
  <c r="K150" i="204"/>
  <c r="J150" i="204"/>
  <c r="O147" i="204"/>
  <c r="F147" i="204"/>
  <c r="E147" i="204"/>
  <c r="O145" i="204"/>
  <c r="N145" i="204"/>
  <c r="M145" i="204"/>
  <c r="L145" i="204"/>
  <c r="K145" i="204"/>
  <c r="J145" i="204"/>
  <c r="I145" i="204"/>
  <c r="H145" i="204"/>
  <c r="G145" i="204"/>
  <c r="F145" i="204"/>
  <c r="E145" i="204"/>
  <c r="D145" i="204"/>
  <c r="C145" i="204"/>
  <c r="I144" i="204"/>
  <c r="H144" i="204"/>
  <c r="F141" i="204"/>
  <c r="G138" i="204"/>
  <c r="G139" i="204" s="1"/>
  <c r="C138" i="204"/>
  <c r="D134" i="204"/>
  <c r="C134" i="204"/>
  <c r="D130" i="204"/>
  <c r="C130" i="204"/>
  <c r="E127" i="204"/>
  <c r="D127" i="204"/>
  <c r="K126" i="204"/>
  <c r="J126" i="204"/>
  <c r="G126" i="204"/>
  <c r="G141" i="204" s="1"/>
  <c r="F126" i="204"/>
  <c r="F138" i="204" s="1"/>
  <c r="F139" i="204" s="1"/>
  <c r="E126" i="204"/>
  <c r="E138" i="204" s="1"/>
  <c r="E139" i="204" s="1"/>
  <c r="E141" i="204" s="1"/>
  <c r="B126" i="204"/>
  <c r="O125" i="204"/>
  <c r="C125" i="204"/>
  <c r="D124" i="204"/>
  <c r="C121" i="204"/>
  <c r="D120" i="204"/>
  <c r="C117" i="204"/>
  <c r="D116" i="204"/>
  <c r="D114" i="204"/>
  <c r="C114" i="204"/>
  <c r="B113" i="204"/>
  <c r="O111" i="204"/>
  <c r="N111" i="204"/>
  <c r="M111" i="204"/>
  <c r="L111" i="204"/>
  <c r="K111" i="204"/>
  <c r="J111" i="204"/>
  <c r="C108" i="204"/>
  <c r="O106" i="204"/>
  <c r="N106" i="204"/>
  <c r="M106" i="204"/>
  <c r="L106" i="204"/>
  <c r="K106" i="204"/>
  <c r="J106" i="204"/>
  <c r="I106" i="204"/>
  <c r="H106" i="204"/>
  <c r="G106" i="204"/>
  <c r="F106" i="204"/>
  <c r="E106" i="204"/>
  <c r="D106" i="204"/>
  <c r="C106" i="204"/>
  <c r="G105" i="204"/>
  <c r="F105" i="204"/>
  <c r="E99" i="204"/>
  <c r="C99" i="204"/>
  <c r="C216" i="204" s="1"/>
  <c r="D98" i="204"/>
  <c r="C98" i="204"/>
  <c r="D97" i="204"/>
  <c r="D136" i="204" s="1"/>
  <c r="C97" i="204"/>
  <c r="C136" i="204" s="1"/>
  <c r="D96" i="204"/>
  <c r="D135" i="204" s="1"/>
  <c r="C96" i="204"/>
  <c r="C252" i="204" s="1"/>
  <c r="D95" i="204"/>
  <c r="D212" i="204" s="1"/>
  <c r="C95" i="204"/>
  <c r="C212" i="204" s="1"/>
  <c r="D94" i="204"/>
  <c r="C94" i="204"/>
  <c r="D93" i="204"/>
  <c r="D132" i="204" s="1"/>
  <c r="C93" i="204"/>
  <c r="C132" i="204" s="1"/>
  <c r="D92" i="204"/>
  <c r="D131" i="204" s="1"/>
  <c r="C92" i="204"/>
  <c r="C248" i="204" s="1"/>
  <c r="D91" i="204"/>
  <c r="D208" i="204" s="1"/>
  <c r="C91" i="204"/>
  <c r="C208" i="204" s="1"/>
  <c r="D90" i="204"/>
  <c r="C90" i="204"/>
  <c r="D89" i="204"/>
  <c r="D128" i="204" s="1"/>
  <c r="C89" i="204"/>
  <c r="C128" i="204" s="1"/>
  <c r="G88" i="204"/>
  <c r="G127" i="204" s="1"/>
  <c r="F88" i="204"/>
  <c r="F244" i="204" s="1"/>
  <c r="E88" i="204"/>
  <c r="E205" i="204" s="1"/>
  <c r="D88" i="204"/>
  <c r="D205" i="204" s="1"/>
  <c r="C88" i="204"/>
  <c r="B88" i="204"/>
  <c r="O87" i="204"/>
  <c r="O126" i="204" s="1"/>
  <c r="N87" i="204"/>
  <c r="N126" i="204" s="1"/>
  <c r="M87" i="204"/>
  <c r="M126" i="204" s="1"/>
  <c r="L87" i="204"/>
  <c r="L243" i="204" s="1"/>
  <c r="K87" i="204"/>
  <c r="K204" i="204" s="1"/>
  <c r="J87" i="204"/>
  <c r="J204" i="204" s="1"/>
  <c r="I87" i="204"/>
  <c r="G87" i="204"/>
  <c r="F87" i="204"/>
  <c r="F99" i="204" s="1"/>
  <c r="F100" i="204" s="1"/>
  <c r="E87" i="204"/>
  <c r="D87" i="204"/>
  <c r="D126" i="204" s="1"/>
  <c r="C87" i="204"/>
  <c r="C243" i="204" s="1"/>
  <c r="B87" i="204"/>
  <c r="B204" i="204" s="1"/>
  <c r="O86" i="204"/>
  <c r="O203" i="204" s="1"/>
  <c r="N86" i="204"/>
  <c r="M86" i="204"/>
  <c r="L86" i="204"/>
  <c r="L125" i="204" s="1"/>
  <c r="K86" i="204"/>
  <c r="K125" i="204" s="1"/>
  <c r="J86" i="204"/>
  <c r="J125" i="204" s="1"/>
  <c r="D86" i="204"/>
  <c r="D242" i="204" s="1"/>
  <c r="C86" i="204"/>
  <c r="C203" i="204" s="1"/>
  <c r="D85" i="204"/>
  <c r="D202" i="204" s="1"/>
  <c r="C85" i="204"/>
  <c r="D84" i="204"/>
  <c r="C84" i="204"/>
  <c r="C123" i="204" s="1"/>
  <c r="D83" i="204"/>
  <c r="D122" i="204" s="1"/>
  <c r="C83" i="204"/>
  <c r="C122" i="204" s="1"/>
  <c r="D82" i="204"/>
  <c r="D238" i="204" s="1"/>
  <c r="C82" i="204"/>
  <c r="C199" i="204" s="1"/>
  <c r="D81" i="204"/>
  <c r="D198" i="204" s="1"/>
  <c r="C81" i="204"/>
  <c r="D80" i="204"/>
  <c r="C80" i="204"/>
  <c r="C119" i="204" s="1"/>
  <c r="D79" i="204"/>
  <c r="D118" i="204" s="1"/>
  <c r="C79" i="204"/>
  <c r="C118" i="204" s="1"/>
  <c r="D78" i="204"/>
  <c r="D234" i="204" s="1"/>
  <c r="C78" i="204"/>
  <c r="C195" i="204" s="1"/>
  <c r="D77" i="204"/>
  <c r="D194" i="204" s="1"/>
  <c r="C77" i="204"/>
  <c r="D76" i="204"/>
  <c r="C76" i="204"/>
  <c r="C115" i="204" s="1"/>
  <c r="G75" i="204"/>
  <c r="G270" i="204" s="1"/>
  <c r="F75" i="204"/>
  <c r="F270" i="204" s="1"/>
  <c r="E75" i="204"/>
  <c r="E231" i="204" s="1"/>
  <c r="D75" i="204"/>
  <c r="D192" i="204" s="1"/>
  <c r="C75" i="204"/>
  <c r="C192" i="204" s="1"/>
  <c r="B75" i="204"/>
  <c r="G74" i="204"/>
  <c r="F74" i="204"/>
  <c r="F113" i="204" s="1"/>
  <c r="E74" i="204"/>
  <c r="E269" i="204" s="1"/>
  <c r="D74" i="204"/>
  <c r="D269" i="204" s="1"/>
  <c r="C74" i="204"/>
  <c r="C230" i="204" s="1"/>
  <c r="B74" i="204"/>
  <c r="B191" i="204" s="1"/>
  <c r="O69" i="204"/>
  <c r="O225" i="204" s="1"/>
  <c r="N69" i="204"/>
  <c r="M69" i="204"/>
  <c r="L69" i="204"/>
  <c r="L147" i="204" s="1"/>
  <c r="K69" i="204"/>
  <c r="K147" i="204" s="1"/>
  <c r="J69" i="204"/>
  <c r="J264" i="204" s="1"/>
  <c r="G69" i="204"/>
  <c r="G264" i="204" s="1"/>
  <c r="F69" i="204"/>
  <c r="F264" i="204" s="1"/>
  <c r="E69" i="204"/>
  <c r="E225" i="204" s="1"/>
  <c r="D69" i="204"/>
  <c r="D108" i="204" s="1"/>
  <c r="C69" i="204"/>
  <c r="B69" i="204"/>
  <c r="B147" i="204" s="1"/>
  <c r="O67" i="204"/>
  <c r="N67" i="204"/>
  <c r="M67" i="204"/>
  <c r="L67" i="204"/>
  <c r="K67" i="204"/>
  <c r="J67" i="204"/>
  <c r="I67" i="204"/>
  <c r="H67" i="204"/>
  <c r="G67" i="204"/>
  <c r="F67" i="204"/>
  <c r="E67" i="204"/>
  <c r="D67" i="204"/>
  <c r="C67" i="204"/>
  <c r="O66" i="204"/>
  <c r="N66" i="204"/>
  <c r="M66" i="204"/>
  <c r="M144" i="204" s="1"/>
  <c r="L66" i="204"/>
  <c r="L261" i="204" s="1"/>
  <c r="K66" i="204"/>
  <c r="K105" i="204" s="1"/>
  <c r="J66" i="204"/>
  <c r="J105" i="204" s="1"/>
  <c r="I66" i="204"/>
  <c r="I105" i="204" s="1"/>
  <c r="H66" i="204"/>
  <c r="H222" i="204" s="1"/>
  <c r="G66" i="204"/>
  <c r="F66" i="204"/>
  <c r="E66" i="204"/>
  <c r="E144" i="204" s="1"/>
  <c r="D66" i="204"/>
  <c r="D261" i="204" s="1"/>
  <c r="C66" i="204"/>
  <c r="C105" i="204" s="1"/>
  <c r="A63" i="204"/>
  <c r="A62" i="204"/>
  <c r="A61" i="204"/>
  <c r="A60" i="204"/>
  <c r="A59" i="204"/>
  <c r="A58" i="204"/>
  <c r="A57" i="204"/>
  <c r="A56" i="204"/>
  <c r="A55" i="204"/>
  <c r="A54" i="204"/>
  <c r="A53" i="204"/>
  <c r="A52" i="204"/>
  <c r="A50" i="204"/>
  <c r="G44" i="204"/>
  <c r="F44" i="204"/>
  <c r="E44" i="204"/>
  <c r="I43" i="204"/>
  <c r="I96" i="204" s="1"/>
  <c r="G43" i="204"/>
  <c r="F43" i="204"/>
  <c r="E43" i="204"/>
  <c r="G42" i="204"/>
  <c r="F42" i="204"/>
  <c r="E42" i="204"/>
  <c r="G41" i="204"/>
  <c r="F41" i="204"/>
  <c r="E41" i="204"/>
  <c r="O40" i="204"/>
  <c r="N40" i="204"/>
  <c r="M40" i="204"/>
  <c r="J40" i="204"/>
  <c r="J94" i="204" s="1"/>
  <c r="J133" i="204" s="1"/>
  <c r="J172" i="204" s="1"/>
  <c r="J211" i="204" s="1"/>
  <c r="J250" i="204" s="1"/>
  <c r="J289" i="204" s="1"/>
  <c r="G40" i="204"/>
  <c r="F40" i="204"/>
  <c r="E40" i="204"/>
  <c r="O39" i="204"/>
  <c r="N39" i="204"/>
  <c r="M39" i="204"/>
  <c r="G39" i="204"/>
  <c r="F39" i="204"/>
  <c r="E39" i="204"/>
  <c r="O38" i="204"/>
  <c r="N38" i="204"/>
  <c r="M38" i="204"/>
  <c r="I38" i="204"/>
  <c r="I92" i="204" s="1"/>
  <c r="I131" i="204" s="1"/>
  <c r="I170" i="204" s="1"/>
  <c r="I209" i="204" s="1"/>
  <c r="I248" i="204" s="1"/>
  <c r="I287" i="204" s="1"/>
  <c r="G38" i="204"/>
  <c r="F38" i="204"/>
  <c r="E38" i="204"/>
  <c r="J37" i="204"/>
  <c r="J91" i="204" s="1"/>
  <c r="J130" i="204" s="1"/>
  <c r="J169" i="204" s="1"/>
  <c r="J208" i="204" s="1"/>
  <c r="J247" i="204" s="1"/>
  <c r="J286" i="204" s="1"/>
  <c r="I37" i="204"/>
  <c r="I91" i="204" s="1"/>
  <c r="I130" i="204" s="1"/>
  <c r="I169" i="204" s="1"/>
  <c r="I208" i="204" s="1"/>
  <c r="I247" i="204" s="1"/>
  <c r="I286" i="204" s="1"/>
  <c r="G37" i="204"/>
  <c r="F37" i="204"/>
  <c r="E37" i="204"/>
  <c r="G36" i="204"/>
  <c r="F36" i="204"/>
  <c r="E36" i="204"/>
  <c r="G35" i="204"/>
  <c r="F35" i="204"/>
  <c r="E35" i="204"/>
  <c r="A34" i="204"/>
  <c r="A88" i="204" s="1"/>
  <c r="F33" i="204"/>
  <c r="E33" i="204"/>
  <c r="I32" i="204"/>
  <c r="I34" i="204" s="1"/>
  <c r="I88" i="204" s="1"/>
  <c r="G32" i="204"/>
  <c r="F32" i="204"/>
  <c r="E32" i="204"/>
  <c r="B32" i="204"/>
  <c r="B86" i="204" s="1"/>
  <c r="A32" i="204"/>
  <c r="A45" i="204" s="1"/>
  <c r="A99" i="204" s="1"/>
  <c r="G31" i="204"/>
  <c r="F31" i="204"/>
  <c r="E31" i="204"/>
  <c r="B31" i="204"/>
  <c r="B85" i="204" s="1"/>
  <c r="A31" i="204"/>
  <c r="A85" i="204" s="1"/>
  <c r="G30" i="204"/>
  <c r="F30" i="204"/>
  <c r="E30" i="204"/>
  <c r="B30" i="204"/>
  <c r="B84" i="204" s="1"/>
  <c r="A30" i="204"/>
  <c r="A84" i="204" s="1"/>
  <c r="I29" i="204"/>
  <c r="I82" i="204" s="1"/>
  <c r="G29" i="204"/>
  <c r="F29" i="204"/>
  <c r="L25" i="113" s="1"/>
  <c r="E29" i="204"/>
  <c r="H25" i="113" s="1"/>
  <c r="B29" i="204"/>
  <c r="B83" i="204" s="1"/>
  <c r="A29" i="204"/>
  <c r="A42" i="204" s="1"/>
  <c r="A96" i="204" s="1"/>
  <c r="G28" i="204"/>
  <c r="F28" i="204"/>
  <c r="E28" i="204"/>
  <c r="B28" i="204"/>
  <c r="B82" i="204" s="1"/>
  <c r="A28" i="204"/>
  <c r="A82" i="204" s="1"/>
  <c r="I27" i="204"/>
  <c r="I80" i="204" s="1"/>
  <c r="G27" i="204"/>
  <c r="F27" i="204"/>
  <c r="E27" i="204"/>
  <c r="B27" i="204"/>
  <c r="B81" i="204" s="1"/>
  <c r="A27" i="204"/>
  <c r="A40" i="204" s="1"/>
  <c r="A94" i="204" s="1"/>
  <c r="O26" i="204"/>
  <c r="N26" i="204"/>
  <c r="M26" i="204"/>
  <c r="I26" i="204"/>
  <c r="I79" i="204" s="1"/>
  <c r="G26" i="204"/>
  <c r="F26" i="204"/>
  <c r="E26" i="204"/>
  <c r="B26" i="204"/>
  <c r="B39" i="204" s="1"/>
  <c r="B93" i="204" s="1"/>
  <c r="A26" i="204"/>
  <c r="A80" i="204" s="1"/>
  <c r="I25" i="204"/>
  <c r="I78" i="204" s="1"/>
  <c r="G25" i="204"/>
  <c r="F25" i="204"/>
  <c r="E25" i="204"/>
  <c r="B25" i="204"/>
  <c r="B79" i="204" s="1"/>
  <c r="A25" i="204"/>
  <c r="A79" i="204" s="1"/>
  <c r="O24" i="204"/>
  <c r="N24" i="204"/>
  <c r="M24" i="204"/>
  <c r="I24" i="204"/>
  <c r="I77" i="204" s="1"/>
  <c r="G24" i="204"/>
  <c r="F24" i="204"/>
  <c r="E24" i="204"/>
  <c r="B24" i="204"/>
  <c r="B78" i="204" s="1"/>
  <c r="A24" i="204"/>
  <c r="J39" i="204" s="1"/>
  <c r="J93" i="204" s="1"/>
  <c r="J132" i="204" s="1"/>
  <c r="J171" i="204" s="1"/>
  <c r="J210" i="204" s="1"/>
  <c r="J249" i="204" s="1"/>
  <c r="J288" i="204" s="1"/>
  <c r="O23" i="204"/>
  <c r="N23" i="204"/>
  <c r="M23" i="204"/>
  <c r="I23" i="204"/>
  <c r="I76" i="204" s="1"/>
  <c r="G23" i="204"/>
  <c r="F23" i="204"/>
  <c r="E23" i="204"/>
  <c r="B23" i="204"/>
  <c r="B36" i="204" s="1"/>
  <c r="B90" i="204" s="1"/>
  <c r="A23" i="204"/>
  <c r="A77" i="204" s="1"/>
  <c r="I22" i="204"/>
  <c r="I75" i="204" s="1"/>
  <c r="G22" i="204"/>
  <c r="F22" i="204"/>
  <c r="E22" i="204"/>
  <c r="B22" i="204"/>
  <c r="B76" i="204" s="1"/>
  <c r="A22" i="204"/>
  <c r="A35" i="204" s="1"/>
  <c r="A89" i="204" s="1"/>
  <c r="A21" i="204"/>
  <c r="A75" i="204" s="1"/>
  <c r="O19" i="204"/>
  <c r="X25" i="123" s="1"/>
  <c r="N19" i="204"/>
  <c r="T25" i="123" s="1"/>
  <c r="M19" i="204"/>
  <c r="P25" i="123" s="1"/>
  <c r="I19" i="204"/>
  <c r="I73" i="204" s="1"/>
  <c r="I18" i="204"/>
  <c r="I72" i="204" s="1"/>
  <c r="G18" i="204"/>
  <c r="O53" i="204" s="1"/>
  <c r="F18" i="204"/>
  <c r="N53" i="204" s="1"/>
  <c r="E18" i="204"/>
  <c r="M53" i="204" s="1"/>
  <c r="D16" i="204"/>
  <c r="D70" i="204" s="1"/>
  <c r="I15" i="204"/>
  <c r="I69" i="204" s="1"/>
  <c r="A15" i="204"/>
  <c r="A20" i="204" s="1"/>
  <c r="A74" i="204" s="1"/>
  <c r="A13" i="204"/>
  <c r="A2" i="204"/>
  <c r="G282" i="203"/>
  <c r="F282" i="203"/>
  <c r="E282" i="203"/>
  <c r="A263" i="203"/>
  <c r="O262" i="203"/>
  <c r="N262" i="203"/>
  <c r="M262" i="203"/>
  <c r="L262" i="203"/>
  <c r="K262" i="203"/>
  <c r="J262" i="203"/>
  <c r="I262" i="203"/>
  <c r="H262" i="203"/>
  <c r="G262" i="203"/>
  <c r="F262" i="203"/>
  <c r="E262" i="203"/>
  <c r="D262" i="203"/>
  <c r="C262" i="203"/>
  <c r="G243" i="203"/>
  <c r="F243" i="203"/>
  <c r="E243" i="203"/>
  <c r="O228" i="203"/>
  <c r="N228" i="203"/>
  <c r="M228" i="203"/>
  <c r="L228" i="203"/>
  <c r="K228" i="203"/>
  <c r="J228" i="203"/>
  <c r="O223" i="203"/>
  <c r="N223" i="203"/>
  <c r="M223" i="203"/>
  <c r="L223" i="203"/>
  <c r="K223" i="203"/>
  <c r="J223" i="203"/>
  <c r="I223" i="203"/>
  <c r="H223" i="203"/>
  <c r="G223" i="203"/>
  <c r="F223" i="203"/>
  <c r="E223" i="203"/>
  <c r="D223" i="203"/>
  <c r="C223" i="203"/>
  <c r="G204" i="203"/>
  <c r="F204" i="203"/>
  <c r="E204" i="203"/>
  <c r="E33" i="203" s="1"/>
  <c r="O189" i="203"/>
  <c r="N189" i="203"/>
  <c r="M189" i="203"/>
  <c r="L189" i="203"/>
  <c r="K189" i="203"/>
  <c r="J189" i="203"/>
  <c r="O184" i="203"/>
  <c r="N184" i="203"/>
  <c r="M184" i="203"/>
  <c r="L184" i="203"/>
  <c r="K184" i="203"/>
  <c r="J184" i="203"/>
  <c r="I184" i="203"/>
  <c r="H184" i="203"/>
  <c r="G184" i="203"/>
  <c r="F184" i="203"/>
  <c r="E184" i="203"/>
  <c r="D184" i="203"/>
  <c r="C184" i="203"/>
  <c r="G165" i="203"/>
  <c r="F165" i="203"/>
  <c r="E165" i="203"/>
  <c r="O150" i="203"/>
  <c r="N150" i="203"/>
  <c r="M150" i="203"/>
  <c r="L150" i="203"/>
  <c r="K150" i="203"/>
  <c r="J150" i="203"/>
  <c r="O145" i="203"/>
  <c r="N145" i="203"/>
  <c r="M145" i="203"/>
  <c r="L145" i="203"/>
  <c r="K145" i="203"/>
  <c r="J145" i="203"/>
  <c r="I145" i="203"/>
  <c r="H145" i="203"/>
  <c r="G145" i="203"/>
  <c r="F145" i="203"/>
  <c r="E145" i="203"/>
  <c r="D145" i="203"/>
  <c r="C145" i="203"/>
  <c r="G126" i="203"/>
  <c r="G138" i="203" s="1"/>
  <c r="G139" i="203" s="1"/>
  <c r="F126" i="203"/>
  <c r="F138" i="203" s="1"/>
  <c r="F139" i="203" s="1"/>
  <c r="E126" i="203"/>
  <c r="E138" i="203" s="1"/>
  <c r="O111" i="203"/>
  <c r="O267" i="203" s="1"/>
  <c r="N111" i="203"/>
  <c r="N267" i="203" s="1"/>
  <c r="M111" i="203"/>
  <c r="M267" i="203" s="1"/>
  <c r="L111" i="203"/>
  <c r="L267" i="203" s="1"/>
  <c r="K111" i="203"/>
  <c r="K267" i="203" s="1"/>
  <c r="J111" i="203"/>
  <c r="J267" i="203" s="1"/>
  <c r="O106" i="203"/>
  <c r="N106" i="203"/>
  <c r="M106" i="203"/>
  <c r="L106" i="203"/>
  <c r="K106" i="203"/>
  <c r="J106" i="203"/>
  <c r="I106" i="203"/>
  <c r="H106" i="203"/>
  <c r="G106" i="203"/>
  <c r="F106" i="203"/>
  <c r="E106" i="203"/>
  <c r="D106" i="203"/>
  <c r="C106" i="203"/>
  <c r="C99" i="203"/>
  <c r="D98" i="203"/>
  <c r="C98" i="203"/>
  <c r="D97" i="203"/>
  <c r="C97" i="203"/>
  <c r="D96" i="203"/>
  <c r="C96" i="203"/>
  <c r="D95" i="203"/>
  <c r="C95" i="203"/>
  <c r="C134" i="203" s="1"/>
  <c r="C290" i="203" s="1"/>
  <c r="D94" i="203"/>
  <c r="D133" i="203" s="1"/>
  <c r="D289" i="203" s="1"/>
  <c r="C94" i="203"/>
  <c r="D93" i="203"/>
  <c r="C93" i="203"/>
  <c r="C132" i="203" s="1"/>
  <c r="C288" i="203" s="1"/>
  <c r="D92" i="203"/>
  <c r="C92" i="203"/>
  <c r="C131" i="203" s="1"/>
  <c r="C287" i="203" s="1"/>
  <c r="D91" i="203"/>
  <c r="D130" i="203" s="1"/>
  <c r="D286" i="203" s="1"/>
  <c r="C91" i="203"/>
  <c r="D90" i="203"/>
  <c r="D129" i="203" s="1"/>
  <c r="D285" i="203" s="1"/>
  <c r="C90" i="203"/>
  <c r="D89" i="203"/>
  <c r="D128" i="203" s="1"/>
  <c r="D284" i="203" s="1"/>
  <c r="C89" i="203"/>
  <c r="G88" i="203"/>
  <c r="G127" i="203" s="1"/>
  <c r="G283" i="203" s="1"/>
  <c r="F88" i="203"/>
  <c r="E88" i="203"/>
  <c r="E127" i="203" s="1"/>
  <c r="E283" i="203" s="1"/>
  <c r="D88" i="203"/>
  <c r="C88" i="203"/>
  <c r="C127" i="203" s="1"/>
  <c r="C283" i="203" s="1"/>
  <c r="B88" i="203"/>
  <c r="O87" i="203"/>
  <c r="N87" i="203"/>
  <c r="N126" i="203" s="1"/>
  <c r="N282" i="203" s="1"/>
  <c r="M87" i="203"/>
  <c r="L87" i="203"/>
  <c r="L126" i="203" s="1"/>
  <c r="L282" i="203" s="1"/>
  <c r="K87" i="203"/>
  <c r="J87" i="203"/>
  <c r="J126" i="203" s="1"/>
  <c r="J282" i="203" s="1"/>
  <c r="I87" i="203"/>
  <c r="G87" i="203"/>
  <c r="F87" i="203"/>
  <c r="E87" i="203"/>
  <c r="D87" i="203"/>
  <c r="C87" i="203"/>
  <c r="C126" i="203" s="1"/>
  <c r="C282" i="203" s="1"/>
  <c r="B87" i="203"/>
  <c r="O86" i="203"/>
  <c r="N86" i="203"/>
  <c r="N125" i="203" s="1"/>
  <c r="N281" i="203" s="1"/>
  <c r="M86" i="203"/>
  <c r="L86" i="203"/>
  <c r="L125" i="203" s="1"/>
  <c r="L281" i="203" s="1"/>
  <c r="K86" i="203"/>
  <c r="J86" i="203"/>
  <c r="J125" i="203" s="1"/>
  <c r="J281" i="203" s="1"/>
  <c r="D86" i="203"/>
  <c r="D125" i="203" s="1"/>
  <c r="D281" i="203" s="1"/>
  <c r="C86" i="203"/>
  <c r="D85" i="203"/>
  <c r="D124" i="203" s="1"/>
  <c r="D280" i="203" s="1"/>
  <c r="C85" i="203"/>
  <c r="D84" i="203"/>
  <c r="D123" i="203" s="1"/>
  <c r="D279" i="203" s="1"/>
  <c r="C84" i="203"/>
  <c r="D83" i="203"/>
  <c r="D122" i="203" s="1"/>
  <c r="D278" i="203" s="1"/>
  <c r="C83" i="203"/>
  <c r="D82" i="203"/>
  <c r="D121" i="203" s="1"/>
  <c r="D277" i="203" s="1"/>
  <c r="C82" i="203"/>
  <c r="D81" i="203"/>
  <c r="D120" i="203" s="1"/>
  <c r="D276" i="203" s="1"/>
  <c r="C81" i="203"/>
  <c r="D80" i="203"/>
  <c r="C80" i="203"/>
  <c r="C119" i="203" s="1"/>
  <c r="C275" i="203" s="1"/>
  <c r="D79" i="203"/>
  <c r="D118" i="203" s="1"/>
  <c r="D274" i="203" s="1"/>
  <c r="C79" i="203"/>
  <c r="D78" i="203"/>
  <c r="D117" i="203" s="1"/>
  <c r="D273" i="203" s="1"/>
  <c r="C78" i="203"/>
  <c r="D77" i="203"/>
  <c r="C77" i="203"/>
  <c r="C116" i="203" s="1"/>
  <c r="C272" i="203" s="1"/>
  <c r="D76" i="203"/>
  <c r="D115" i="203" s="1"/>
  <c r="D271" i="203" s="1"/>
  <c r="C76" i="203"/>
  <c r="G75" i="203"/>
  <c r="F75" i="203"/>
  <c r="F114" i="203" s="1"/>
  <c r="F270" i="203" s="1"/>
  <c r="E75" i="203"/>
  <c r="D75" i="203"/>
  <c r="D114" i="203" s="1"/>
  <c r="D270" i="203" s="1"/>
  <c r="C75" i="203"/>
  <c r="B75" i="203"/>
  <c r="B114" i="203" s="1"/>
  <c r="B270" i="203" s="1"/>
  <c r="G74" i="203"/>
  <c r="G113" i="203" s="1"/>
  <c r="G269" i="203" s="1"/>
  <c r="F74" i="203"/>
  <c r="E74" i="203"/>
  <c r="E113" i="203" s="1"/>
  <c r="E269" i="203" s="1"/>
  <c r="D74" i="203"/>
  <c r="C74" i="203"/>
  <c r="C113" i="203" s="1"/>
  <c r="C269" i="203" s="1"/>
  <c r="B74" i="203"/>
  <c r="O69" i="203"/>
  <c r="O108" i="203" s="1"/>
  <c r="O264" i="203" s="1"/>
  <c r="N69" i="203"/>
  <c r="M69" i="203"/>
  <c r="M108" i="203" s="1"/>
  <c r="M264" i="203" s="1"/>
  <c r="L69" i="203"/>
  <c r="K69" i="203"/>
  <c r="K108" i="203" s="1"/>
  <c r="K264" i="203" s="1"/>
  <c r="J69" i="203"/>
  <c r="G69" i="203"/>
  <c r="F69" i="203"/>
  <c r="F108" i="203" s="1"/>
  <c r="F264" i="203" s="1"/>
  <c r="E69" i="203"/>
  <c r="D69" i="203"/>
  <c r="D108" i="203" s="1"/>
  <c r="D264" i="203" s="1"/>
  <c r="C69" i="203"/>
  <c r="B69" i="203"/>
  <c r="B108" i="203" s="1"/>
  <c r="B264" i="203" s="1"/>
  <c r="O67" i="203"/>
  <c r="N67" i="203"/>
  <c r="M67" i="203"/>
  <c r="L67" i="203"/>
  <c r="K67" i="203"/>
  <c r="J67" i="203"/>
  <c r="I67" i="203"/>
  <c r="H67" i="203"/>
  <c r="G67" i="203"/>
  <c r="F67" i="203"/>
  <c r="E67" i="203"/>
  <c r="D67" i="203"/>
  <c r="C67" i="203"/>
  <c r="O66" i="203"/>
  <c r="O105" i="203" s="1"/>
  <c r="O261" i="203" s="1"/>
  <c r="N66" i="203"/>
  <c r="M66" i="203"/>
  <c r="M105" i="203" s="1"/>
  <c r="M261" i="203" s="1"/>
  <c r="L66" i="203"/>
  <c r="K66" i="203"/>
  <c r="K105" i="203" s="1"/>
  <c r="K261" i="203" s="1"/>
  <c r="J66" i="203"/>
  <c r="I66" i="203"/>
  <c r="I105" i="203" s="1"/>
  <c r="I261" i="203" s="1"/>
  <c r="H66" i="203"/>
  <c r="G66" i="203"/>
  <c r="G105" i="203" s="1"/>
  <c r="G261" i="203" s="1"/>
  <c r="F66" i="203"/>
  <c r="E66" i="203"/>
  <c r="E105" i="203" s="1"/>
  <c r="E261" i="203" s="1"/>
  <c r="D66" i="203"/>
  <c r="C66" i="203"/>
  <c r="C105" i="203" s="1"/>
  <c r="C261" i="203" s="1"/>
  <c r="A63" i="203"/>
  <c r="A62" i="203"/>
  <c r="A61" i="203"/>
  <c r="A60" i="203"/>
  <c r="A59" i="203"/>
  <c r="A58" i="203"/>
  <c r="A57" i="203"/>
  <c r="A56" i="203"/>
  <c r="A55" i="203"/>
  <c r="A54" i="203"/>
  <c r="A53" i="203"/>
  <c r="A52" i="203"/>
  <c r="A50" i="203"/>
  <c r="G44" i="203"/>
  <c r="F44" i="203"/>
  <c r="E44" i="203"/>
  <c r="I43" i="203"/>
  <c r="I96" i="203" s="1"/>
  <c r="G43" i="203"/>
  <c r="F43" i="203"/>
  <c r="E43" i="203"/>
  <c r="G42" i="203"/>
  <c r="F42" i="203"/>
  <c r="E42" i="203"/>
  <c r="G41" i="203"/>
  <c r="F41" i="203"/>
  <c r="E41" i="203"/>
  <c r="O40" i="203"/>
  <c r="N40" i="203"/>
  <c r="M40" i="203"/>
  <c r="J40" i="203"/>
  <c r="J94" i="203" s="1"/>
  <c r="J133" i="203" s="1"/>
  <c r="J172" i="203" s="1"/>
  <c r="J211" i="203" s="1"/>
  <c r="J250" i="203" s="1"/>
  <c r="J289" i="203" s="1"/>
  <c r="G40" i="203"/>
  <c r="F40" i="203"/>
  <c r="E40" i="203"/>
  <c r="O39" i="203"/>
  <c r="N39" i="203"/>
  <c r="M39" i="203"/>
  <c r="G39" i="203"/>
  <c r="F39" i="203"/>
  <c r="E39" i="203"/>
  <c r="O38" i="203"/>
  <c r="N38" i="203"/>
  <c r="M38" i="203"/>
  <c r="I38" i="203"/>
  <c r="I92" i="203" s="1"/>
  <c r="I131" i="203" s="1"/>
  <c r="I170" i="203" s="1"/>
  <c r="I209" i="203" s="1"/>
  <c r="I248" i="203" s="1"/>
  <c r="I287" i="203" s="1"/>
  <c r="G38" i="203"/>
  <c r="F38" i="203"/>
  <c r="E38" i="203"/>
  <c r="J37" i="203"/>
  <c r="J91" i="203" s="1"/>
  <c r="J130" i="203" s="1"/>
  <c r="J169" i="203" s="1"/>
  <c r="J208" i="203" s="1"/>
  <c r="J247" i="203" s="1"/>
  <c r="J286" i="203" s="1"/>
  <c r="I37" i="203"/>
  <c r="I91" i="203" s="1"/>
  <c r="I130" i="203" s="1"/>
  <c r="I169" i="203" s="1"/>
  <c r="I208" i="203" s="1"/>
  <c r="I247" i="203" s="1"/>
  <c r="I286" i="203" s="1"/>
  <c r="G37" i="203"/>
  <c r="F37" i="203"/>
  <c r="E37" i="203"/>
  <c r="G36" i="203"/>
  <c r="F36" i="203"/>
  <c r="E36" i="203"/>
  <c r="G35" i="203"/>
  <c r="F35" i="203"/>
  <c r="E35" i="203"/>
  <c r="A34" i="203"/>
  <c r="A88" i="203" s="1"/>
  <c r="G33" i="203"/>
  <c r="I32" i="203"/>
  <c r="I34" i="203" s="1"/>
  <c r="I88" i="203" s="1"/>
  <c r="G32" i="203"/>
  <c r="F32" i="203"/>
  <c r="E32" i="203"/>
  <c r="B32" i="203"/>
  <c r="B86" i="203" s="1"/>
  <c r="A32" i="203"/>
  <c r="A45" i="203" s="1"/>
  <c r="A99" i="203" s="1"/>
  <c r="G31" i="203"/>
  <c r="F31" i="203"/>
  <c r="E31" i="203"/>
  <c r="B31" i="203"/>
  <c r="B85" i="203" s="1"/>
  <c r="A31" i="203"/>
  <c r="A85" i="203" s="1"/>
  <c r="G30" i="203"/>
  <c r="F30" i="203"/>
  <c r="E30" i="203"/>
  <c r="B30" i="203"/>
  <c r="B84" i="203" s="1"/>
  <c r="A30" i="203"/>
  <c r="A84" i="203" s="1"/>
  <c r="I29" i="203"/>
  <c r="I82" i="203" s="1"/>
  <c r="G29" i="203"/>
  <c r="P20" i="113" s="1"/>
  <c r="H18" i="239" s="1"/>
  <c r="F29" i="203"/>
  <c r="L20" i="113" s="1"/>
  <c r="L13" i="183" s="1"/>
  <c r="H9" i="233" s="1"/>
  <c r="E29" i="203"/>
  <c r="H20" i="113" s="1"/>
  <c r="F18" i="239" s="1"/>
  <c r="B29" i="203"/>
  <c r="B83" i="203" s="1"/>
  <c r="A29" i="203"/>
  <c r="A42" i="203" s="1"/>
  <c r="A96" i="203" s="1"/>
  <c r="G28" i="203"/>
  <c r="F28" i="203"/>
  <c r="E28" i="203"/>
  <c r="B28" i="203"/>
  <c r="B82" i="203" s="1"/>
  <c r="A28" i="203"/>
  <c r="A82" i="203" s="1"/>
  <c r="I27" i="203"/>
  <c r="I80" i="203" s="1"/>
  <c r="G27" i="203"/>
  <c r="F27" i="203"/>
  <c r="E27" i="203"/>
  <c r="B27" i="203"/>
  <c r="B81" i="203" s="1"/>
  <c r="A27" i="203"/>
  <c r="A40" i="203" s="1"/>
  <c r="A94" i="203" s="1"/>
  <c r="O26" i="203"/>
  <c r="N26" i="203"/>
  <c r="M26" i="203"/>
  <c r="I26" i="203"/>
  <c r="I79" i="203" s="1"/>
  <c r="G26" i="203"/>
  <c r="F26" i="203"/>
  <c r="E26" i="203"/>
  <c r="B26" i="203"/>
  <c r="B39" i="203" s="1"/>
  <c r="B93" i="203" s="1"/>
  <c r="A26" i="203"/>
  <c r="A80" i="203" s="1"/>
  <c r="I25" i="203"/>
  <c r="I78" i="203" s="1"/>
  <c r="G25" i="203"/>
  <c r="F25" i="203"/>
  <c r="E25" i="203"/>
  <c r="B25" i="203"/>
  <c r="B79" i="203" s="1"/>
  <c r="A25" i="203"/>
  <c r="A79" i="203" s="1"/>
  <c r="O24" i="203"/>
  <c r="N24" i="203"/>
  <c r="M24" i="203"/>
  <c r="I24" i="203"/>
  <c r="I77" i="203" s="1"/>
  <c r="G24" i="203"/>
  <c r="F24" i="203"/>
  <c r="E24" i="203"/>
  <c r="B24" i="203"/>
  <c r="B78" i="203" s="1"/>
  <c r="A24" i="203"/>
  <c r="J39" i="203" s="1"/>
  <c r="J93" i="203" s="1"/>
  <c r="J132" i="203" s="1"/>
  <c r="J171" i="203" s="1"/>
  <c r="J210" i="203" s="1"/>
  <c r="J249" i="203" s="1"/>
  <c r="J288" i="203" s="1"/>
  <c r="O23" i="203"/>
  <c r="N23" i="203"/>
  <c r="M23" i="203"/>
  <c r="I23" i="203"/>
  <c r="I76" i="203" s="1"/>
  <c r="G23" i="203"/>
  <c r="F23" i="203"/>
  <c r="E23" i="203"/>
  <c r="B23" i="203"/>
  <c r="B36" i="203" s="1"/>
  <c r="B90" i="203" s="1"/>
  <c r="A23" i="203"/>
  <c r="A77" i="203" s="1"/>
  <c r="I22" i="203"/>
  <c r="I75" i="203" s="1"/>
  <c r="G22" i="203"/>
  <c r="F22" i="203"/>
  <c r="E22" i="203"/>
  <c r="B22" i="203"/>
  <c r="B76" i="203" s="1"/>
  <c r="A22" i="203"/>
  <c r="A35" i="203" s="1"/>
  <c r="A89" i="203" s="1"/>
  <c r="A21" i="203"/>
  <c r="A75" i="203" s="1"/>
  <c r="O19" i="203"/>
  <c r="X20" i="123" s="1"/>
  <c r="N19" i="203"/>
  <c r="T20" i="123" s="1"/>
  <c r="M19" i="203"/>
  <c r="P20" i="123" s="1"/>
  <c r="I19" i="203"/>
  <c r="I73" i="203" s="1"/>
  <c r="I18" i="203"/>
  <c r="I72" i="203" s="1"/>
  <c r="G18" i="203"/>
  <c r="O53" i="203" s="1"/>
  <c r="F18" i="203"/>
  <c r="N53" i="203" s="1"/>
  <c r="E18" i="203"/>
  <c r="M53" i="203" s="1"/>
  <c r="D16" i="203"/>
  <c r="D70" i="203" s="1"/>
  <c r="A15" i="203"/>
  <c r="A20" i="203" s="1"/>
  <c r="A74" i="203" s="1"/>
  <c r="A13" i="203"/>
  <c r="A2" i="203"/>
  <c r="I293" i="202"/>
  <c r="I291" i="202"/>
  <c r="I289" i="202"/>
  <c r="O287" i="202"/>
  <c r="N287" i="202"/>
  <c r="M287" i="202"/>
  <c r="I255" i="202"/>
  <c r="I253" i="202"/>
  <c r="I251" i="202"/>
  <c r="O249" i="202"/>
  <c r="N249" i="202"/>
  <c r="M249" i="202"/>
  <c r="I217" i="202"/>
  <c r="I215" i="202"/>
  <c r="I213" i="202"/>
  <c r="O211" i="202"/>
  <c r="N211" i="202"/>
  <c r="M211" i="202"/>
  <c r="G177" i="202"/>
  <c r="G178" i="202" s="1"/>
  <c r="D176" i="202"/>
  <c r="C176" i="202"/>
  <c r="D175" i="202"/>
  <c r="C175" i="202"/>
  <c r="D172" i="202"/>
  <c r="C172" i="202"/>
  <c r="D171" i="202"/>
  <c r="C171" i="202"/>
  <c r="C168" i="202"/>
  <c r="D167" i="202"/>
  <c r="C167" i="202"/>
  <c r="B166" i="202"/>
  <c r="O165" i="202"/>
  <c r="N165" i="202"/>
  <c r="G165" i="202"/>
  <c r="G180" i="202" s="1"/>
  <c r="F165" i="202"/>
  <c r="E165" i="202"/>
  <c r="M164" i="202"/>
  <c r="L164" i="202"/>
  <c r="K164" i="202"/>
  <c r="D162" i="202"/>
  <c r="C162" i="202"/>
  <c r="D161" i="202"/>
  <c r="D158" i="202"/>
  <c r="C158" i="202"/>
  <c r="D157" i="202"/>
  <c r="D154" i="202"/>
  <c r="C154" i="202"/>
  <c r="G153" i="202"/>
  <c r="G152" i="202"/>
  <c r="F152" i="202"/>
  <c r="E152" i="202"/>
  <c r="O150" i="202"/>
  <c r="N150" i="202"/>
  <c r="M150" i="202"/>
  <c r="L150" i="202"/>
  <c r="K150" i="202"/>
  <c r="J150" i="202"/>
  <c r="J147" i="202"/>
  <c r="A146" i="202"/>
  <c r="O145" i="202"/>
  <c r="N145" i="202"/>
  <c r="M145" i="202"/>
  <c r="L145" i="202"/>
  <c r="K145" i="202"/>
  <c r="J145" i="202"/>
  <c r="I145" i="202"/>
  <c r="H145" i="202"/>
  <c r="G145" i="202"/>
  <c r="F145" i="202"/>
  <c r="E145" i="202"/>
  <c r="D145" i="202"/>
  <c r="C145" i="202"/>
  <c r="M144" i="202"/>
  <c r="L144" i="202"/>
  <c r="K144" i="202"/>
  <c r="E144" i="202"/>
  <c r="D144" i="202"/>
  <c r="C144" i="202"/>
  <c r="G138" i="202"/>
  <c r="G139" i="202" s="1"/>
  <c r="F138" i="202"/>
  <c r="F139" i="202" s="1"/>
  <c r="C137" i="202"/>
  <c r="D136" i="202"/>
  <c r="C136" i="202"/>
  <c r="D135" i="202"/>
  <c r="C133" i="202"/>
  <c r="D132" i="202"/>
  <c r="C132" i="202"/>
  <c r="D131" i="202"/>
  <c r="C129" i="202"/>
  <c r="D128" i="202"/>
  <c r="C128" i="202"/>
  <c r="G127" i="202"/>
  <c r="B127" i="202"/>
  <c r="O126" i="202"/>
  <c r="N126" i="202"/>
  <c r="M126" i="202"/>
  <c r="G126" i="202"/>
  <c r="G141" i="202" s="1"/>
  <c r="F126" i="202"/>
  <c r="E126" i="202"/>
  <c r="D126" i="202"/>
  <c r="M125" i="202"/>
  <c r="L125" i="202"/>
  <c r="K125" i="202"/>
  <c r="J125" i="202"/>
  <c r="D123" i="202"/>
  <c r="C123" i="202"/>
  <c r="D122" i="202"/>
  <c r="C122" i="202"/>
  <c r="D119" i="202"/>
  <c r="C119" i="202"/>
  <c r="D118" i="202"/>
  <c r="C118" i="202"/>
  <c r="D115" i="202"/>
  <c r="C115" i="202"/>
  <c r="G114" i="202"/>
  <c r="F114" i="202"/>
  <c r="G113" i="202"/>
  <c r="F113" i="202"/>
  <c r="E113" i="202"/>
  <c r="D113" i="202"/>
  <c r="O111" i="202"/>
  <c r="N111" i="202"/>
  <c r="M111" i="202"/>
  <c r="L111" i="202"/>
  <c r="K111" i="202"/>
  <c r="J111" i="202"/>
  <c r="F108" i="202"/>
  <c r="O106" i="202"/>
  <c r="N106" i="202"/>
  <c r="M106" i="202"/>
  <c r="L106" i="202"/>
  <c r="K106" i="202"/>
  <c r="J106" i="202"/>
  <c r="I106" i="202"/>
  <c r="H106" i="202"/>
  <c r="G106" i="202"/>
  <c r="F106" i="202"/>
  <c r="E106" i="202"/>
  <c r="D106" i="202"/>
  <c r="C106" i="202"/>
  <c r="I105" i="202"/>
  <c r="G102" i="202"/>
  <c r="G99" i="202"/>
  <c r="G100" i="202" s="1"/>
  <c r="F99" i="202"/>
  <c r="F100" i="202" s="1"/>
  <c r="E99" i="202"/>
  <c r="C99" i="202"/>
  <c r="C138" i="202" s="1"/>
  <c r="D98" i="202"/>
  <c r="D137" i="202" s="1"/>
  <c r="C98" i="202"/>
  <c r="D97" i="202"/>
  <c r="C97" i="202"/>
  <c r="D96" i="202"/>
  <c r="D174" i="202" s="1"/>
  <c r="C96" i="202"/>
  <c r="D95" i="202"/>
  <c r="C95" i="202"/>
  <c r="C134" i="202" s="1"/>
  <c r="D94" i="202"/>
  <c r="D133" i="202" s="1"/>
  <c r="C94" i="202"/>
  <c r="D93" i="202"/>
  <c r="C93" i="202"/>
  <c r="D92" i="202"/>
  <c r="D170" i="202" s="1"/>
  <c r="C92" i="202"/>
  <c r="D91" i="202"/>
  <c r="C91" i="202"/>
  <c r="C130" i="202" s="1"/>
  <c r="D90" i="202"/>
  <c r="D129" i="202" s="1"/>
  <c r="C90" i="202"/>
  <c r="D89" i="202"/>
  <c r="C89" i="202"/>
  <c r="G88" i="202"/>
  <c r="G166" i="202" s="1"/>
  <c r="F88" i="202"/>
  <c r="E88" i="202"/>
  <c r="D88" i="202"/>
  <c r="D127" i="202" s="1"/>
  <c r="C88" i="202"/>
  <c r="C127" i="202" s="1"/>
  <c r="B88" i="202"/>
  <c r="O87" i="202"/>
  <c r="N87" i="202"/>
  <c r="M87" i="202"/>
  <c r="M165" i="202" s="1"/>
  <c r="L87" i="202"/>
  <c r="K87" i="202"/>
  <c r="J87" i="202"/>
  <c r="J126" i="202" s="1"/>
  <c r="I87" i="202"/>
  <c r="I126" i="202" s="1"/>
  <c r="G87" i="202"/>
  <c r="F87" i="202"/>
  <c r="E87" i="202"/>
  <c r="D87" i="202"/>
  <c r="D165" i="202" s="1"/>
  <c r="C87" i="202"/>
  <c r="B87" i="202"/>
  <c r="O86" i="202"/>
  <c r="O125" i="202" s="1"/>
  <c r="N86" i="202"/>
  <c r="N125" i="202" s="1"/>
  <c r="M86" i="202"/>
  <c r="L86" i="202"/>
  <c r="K86" i="202"/>
  <c r="J86" i="202"/>
  <c r="J164" i="202" s="1"/>
  <c r="D86" i="202"/>
  <c r="C86" i="202"/>
  <c r="D85" i="202"/>
  <c r="D124" i="202" s="1"/>
  <c r="C85" i="202"/>
  <c r="C124" i="202" s="1"/>
  <c r="D84" i="202"/>
  <c r="C84" i="202"/>
  <c r="D83" i="202"/>
  <c r="C83" i="202"/>
  <c r="C161" i="202" s="1"/>
  <c r="D82" i="202"/>
  <c r="C82" i="202"/>
  <c r="D81" i="202"/>
  <c r="D120" i="202" s="1"/>
  <c r="C81" i="202"/>
  <c r="C120" i="202" s="1"/>
  <c r="D80" i="202"/>
  <c r="C80" i="202"/>
  <c r="D79" i="202"/>
  <c r="C79" i="202"/>
  <c r="C157" i="202" s="1"/>
  <c r="D78" i="202"/>
  <c r="C78" i="202"/>
  <c r="D77" i="202"/>
  <c r="D116" i="202" s="1"/>
  <c r="C77" i="202"/>
  <c r="C116" i="202" s="1"/>
  <c r="D76" i="202"/>
  <c r="C76" i="202"/>
  <c r="G75" i="202"/>
  <c r="F75" i="202"/>
  <c r="F153" i="202" s="1"/>
  <c r="E75" i="202"/>
  <c r="D75" i="202"/>
  <c r="C75" i="202"/>
  <c r="C114" i="202" s="1"/>
  <c r="B75" i="202"/>
  <c r="B114" i="202" s="1"/>
  <c r="G74" i="202"/>
  <c r="F74" i="202"/>
  <c r="E74" i="202"/>
  <c r="D74" i="202"/>
  <c r="D152" i="202" s="1"/>
  <c r="C74" i="202"/>
  <c r="B74" i="202"/>
  <c r="O69" i="202"/>
  <c r="O108" i="202" s="1"/>
  <c r="N69" i="202"/>
  <c r="N147" i="202" s="1"/>
  <c r="M69" i="202"/>
  <c r="M108" i="202" s="1"/>
  <c r="L69" i="202"/>
  <c r="L108" i="202" s="1"/>
  <c r="K69" i="202"/>
  <c r="K108" i="202" s="1"/>
  <c r="J69" i="202"/>
  <c r="J108" i="202" s="1"/>
  <c r="G69" i="202"/>
  <c r="F69" i="202"/>
  <c r="F147" i="202" s="1"/>
  <c r="E69" i="202"/>
  <c r="E108" i="202" s="1"/>
  <c r="D69" i="202"/>
  <c r="D147" i="202" s="1"/>
  <c r="C69" i="202"/>
  <c r="C108" i="202" s="1"/>
  <c r="B69" i="202"/>
  <c r="B108" i="202" s="1"/>
  <c r="O67" i="202"/>
  <c r="N67" i="202"/>
  <c r="M67" i="202"/>
  <c r="L67" i="202"/>
  <c r="K67" i="202"/>
  <c r="J67" i="202"/>
  <c r="I67" i="202"/>
  <c r="H67" i="202"/>
  <c r="G67" i="202"/>
  <c r="F67" i="202"/>
  <c r="E67" i="202"/>
  <c r="D67" i="202"/>
  <c r="C67" i="202"/>
  <c r="O66" i="202"/>
  <c r="O144" i="202" s="1"/>
  <c r="N66" i="202"/>
  <c r="N105" i="202" s="1"/>
  <c r="M66" i="202"/>
  <c r="M105" i="202" s="1"/>
  <c r="L66" i="202"/>
  <c r="L105" i="202" s="1"/>
  <c r="K66" i="202"/>
  <c r="K105" i="202" s="1"/>
  <c r="J66" i="202"/>
  <c r="I66" i="202"/>
  <c r="I144" i="202" s="1"/>
  <c r="H66" i="202"/>
  <c r="H144" i="202" s="1"/>
  <c r="G66" i="202"/>
  <c r="G144" i="202" s="1"/>
  <c r="F66" i="202"/>
  <c r="F105" i="202" s="1"/>
  <c r="E66" i="202"/>
  <c r="E105" i="202" s="1"/>
  <c r="D66" i="202"/>
  <c r="D105" i="202" s="1"/>
  <c r="C66" i="202"/>
  <c r="C105" i="202" s="1"/>
  <c r="A63" i="202"/>
  <c r="O62" i="202"/>
  <c r="A62" i="202"/>
  <c r="A61" i="202"/>
  <c r="A60" i="202"/>
  <c r="A59" i="202"/>
  <c r="A58" i="202"/>
  <c r="A57" i="202"/>
  <c r="A56" i="202"/>
  <c r="A55" i="202"/>
  <c r="A54" i="202"/>
  <c r="A53" i="202"/>
  <c r="A52" i="202"/>
  <c r="A50" i="202"/>
  <c r="G45" i="202"/>
  <c r="G44" i="202"/>
  <c r="F44" i="202"/>
  <c r="E44" i="202"/>
  <c r="I43" i="202"/>
  <c r="I96" i="202" s="1"/>
  <c r="G43" i="202"/>
  <c r="F43" i="202"/>
  <c r="E43" i="202"/>
  <c r="G42" i="202"/>
  <c r="F42" i="202"/>
  <c r="E42" i="202"/>
  <c r="G41" i="202"/>
  <c r="F41" i="202"/>
  <c r="E41" i="202"/>
  <c r="O40" i="202"/>
  <c r="N40" i="202"/>
  <c r="M40" i="202"/>
  <c r="J40" i="202"/>
  <c r="J94" i="202" s="1"/>
  <c r="J133" i="202" s="1"/>
  <c r="J172" i="202" s="1"/>
  <c r="G40" i="202"/>
  <c r="F40" i="202"/>
  <c r="E40" i="202"/>
  <c r="O39" i="202"/>
  <c r="N39" i="202"/>
  <c r="M39" i="202"/>
  <c r="G39" i="202"/>
  <c r="F39" i="202"/>
  <c r="E39" i="202"/>
  <c r="O38" i="202"/>
  <c r="N38" i="202"/>
  <c r="M38" i="202"/>
  <c r="I38" i="202"/>
  <c r="I92" i="202" s="1"/>
  <c r="I131" i="202" s="1"/>
  <c r="I170" i="202" s="1"/>
  <c r="G38" i="202"/>
  <c r="F38" i="202"/>
  <c r="E38" i="202"/>
  <c r="J37" i="202"/>
  <c r="J91" i="202" s="1"/>
  <c r="J130" i="202" s="1"/>
  <c r="J169" i="202" s="1"/>
  <c r="I37" i="202"/>
  <c r="I91" i="202" s="1"/>
  <c r="I130" i="202" s="1"/>
  <c r="I169" i="202" s="1"/>
  <c r="G37" i="202"/>
  <c r="F37" i="202"/>
  <c r="E37" i="202"/>
  <c r="G36" i="202"/>
  <c r="F36" i="202"/>
  <c r="E36" i="202"/>
  <c r="G35" i="202"/>
  <c r="F35" i="202"/>
  <c r="E35" i="202"/>
  <c r="A34" i="202"/>
  <c r="A88" i="202" s="1"/>
  <c r="G33" i="202"/>
  <c r="I32" i="202"/>
  <c r="I86" i="202" s="1"/>
  <c r="G32" i="202"/>
  <c r="F32" i="202"/>
  <c r="E32" i="202"/>
  <c r="B32" i="202"/>
  <c r="B45" i="202" s="1"/>
  <c r="B99" i="202" s="1"/>
  <c r="A32" i="202"/>
  <c r="A86" i="202" s="1"/>
  <c r="G31" i="202"/>
  <c r="F31" i="202"/>
  <c r="E31" i="202"/>
  <c r="B31" i="202"/>
  <c r="B85" i="202" s="1"/>
  <c r="A31" i="202"/>
  <c r="A85" i="202" s="1"/>
  <c r="G30" i="202"/>
  <c r="F30" i="202"/>
  <c r="E30" i="202"/>
  <c r="B30" i="202"/>
  <c r="B84" i="202" s="1"/>
  <c r="A30" i="202"/>
  <c r="A84" i="202" s="1"/>
  <c r="I29" i="202"/>
  <c r="I82" i="202" s="1"/>
  <c r="G29" i="202"/>
  <c r="P18" i="113" s="1"/>
  <c r="F29" i="202"/>
  <c r="L18" i="113" s="1"/>
  <c r="E29" i="202"/>
  <c r="B29" i="202"/>
  <c r="B42" i="202" s="1"/>
  <c r="B96" i="202" s="1"/>
  <c r="A29" i="202"/>
  <c r="A83" i="202" s="1"/>
  <c r="G28" i="202"/>
  <c r="F28" i="202"/>
  <c r="E28" i="202"/>
  <c r="B28" i="202"/>
  <c r="B82" i="202" s="1"/>
  <c r="A28" i="202"/>
  <c r="A82" i="202" s="1"/>
  <c r="I27" i="202"/>
  <c r="I80" i="202" s="1"/>
  <c r="G27" i="202"/>
  <c r="F27" i="202"/>
  <c r="E27" i="202"/>
  <c r="B27" i="202"/>
  <c r="B40" i="202" s="1"/>
  <c r="B94" i="202" s="1"/>
  <c r="A27" i="202"/>
  <c r="A81" i="202" s="1"/>
  <c r="O26" i="202"/>
  <c r="N26" i="202"/>
  <c r="M26" i="202"/>
  <c r="I26" i="202"/>
  <c r="I79" i="202" s="1"/>
  <c r="G26" i="202"/>
  <c r="F26" i="202"/>
  <c r="E26" i="202"/>
  <c r="B26" i="202"/>
  <c r="B80" i="202" s="1"/>
  <c r="A26" i="202"/>
  <c r="A39" i="202" s="1"/>
  <c r="A93" i="202" s="1"/>
  <c r="I25" i="202"/>
  <c r="I78" i="202" s="1"/>
  <c r="G25" i="202"/>
  <c r="F25" i="202"/>
  <c r="E25" i="202"/>
  <c r="B25" i="202"/>
  <c r="B79" i="202" s="1"/>
  <c r="A25" i="202"/>
  <c r="A79" i="202" s="1"/>
  <c r="O24" i="202"/>
  <c r="N24" i="202"/>
  <c r="M24" i="202"/>
  <c r="I24" i="202"/>
  <c r="I77" i="202" s="1"/>
  <c r="G24" i="202"/>
  <c r="F24" i="202"/>
  <c r="E24" i="202"/>
  <c r="B24" i="202"/>
  <c r="B37" i="202" s="1"/>
  <c r="B91" i="202" s="1"/>
  <c r="A24" i="202"/>
  <c r="A78" i="202" s="1"/>
  <c r="O23" i="202"/>
  <c r="N23" i="202"/>
  <c r="M23" i="202"/>
  <c r="I23" i="202"/>
  <c r="I76" i="202" s="1"/>
  <c r="G23" i="202"/>
  <c r="F23" i="202"/>
  <c r="E23" i="202"/>
  <c r="B23" i="202"/>
  <c r="B77" i="202" s="1"/>
  <c r="A23" i="202"/>
  <c r="A36" i="202" s="1"/>
  <c r="A90" i="202" s="1"/>
  <c r="I22" i="202"/>
  <c r="I75" i="202" s="1"/>
  <c r="G22" i="202"/>
  <c r="F22" i="202"/>
  <c r="E22" i="202"/>
  <c r="B22" i="202"/>
  <c r="B35" i="202" s="1"/>
  <c r="B89" i="202" s="1"/>
  <c r="A22" i="202"/>
  <c r="A76" i="202" s="1"/>
  <c r="A21" i="202"/>
  <c r="A75" i="202" s="1"/>
  <c r="O19" i="202"/>
  <c r="X18" i="123" s="1"/>
  <c r="N19" i="202"/>
  <c r="T18" i="123" s="1"/>
  <c r="M19" i="202"/>
  <c r="P18" i="123" s="1"/>
  <c r="I19" i="202"/>
  <c r="I73" i="202" s="1"/>
  <c r="I18" i="202"/>
  <c r="I72" i="202" s="1"/>
  <c r="G18" i="202"/>
  <c r="O53" i="202" s="1"/>
  <c r="F18" i="202"/>
  <c r="N53" i="202" s="1"/>
  <c r="E18" i="202"/>
  <c r="M53" i="202" s="1"/>
  <c r="D16" i="202"/>
  <c r="D70" i="202" s="1"/>
  <c r="I15" i="202"/>
  <c r="I69" i="202" s="1"/>
  <c r="A15" i="202"/>
  <c r="A69" i="202" s="1"/>
  <c r="A13" i="202"/>
  <c r="A2" i="202"/>
  <c r="A14" i="202" s="1"/>
  <c r="I293" i="201"/>
  <c r="I291" i="201"/>
  <c r="I289" i="201"/>
  <c r="O287" i="201"/>
  <c r="N287" i="201"/>
  <c r="M287" i="201"/>
  <c r="I255" i="201"/>
  <c r="I253" i="201"/>
  <c r="I251" i="201"/>
  <c r="O249" i="201"/>
  <c r="N249" i="201"/>
  <c r="M249" i="201"/>
  <c r="I217" i="201"/>
  <c r="I215" i="201"/>
  <c r="I213" i="201"/>
  <c r="O211" i="201"/>
  <c r="N211" i="201"/>
  <c r="M211" i="201"/>
  <c r="D176" i="201"/>
  <c r="C169" i="201"/>
  <c r="D168" i="201"/>
  <c r="D166" i="201"/>
  <c r="G165" i="201"/>
  <c r="F165" i="201"/>
  <c r="F177" i="201" s="1"/>
  <c r="F178" i="201" s="1"/>
  <c r="E165" i="201"/>
  <c r="E177" i="201" s="1"/>
  <c r="O164" i="201"/>
  <c r="D162" i="201"/>
  <c r="D159" i="201"/>
  <c r="B153" i="201"/>
  <c r="G152" i="201"/>
  <c r="O150" i="201"/>
  <c r="N150" i="201"/>
  <c r="M150" i="201"/>
  <c r="L150" i="201"/>
  <c r="K150" i="201"/>
  <c r="J150" i="201"/>
  <c r="M147" i="201"/>
  <c r="L147" i="201"/>
  <c r="B147" i="201"/>
  <c r="A146" i="201"/>
  <c r="O145" i="201"/>
  <c r="N145" i="201"/>
  <c r="M145" i="201"/>
  <c r="L145" i="201"/>
  <c r="K145" i="201"/>
  <c r="J145" i="201"/>
  <c r="I145" i="201"/>
  <c r="H145" i="201"/>
  <c r="G145" i="201"/>
  <c r="F145" i="201"/>
  <c r="E145" i="201"/>
  <c r="D145" i="201"/>
  <c r="C145" i="201"/>
  <c r="O144" i="201"/>
  <c r="M144" i="201"/>
  <c r="E144" i="201"/>
  <c r="D137" i="201"/>
  <c r="D136" i="201"/>
  <c r="C133" i="201"/>
  <c r="D132" i="201"/>
  <c r="N126" i="201"/>
  <c r="G126" i="201"/>
  <c r="F126" i="201"/>
  <c r="E126" i="201"/>
  <c r="D122" i="201"/>
  <c r="C118" i="201"/>
  <c r="G114" i="201"/>
  <c r="O111" i="201"/>
  <c r="N111" i="201"/>
  <c r="M111" i="201"/>
  <c r="L111" i="201"/>
  <c r="K111" i="201"/>
  <c r="J111" i="201"/>
  <c r="N108" i="201"/>
  <c r="L108" i="201"/>
  <c r="G108" i="201"/>
  <c r="F108" i="201"/>
  <c r="D108" i="201"/>
  <c r="B108" i="201"/>
  <c r="A107" i="201"/>
  <c r="O106" i="201"/>
  <c r="N106" i="201"/>
  <c r="M106" i="201"/>
  <c r="L106" i="201"/>
  <c r="K106" i="201"/>
  <c r="J106" i="201"/>
  <c r="I106" i="201"/>
  <c r="H106" i="201"/>
  <c r="G106" i="201"/>
  <c r="F106" i="201"/>
  <c r="E106" i="201"/>
  <c r="D106" i="201"/>
  <c r="C106" i="201"/>
  <c r="M105" i="201"/>
  <c r="K105" i="201"/>
  <c r="J105" i="201"/>
  <c r="H105" i="201"/>
  <c r="E105" i="201"/>
  <c r="G99" i="201"/>
  <c r="G100" i="201" s="1"/>
  <c r="F99" i="201"/>
  <c r="F100" i="201" s="1"/>
  <c r="C99" i="201"/>
  <c r="C138" i="201" s="1"/>
  <c r="D98" i="201"/>
  <c r="C98" i="201"/>
  <c r="C176" i="201" s="1"/>
  <c r="D97" i="201"/>
  <c r="D175" i="201" s="1"/>
  <c r="C97" i="201"/>
  <c r="D96" i="201"/>
  <c r="C96" i="201"/>
  <c r="D95" i="201"/>
  <c r="C95" i="201"/>
  <c r="C134" i="201" s="1"/>
  <c r="D94" i="201"/>
  <c r="D172" i="201" s="1"/>
  <c r="C94" i="201"/>
  <c r="C172" i="201" s="1"/>
  <c r="D93" i="201"/>
  <c r="D171" i="201" s="1"/>
  <c r="C93" i="201"/>
  <c r="D92" i="201"/>
  <c r="C92" i="201"/>
  <c r="C170" i="201" s="1"/>
  <c r="D91" i="201"/>
  <c r="D169" i="201" s="1"/>
  <c r="C91" i="201"/>
  <c r="C130" i="201" s="1"/>
  <c r="D90" i="201"/>
  <c r="D129" i="201" s="1"/>
  <c r="C90" i="201"/>
  <c r="C168" i="201" s="1"/>
  <c r="D89" i="201"/>
  <c r="D167" i="201" s="1"/>
  <c r="C89" i="201"/>
  <c r="C167" i="201" s="1"/>
  <c r="G88" i="201"/>
  <c r="G166" i="201" s="1"/>
  <c r="F88" i="201"/>
  <c r="F166" i="201" s="1"/>
  <c r="E88" i="201"/>
  <c r="E166" i="201" s="1"/>
  <c r="D88" i="201"/>
  <c r="D127" i="201" s="1"/>
  <c r="C88" i="201"/>
  <c r="C166" i="201" s="1"/>
  <c r="B88" i="201"/>
  <c r="B166" i="201" s="1"/>
  <c r="O87" i="201"/>
  <c r="O165" i="201" s="1"/>
  <c r="N87" i="201"/>
  <c r="N165" i="201" s="1"/>
  <c r="M87" i="201"/>
  <c r="M165" i="201" s="1"/>
  <c r="L87" i="201"/>
  <c r="L165" i="201" s="1"/>
  <c r="K87" i="201"/>
  <c r="K165" i="201" s="1"/>
  <c r="J87" i="201"/>
  <c r="J126" i="201" s="1"/>
  <c r="I87" i="201"/>
  <c r="I126" i="201" s="1"/>
  <c r="G87" i="201"/>
  <c r="F87" i="201"/>
  <c r="E87" i="201"/>
  <c r="D87" i="201"/>
  <c r="D165" i="201" s="1"/>
  <c r="C87" i="201"/>
  <c r="C165" i="201" s="1"/>
  <c r="B87" i="201"/>
  <c r="B165" i="201" s="1"/>
  <c r="O86" i="201"/>
  <c r="O125" i="201" s="1"/>
  <c r="N86" i="201"/>
  <c r="N164" i="201" s="1"/>
  <c r="M86" i="201"/>
  <c r="M164" i="201" s="1"/>
  <c r="L86" i="201"/>
  <c r="L164" i="201" s="1"/>
  <c r="K86" i="201"/>
  <c r="K164" i="201" s="1"/>
  <c r="J86" i="201"/>
  <c r="J164" i="201" s="1"/>
  <c r="D86" i="201"/>
  <c r="D164" i="201" s="1"/>
  <c r="C86" i="201"/>
  <c r="C164" i="201" s="1"/>
  <c r="D85" i="201"/>
  <c r="D124" i="201" s="1"/>
  <c r="C85" i="201"/>
  <c r="C124" i="201" s="1"/>
  <c r="D84" i="201"/>
  <c r="D123" i="201" s="1"/>
  <c r="C84" i="201"/>
  <c r="C162" i="201" s="1"/>
  <c r="D83" i="201"/>
  <c r="D161" i="201" s="1"/>
  <c r="C83" i="201"/>
  <c r="C161" i="201" s="1"/>
  <c r="D82" i="201"/>
  <c r="D160" i="201" s="1"/>
  <c r="C82" i="201"/>
  <c r="C160" i="201" s="1"/>
  <c r="D81" i="201"/>
  <c r="D120" i="201" s="1"/>
  <c r="C81" i="201"/>
  <c r="C159" i="201" s="1"/>
  <c r="D80" i="201"/>
  <c r="D158" i="201" s="1"/>
  <c r="C80" i="201"/>
  <c r="C158" i="201" s="1"/>
  <c r="D79" i="201"/>
  <c r="D157" i="201" s="1"/>
  <c r="C79" i="201"/>
  <c r="C157" i="201" s="1"/>
  <c r="D78" i="201"/>
  <c r="D156" i="201" s="1"/>
  <c r="C78" i="201"/>
  <c r="C156" i="201" s="1"/>
  <c r="D77" i="201"/>
  <c r="D155" i="201" s="1"/>
  <c r="C77" i="201"/>
  <c r="C155" i="201" s="1"/>
  <c r="D76" i="201"/>
  <c r="D154" i="201" s="1"/>
  <c r="C76" i="201"/>
  <c r="C154" i="201" s="1"/>
  <c r="G75" i="201"/>
  <c r="G153" i="201" s="1"/>
  <c r="F75" i="201"/>
  <c r="F153" i="201" s="1"/>
  <c r="E75" i="201"/>
  <c r="E153" i="201" s="1"/>
  <c r="D75" i="201"/>
  <c r="D153" i="201" s="1"/>
  <c r="C75" i="201"/>
  <c r="C114" i="201" s="1"/>
  <c r="B75" i="201"/>
  <c r="B114" i="201" s="1"/>
  <c r="G74" i="201"/>
  <c r="G113" i="201" s="1"/>
  <c r="F74" i="201"/>
  <c r="F152" i="201" s="1"/>
  <c r="E74" i="201"/>
  <c r="E152" i="201" s="1"/>
  <c r="D74" i="201"/>
  <c r="D152" i="201" s="1"/>
  <c r="C74" i="201"/>
  <c r="C152" i="201" s="1"/>
  <c r="B74" i="201"/>
  <c r="B152" i="201" s="1"/>
  <c r="O69" i="201"/>
  <c r="O147" i="201" s="1"/>
  <c r="N69" i="201"/>
  <c r="N147" i="201" s="1"/>
  <c r="M69" i="201"/>
  <c r="M108" i="201" s="1"/>
  <c r="L69" i="201"/>
  <c r="K69" i="201"/>
  <c r="J69" i="201"/>
  <c r="G69" i="201"/>
  <c r="G147" i="201" s="1"/>
  <c r="F69" i="201"/>
  <c r="F147" i="201" s="1"/>
  <c r="E69" i="201"/>
  <c r="E147" i="201" s="1"/>
  <c r="D69" i="201"/>
  <c r="D147" i="201" s="1"/>
  <c r="C69" i="201"/>
  <c r="C147" i="201" s="1"/>
  <c r="B69" i="201"/>
  <c r="O67" i="201"/>
  <c r="N67" i="201"/>
  <c r="M67" i="201"/>
  <c r="L67" i="201"/>
  <c r="K67" i="201"/>
  <c r="J67" i="201"/>
  <c r="I67" i="201"/>
  <c r="H67" i="201"/>
  <c r="G67" i="201"/>
  <c r="F67" i="201"/>
  <c r="E67" i="201"/>
  <c r="D67" i="201"/>
  <c r="C67" i="201"/>
  <c r="O66" i="201"/>
  <c r="O105" i="201" s="1"/>
  <c r="N66" i="201"/>
  <c r="N144" i="201" s="1"/>
  <c r="M66" i="201"/>
  <c r="L66" i="201"/>
  <c r="K66" i="201"/>
  <c r="K144" i="201" s="1"/>
  <c r="J66" i="201"/>
  <c r="J144" i="201" s="1"/>
  <c r="I66" i="201"/>
  <c r="I144" i="201" s="1"/>
  <c r="H66" i="201"/>
  <c r="H144" i="201" s="1"/>
  <c r="G66" i="201"/>
  <c r="G105" i="201" s="1"/>
  <c r="F66" i="201"/>
  <c r="F105" i="201" s="1"/>
  <c r="E66" i="201"/>
  <c r="D66" i="201"/>
  <c r="C66" i="201"/>
  <c r="C144" i="201" s="1"/>
  <c r="A63" i="201"/>
  <c r="A52" i="201"/>
  <c r="A50" i="201"/>
  <c r="G44" i="201"/>
  <c r="F44" i="201"/>
  <c r="E44" i="201"/>
  <c r="I43" i="201"/>
  <c r="I96" i="201" s="1"/>
  <c r="G43" i="201"/>
  <c r="F43" i="201"/>
  <c r="E43" i="201"/>
  <c r="G42" i="201"/>
  <c r="F42" i="201"/>
  <c r="E42" i="201"/>
  <c r="G41" i="201"/>
  <c r="F41" i="201"/>
  <c r="E41" i="201"/>
  <c r="O40" i="201"/>
  <c r="N40" i="201"/>
  <c r="M40" i="201"/>
  <c r="J40" i="201"/>
  <c r="J94" i="201" s="1"/>
  <c r="J133" i="201" s="1"/>
  <c r="J172" i="201" s="1"/>
  <c r="G40" i="201"/>
  <c r="F40" i="201"/>
  <c r="E40" i="201"/>
  <c r="O39" i="201"/>
  <c r="N39" i="201"/>
  <c r="M39" i="201"/>
  <c r="G39" i="201"/>
  <c r="F39" i="201"/>
  <c r="E39" i="201"/>
  <c r="O38" i="201"/>
  <c r="N38" i="201"/>
  <c r="M38" i="201"/>
  <c r="I38" i="201"/>
  <c r="I92" i="201" s="1"/>
  <c r="I131" i="201" s="1"/>
  <c r="I170" i="201" s="1"/>
  <c r="G38" i="201"/>
  <c r="F38" i="201"/>
  <c r="E38" i="201"/>
  <c r="J37" i="201"/>
  <c r="J91" i="201" s="1"/>
  <c r="J130" i="201" s="1"/>
  <c r="J169" i="201" s="1"/>
  <c r="I37" i="201"/>
  <c r="I91" i="201" s="1"/>
  <c r="I130" i="201" s="1"/>
  <c r="I169" i="201" s="1"/>
  <c r="G37" i="201"/>
  <c r="F37" i="201"/>
  <c r="E37" i="201"/>
  <c r="G36" i="201"/>
  <c r="F36" i="201"/>
  <c r="E36" i="201"/>
  <c r="G35" i="201"/>
  <c r="F35" i="201"/>
  <c r="E35" i="201"/>
  <c r="A34" i="201"/>
  <c r="A88" i="201" s="1"/>
  <c r="F33" i="201"/>
  <c r="I32" i="201"/>
  <c r="I86" i="201" s="1"/>
  <c r="G32" i="201"/>
  <c r="F32" i="201"/>
  <c r="E32" i="201"/>
  <c r="B32" i="201"/>
  <c r="B86" i="201" s="1"/>
  <c r="A32" i="201"/>
  <c r="A45" i="201" s="1"/>
  <c r="A99" i="201" s="1"/>
  <c r="G31" i="201"/>
  <c r="F31" i="201"/>
  <c r="E31" i="201"/>
  <c r="B31" i="201"/>
  <c r="B85" i="201" s="1"/>
  <c r="A31" i="201"/>
  <c r="A85" i="201" s="1"/>
  <c r="G30" i="201"/>
  <c r="F30" i="201"/>
  <c r="E30" i="201"/>
  <c r="B30" i="201"/>
  <c r="B84" i="201" s="1"/>
  <c r="A30" i="201"/>
  <c r="A84" i="201" s="1"/>
  <c r="I29" i="201"/>
  <c r="G29" i="201"/>
  <c r="F29" i="201"/>
  <c r="N62" i="201" s="1"/>
  <c r="E29" i="201"/>
  <c r="M62" i="201" s="1"/>
  <c r="B29" i="201"/>
  <c r="B83" i="201" s="1"/>
  <c r="A29" i="201"/>
  <c r="A42" i="201" s="1"/>
  <c r="A96" i="201" s="1"/>
  <c r="G28" i="201"/>
  <c r="F28" i="201"/>
  <c r="E28" i="201"/>
  <c r="B28" i="201"/>
  <c r="B82" i="201" s="1"/>
  <c r="A28" i="201"/>
  <c r="A82" i="201" s="1"/>
  <c r="I27" i="201"/>
  <c r="I80" i="201" s="1"/>
  <c r="G27" i="201"/>
  <c r="F27" i="201"/>
  <c r="E27" i="201"/>
  <c r="B27" i="201"/>
  <c r="B81" i="201" s="1"/>
  <c r="A27" i="201"/>
  <c r="A40" i="201" s="1"/>
  <c r="A94" i="201" s="1"/>
  <c r="O26" i="201"/>
  <c r="N26" i="201"/>
  <c r="M26" i="201"/>
  <c r="I26" i="201"/>
  <c r="I79" i="201" s="1"/>
  <c r="G26" i="201"/>
  <c r="F26" i="201"/>
  <c r="E26" i="201"/>
  <c r="B26" i="201"/>
  <c r="B39" i="201" s="1"/>
  <c r="B93" i="201" s="1"/>
  <c r="A26" i="201"/>
  <c r="A80" i="201" s="1"/>
  <c r="I25" i="201"/>
  <c r="I78" i="201" s="1"/>
  <c r="G25" i="201"/>
  <c r="F25" i="201"/>
  <c r="E25" i="201"/>
  <c r="B25" i="201"/>
  <c r="B79" i="201" s="1"/>
  <c r="A25" i="201"/>
  <c r="A79" i="201" s="1"/>
  <c r="O24" i="201"/>
  <c r="N24" i="201"/>
  <c r="M24" i="201"/>
  <c r="I24" i="201"/>
  <c r="I77" i="201" s="1"/>
  <c r="G24" i="201"/>
  <c r="F24" i="201"/>
  <c r="E24" i="201"/>
  <c r="B24" i="201"/>
  <c r="B78" i="201" s="1"/>
  <c r="A24" i="201"/>
  <c r="J39" i="201" s="1"/>
  <c r="J93" i="201" s="1"/>
  <c r="J132" i="201" s="1"/>
  <c r="J171" i="201" s="1"/>
  <c r="O23" i="201"/>
  <c r="N23" i="201"/>
  <c r="M23" i="201"/>
  <c r="I23" i="201"/>
  <c r="I76" i="201" s="1"/>
  <c r="G23" i="201"/>
  <c r="F23" i="201"/>
  <c r="E23" i="201"/>
  <c r="B23" i="201"/>
  <c r="B36" i="201" s="1"/>
  <c r="B90" i="201" s="1"/>
  <c r="A23" i="201"/>
  <c r="A77" i="201" s="1"/>
  <c r="I22" i="201"/>
  <c r="I75" i="201" s="1"/>
  <c r="G22" i="201"/>
  <c r="F22" i="201"/>
  <c r="E22" i="201"/>
  <c r="B22" i="201"/>
  <c r="B76" i="201" s="1"/>
  <c r="A22" i="201"/>
  <c r="A35" i="201" s="1"/>
  <c r="A89" i="201" s="1"/>
  <c r="A21" i="201"/>
  <c r="A33" i="201" s="1"/>
  <c r="A87" i="201" s="1"/>
  <c r="O19" i="201"/>
  <c r="X16" i="123" s="1"/>
  <c r="N19" i="201"/>
  <c r="T16" i="123" s="1"/>
  <c r="M19" i="201"/>
  <c r="P16" i="123" s="1"/>
  <c r="I19" i="201"/>
  <c r="I73" i="201" s="1"/>
  <c r="I18" i="201"/>
  <c r="I72" i="201" s="1"/>
  <c r="G18" i="201"/>
  <c r="O53" i="201" s="1"/>
  <c r="F18" i="201"/>
  <c r="N53" i="201" s="1"/>
  <c r="E18" i="201"/>
  <c r="M53" i="201" s="1"/>
  <c r="D16" i="201"/>
  <c r="L16" i="201" s="1"/>
  <c r="L70" i="201" s="1"/>
  <c r="A15" i="201"/>
  <c r="A69" i="201" s="1"/>
  <c r="A13" i="201"/>
  <c r="A2" i="201"/>
  <c r="A14" i="201" s="1"/>
  <c r="A66" i="201" s="1"/>
  <c r="I293" i="200"/>
  <c r="I291" i="200"/>
  <c r="I289" i="200"/>
  <c r="O287" i="200"/>
  <c r="N287" i="200"/>
  <c r="M287" i="200"/>
  <c r="I255" i="200"/>
  <c r="I253" i="200"/>
  <c r="I251" i="200"/>
  <c r="O249" i="200"/>
  <c r="N249" i="200"/>
  <c r="M249" i="200"/>
  <c r="I217" i="200"/>
  <c r="I215" i="200"/>
  <c r="I213" i="200"/>
  <c r="O211" i="200"/>
  <c r="N211" i="200"/>
  <c r="M211" i="200"/>
  <c r="G180" i="200"/>
  <c r="F180" i="200"/>
  <c r="E177" i="200"/>
  <c r="E178" i="200" s="1"/>
  <c r="E180" i="200" s="1"/>
  <c r="C174" i="200"/>
  <c r="D173" i="200"/>
  <c r="C170" i="200"/>
  <c r="D169" i="200"/>
  <c r="F166" i="200"/>
  <c r="G165" i="200"/>
  <c r="G177" i="200" s="1"/>
  <c r="G178" i="200" s="1"/>
  <c r="F165" i="200"/>
  <c r="F177" i="200" s="1"/>
  <c r="F178" i="200" s="1"/>
  <c r="E165" i="200"/>
  <c r="B165" i="200"/>
  <c r="D164" i="200"/>
  <c r="D160" i="200"/>
  <c r="C160" i="200"/>
  <c r="D156" i="200"/>
  <c r="C156" i="200"/>
  <c r="E153" i="200"/>
  <c r="D153" i="200"/>
  <c r="C152" i="200"/>
  <c r="B152" i="200"/>
  <c r="O150" i="200"/>
  <c r="N150" i="200"/>
  <c r="M150" i="200"/>
  <c r="L150" i="200"/>
  <c r="K150" i="200"/>
  <c r="J150" i="200"/>
  <c r="O147" i="200"/>
  <c r="N147" i="200"/>
  <c r="E147" i="200"/>
  <c r="D147" i="200"/>
  <c r="A146" i="200"/>
  <c r="O145" i="200"/>
  <c r="N145" i="200"/>
  <c r="M145" i="200"/>
  <c r="L145" i="200"/>
  <c r="K145" i="200"/>
  <c r="J145" i="200"/>
  <c r="I145" i="200"/>
  <c r="H145" i="200"/>
  <c r="G145" i="200"/>
  <c r="F145" i="200"/>
  <c r="E145" i="200"/>
  <c r="D145" i="200"/>
  <c r="C145" i="200"/>
  <c r="I144" i="200"/>
  <c r="H144" i="200"/>
  <c r="C138" i="200"/>
  <c r="D134" i="200"/>
  <c r="D130" i="200"/>
  <c r="D127" i="200"/>
  <c r="J126" i="200"/>
  <c r="G126" i="200"/>
  <c r="G138" i="200" s="1"/>
  <c r="G139" i="200" s="1"/>
  <c r="F126" i="200"/>
  <c r="F138" i="200" s="1"/>
  <c r="F139" i="200" s="1"/>
  <c r="F141" i="200" s="1"/>
  <c r="E126" i="200"/>
  <c r="E138" i="200" s="1"/>
  <c r="E139" i="200" s="1"/>
  <c r="E141" i="200" s="1"/>
  <c r="B126" i="200"/>
  <c r="O125" i="200"/>
  <c r="D124" i="200"/>
  <c r="C121" i="200"/>
  <c r="D120" i="200"/>
  <c r="C117" i="200"/>
  <c r="D116" i="200"/>
  <c r="D114" i="200"/>
  <c r="C114" i="200"/>
  <c r="B113" i="200"/>
  <c r="O111" i="200"/>
  <c r="N111" i="200"/>
  <c r="M111" i="200"/>
  <c r="L111" i="200"/>
  <c r="K111" i="200"/>
  <c r="J111" i="200"/>
  <c r="N108" i="200"/>
  <c r="D108" i="200"/>
  <c r="C108" i="200"/>
  <c r="A107" i="200"/>
  <c r="O106" i="200"/>
  <c r="N106" i="200"/>
  <c r="M106" i="200"/>
  <c r="L106" i="200"/>
  <c r="K106" i="200"/>
  <c r="J106" i="200"/>
  <c r="I106" i="200"/>
  <c r="H106" i="200"/>
  <c r="G106" i="200"/>
  <c r="F106" i="200"/>
  <c r="E106" i="200"/>
  <c r="D106" i="200"/>
  <c r="C106" i="200"/>
  <c r="O105" i="200"/>
  <c r="H105" i="200"/>
  <c r="G105" i="200"/>
  <c r="G100" i="200"/>
  <c r="C99" i="200"/>
  <c r="C177" i="200" s="1"/>
  <c r="D98" i="200"/>
  <c r="C98" i="200"/>
  <c r="C137" i="200" s="1"/>
  <c r="D97" i="200"/>
  <c r="D136" i="200" s="1"/>
  <c r="C97" i="200"/>
  <c r="C136" i="200" s="1"/>
  <c r="D96" i="200"/>
  <c r="D135" i="200" s="1"/>
  <c r="C96" i="200"/>
  <c r="C135" i="200" s="1"/>
  <c r="D95" i="200"/>
  <c r="C95" i="200"/>
  <c r="C173" i="200" s="1"/>
  <c r="D94" i="200"/>
  <c r="C94" i="200"/>
  <c r="C133" i="200" s="1"/>
  <c r="D93" i="200"/>
  <c r="D132" i="200" s="1"/>
  <c r="C93" i="200"/>
  <c r="C132" i="200" s="1"/>
  <c r="D92" i="200"/>
  <c r="D131" i="200" s="1"/>
  <c r="C92" i="200"/>
  <c r="C131" i="200" s="1"/>
  <c r="D91" i="200"/>
  <c r="C91" i="200"/>
  <c r="C169" i="200" s="1"/>
  <c r="D90" i="200"/>
  <c r="C90" i="200"/>
  <c r="C129" i="200" s="1"/>
  <c r="D89" i="200"/>
  <c r="D128" i="200" s="1"/>
  <c r="C89" i="200"/>
  <c r="C128" i="200" s="1"/>
  <c r="G88" i="200"/>
  <c r="G127" i="200" s="1"/>
  <c r="F88" i="200"/>
  <c r="F127" i="200" s="1"/>
  <c r="E88" i="200"/>
  <c r="E166" i="200" s="1"/>
  <c r="D88" i="200"/>
  <c r="D166" i="200" s="1"/>
  <c r="C88" i="200"/>
  <c r="C127" i="200" s="1"/>
  <c r="B88" i="200"/>
  <c r="B127" i="200" s="1"/>
  <c r="O87" i="200"/>
  <c r="O126" i="200" s="1"/>
  <c r="N87" i="200"/>
  <c r="N126" i="200" s="1"/>
  <c r="M87" i="200"/>
  <c r="M126" i="200" s="1"/>
  <c r="L87" i="200"/>
  <c r="L126" i="200" s="1"/>
  <c r="K87" i="200"/>
  <c r="K165" i="200" s="1"/>
  <c r="J87" i="200"/>
  <c r="J165" i="200" s="1"/>
  <c r="I87" i="200"/>
  <c r="I126" i="200" s="1"/>
  <c r="G87" i="200"/>
  <c r="G99" i="200" s="1"/>
  <c r="F87" i="200"/>
  <c r="F99" i="200" s="1"/>
  <c r="E87" i="200"/>
  <c r="E99" i="200" s="1"/>
  <c r="D87" i="200"/>
  <c r="D126" i="200" s="1"/>
  <c r="C87" i="200"/>
  <c r="C126" i="200" s="1"/>
  <c r="B87" i="200"/>
  <c r="O86" i="200"/>
  <c r="O164" i="200" s="1"/>
  <c r="N86" i="200"/>
  <c r="N125" i="200" s="1"/>
  <c r="M86" i="200"/>
  <c r="M125" i="200" s="1"/>
  <c r="L86" i="200"/>
  <c r="L125" i="200" s="1"/>
  <c r="K86" i="200"/>
  <c r="K125" i="200" s="1"/>
  <c r="J86" i="200"/>
  <c r="J125" i="200" s="1"/>
  <c r="D86" i="200"/>
  <c r="D125" i="200" s="1"/>
  <c r="C86" i="200"/>
  <c r="C164" i="200" s="1"/>
  <c r="D85" i="200"/>
  <c r="D163" i="200" s="1"/>
  <c r="C85" i="200"/>
  <c r="C124" i="200" s="1"/>
  <c r="D84" i="200"/>
  <c r="D123" i="200" s="1"/>
  <c r="C84" i="200"/>
  <c r="C123" i="200" s="1"/>
  <c r="D83" i="200"/>
  <c r="D122" i="200" s="1"/>
  <c r="C83" i="200"/>
  <c r="C122" i="200" s="1"/>
  <c r="O82" i="200"/>
  <c r="N82" i="200"/>
  <c r="D82" i="200"/>
  <c r="D121" i="200" s="1"/>
  <c r="C82" i="200"/>
  <c r="D81" i="200"/>
  <c r="D159" i="200" s="1"/>
  <c r="C81" i="200"/>
  <c r="C120" i="200" s="1"/>
  <c r="O80" i="200"/>
  <c r="Y15" i="123" s="1"/>
  <c r="N80" i="200"/>
  <c r="U15" i="123" s="1"/>
  <c r="D80" i="200"/>
  <c r="C80" i="200"/>
  <c r="D79" i="200"/>
  <c r="D118" i="200" s="1"/>
  <c r="C79" i="200"/>
  <c r="C118" i="200" s="1"/>
  <c r="D78" i="200"/>
  <c r="D117" i="200" s="1"/>
  <c r="C78" i="200"/>
  <c r="D77" i="200"/>
  <c r="D155" i="200" s="1"/>
  <c r="C77" i="200"/>
  <c r="C116" i="200" s="1"/>
  <c r="D76" i="200"/>
  <c r="C76" i="200"/>
  <c r="G75" i="200"/>
  <c r="G114" i="200" s="1"/>
  <c r="F75" i="200"/>
  <c r="F114" i="200" s="1"/>
  <c r="E75" i="200"/>
  <c r="E114" i="200" s="1"/>
  <c r="D75" i="200"/>
  <c r="C75" i="200"/>
  <c r="C153" i="200" s="1"/>
  <c r="B75" i="200"/>
  <c r="B114" i="200" s="1"/>
  <c r="G74" i="200"/>
  <c r="F74" i="200"/>
  <c r="E74" i="200"/>
  <c r="E113" i="200" s="1"/>
  <c r="D74" i="200"/>
  <c r="D113" i="200" s="1"/>
  <c r="C74" i="200"/>
  <c r="C113" i="200" s="1"/>
  <c r="B74" i="200"/>
  <c r="O69" i="200"/>
  <c r="O108" i="200" s="1"/>
  <c r="N69" i="200"/>
  <c r="M69" i="200"/>
  <c r="M147" i="200" s="1"/>
  <c r="L69" i="200"/>
  <c r="K69" i="200"/>
  <c r="K108" i="200" s="1"/>
  <c r="J69" i="200"/>
  <c r="J108" i="200" s="1"/>
  <c r="G69" i="200"/>
  <c r="G108" i="200" s="1"/>
  <c r="F69" i="200"/>
  <c r="F108" i="200" s="1"/>
  <c r="E69" i="200"/>
  <c r="E108" i="200" s="1"/>
  <c r="D69" i="200"/>
  <c r="C69" i="200"/>
  <c r="C147" i="200" s="1"/>
  <c r="B69" i="200"/>
  <c r="O67" i="200"/>
  <c r="N67" i="200"/>
  <c r="M67" i="200"/>
  <c r="L67" i="200"/>
  <c r="K67" i="200"/>
  <c r="J67" i="200"/>
  <c r="I67" i="200"/>
  <c r="H67" i="200"/>
  <c r="G67" i="200"/>
  <c r="F67" i="200"/>
  <c r="E67" i="200"/>
  <c r="D67" i="200"/>
  <c r="C67" i="200"/>
  <c r="O66" i="200"/>
  <c r="O144" i="200" s="1"/>
  <c r="N66" i="200"/>
  <c r="M66" i="200"/>
  <c r="L66" i="200"/>
  <c r="L105" i="200" s="1"/>
  <c r="K66" i="200"/>
  <c r="K105" i="200" s="1"/>
  <c r="J66" i="200"/>
  <c r="J105" i="200" s="1"/>
  <c r="I66" i="200"/>
  <c r="I105" i="200" s="1"/>
  <c r="H66" i="200"/>
  <c r="G66" i="200"/>
  <c r="G144" i="200" s="1"/>
  <c r="F66" i="200"/>
  <c r="E66" i="200"/>
  <c r="D66" i="200"/>
  <c r="D105" i="200" s="1"/>
  <c r="C66" i="200"/>
  <c r="C105" i="200" s="1"/>
  <c r="A63" i="200"/>
  <c r="A62" i="200"/>
  <c r="A61" i="200"/>
  <c r="A60" i="200"/>
  <c r="A59" i="200"/>
  <c r="A58" i="200"/>
  <c r="A57" i="200"/>
  <c r="A56" i="200"/>
  <c r="A55" i="200"/>
  <c r="A54" i="200"/>
  <c r="A53" i="200"/>
  <c r="A52" i="200"/>
  <c r="A50" i="200"/>
  <c r="G44" i="200"/>
  <c r="F44" i="200"/>
  <c r="E44" i="200"/>
  <c r="I43" i="200"/>
  <c r="I96" i="200" s="1"/>
  <c r="G43" i="200"/>
  <c r="F43" i="200"/>
  <c r="E43" i="200"/>
  <c r="G42" i="200"/>
  <c r="F42" i="200"/>
  <c r="E42" i="200"/>
  <c r="G41" i="200"/>
  <c r="F41" i="200"/>
  <c r="E41" i="200"/>
  <c r="O40" i="200"/>
  <c r="N40" i="200"/>
  <c r="M40" i="200"/>
  <c r="J40" i="200"/>
  <c r="J94" i="200" s="1"/>
  <c r="J133" i="200" s="1"/>
  <c r="J172" i="200" s="1"/>
  <c r="G40" i="200"/>
  <c r="F40" i="200"/>
  <c r="E40" i="200"/>
  <c r="O39" i="200"/>
  <c r="N39" i="200"/>
  <c r="M39" i="200"/>
  <c r="G39" i="200"/>
  <c r="F39" i="200"/>
  <c r="E39" i="200"/>
  <c r="O38" i="200"/>
  <c r="N38" i="200"/>
  <c r="M38" i="200"/>
  <c r="I38" i="200"/>
  <c r="I92" i="200" s="1"/>
  <c r="I131" i="200" s="1"/>
  <c r="I170" i="200" s="1"/>
  <c r="G38" i="200"/>
  <c r="F38" i="200"/>
  <c r="E38" i="200"/>
  <c r="J37" i="200"/>
  <c r="J91" i="200" s="1"/>
  <c r="J130" i="200" s="1"/>
  <c r="J169" i="200" s="1"/>
  <c r="I37" i="200"/>
  <c r="I91" i="200" s="1"/>
  <c r="I130" i="200" s="1"/>
  <c r="I169" i="200" s="1"/>
  <c r="G37" i="200"/>
  <c r="F37" i="200"/>
  <c r="E37" i="200"/>
  <c r="G36" i="200"/>
  <c r="F36" i="200"/>
  <c r="E36" i="200"/>
  <c r="G35" i="200"/>
  <c r="F35" i="200"/>
  <c r="E35" i="200"/>
  <c r="A34" i="200"/>
  <c r="A88" i="200" s="1"/>
  <c r="G33" i="200"/>
  <c r="F33" i="200"/>
  <c r="E33" i="200"/>
  <c r="I32" i="200"/>
  <c r="I86" i="200" s="1"/>
  <c r="G32" i="200"/>
  <c r="F32" i="200"/>
  <c r="E32" i="200"/>
  <c r="B32" i="200"/>
  <c r="B86" i="200" s="1"/>
  <c r="A32" i="200"/>
  <c r="A45" i="200" s="1"/>
  <c r="A99" i="200" s="1"/>
  <c r="G31" i="200"/>
  <c r="F31" i="200"/>
  <c r="E31" i="200"/>
  <c r="B31" i="200"/>
  <c r="B85" i="200" s="1"/>
  <c r="A31" i="200"/>
  <c r="A85" i="200" s="1"/>
  <c r="G30" i="200"/>
  <c r="F30" i="200"/>
  <c r="E30" i="200"/>
  <c r="B30" i="200"/>
  <c r="B84" i="200" s="1"/>
  <c r="A30" i="200"/>
  <c r="A84" i="200" s="1"/>
  <c r="I29" i="200"/>
  <c r="I82" i="200" s="1"/>
  <c r="G29" i="200"/>
  <c r="O62" i="200" s="1"/>
  <c r="F29" i="200"/>
  <c r="N62" i="200" s="1"/>
  <c r="E29" i="200"/>
  <c r="H14" i="113" s="1"/>
  <c r="B29" i="200"/>
  <c r="B83" i="200" s="1"/>
  <c r="A29" i="200"/>
  <c r="A42" i="200" s="1"/>
  <c r="A96" i="200" s="1"/>
  <c r="G28" i="200"/>
  <c r="F28" i="200"/>
  <c r="E28" i="200"/>
  <c r="B28" i="200"/>
  <c r="B82" i="200" s="1"/>
  <c r="A28" i="200"/>
  <c r="A82" i="200" s="1"/>
  <c r="I27" i="200"/>
  <c r="I80" i="200" s="1"/>
  <c r="G27" i="200"/>
  <c r="F27" i="200"/>
  <c r="E27" i="200"/>
  <c r="B27" i="200"/>
  <c r="B81" i="200" s="1"/>
  <c r="A27" i="200"/>
  <c r="A40" i="200" s="1"/>
  <c r="A94" i="200" s="1"/>
  <c r="O26" i="200"/>
  <c r="N26" i="200"/>
  <c r="M26" i="200"/>
  <c r="I26" i="200"/>
  <c r="I79" i="200" s="1"/>
  <c r="G26" i="200"/>
  <c r="F26" i="200"/>
  <c r="E26" i="200"/>
  <c r="B26" i="200"/>
  <c r="B39" i="200" s="1"/>
  <c r="B93" i="200" s="1"/>
  <c r="A26" i="200"/>
  <c r="A80" i="200" s="1"/>
  <c r="I25" i="200"/>
  <c r="I78" i="200" s="1"/>
  <c r="G25" i="200"/>
  <c r="F25" i="200"/>
  <c r="E25" i="200"/>
  <c r="B25" i="200"/>
  <c r="B79" i="200" s="1"/>
  <c r="A25" i="200"/>
  <c r="A79" i="200" s="1"/>
  <c r="O24" i="200"/>
  <c r="N24" i="200"/>
  <c r="M24" i="200"/>
  <c r="I24" i="200"/>
  <c r="I77" i="200" s="1"/>
  <c r="G24" i="200"/>
  <c r="F24" i="200"/>
  <c r="E24" i="200"/>
  <c r="B24" i="200"/>
  <c r="B78" i="200" s="1"/>
  <c r="A24" i="200"/>
  <c r="J39" i="200" s="1"/>
  <c r="J93" i="200" s="1"/>
  <c r="J132" i="200" s="1"/>
  <c r="J171" i="200" s="1"/>
  <c r="O23" i="200"/>
  <c r="N23" i="200"/>
  <c r="M23" i="200"/>
  <c r="I23" i="200"/>
  <c r="I76" i="200" s="1"/>
  <c r="G23" i="200"/>
  <c r="F23" i="200"/>
  <c r="E23" i="200"/>
  <c r="M56" i="200" s="1"/>
  <c r="B23" i="200"/>
  <c r="B77" i="200" s="1"/>
  <c r="A23" i="200"/>
  <c r="A77" i="200" s="1"/>
  <c r="I22" i="200"/>
  <c r="G22" i="200"/>
  <c r="N14" i="113" s="1"/>
  <c r="N9" i="183" s="1"/>
  <c r="F22" i="200"/>
  <c r="N56" i="200" s="1"/>
  <c r="E22" i="200"/>
  <c r="B22" i="200"/>
  <c r="B76" i="200" s="1"/>
  <c r="A22" i="200"/>
  <c r="A76" i="200" s="1"/>
  <c r="A21" i="200"/>
  <c r="A33" i="200" s="1"/>
  <c r="A87" i="200" s="1"/>
  <c r="O19" i="200"/>
  <c r="X14" i="123" s="1"/>
  <c r="N19" i="200"/>
  <c r="T14" i="123" s="1"/>
  <c r="M19" i="200"/>
  <c r="P14" i="123" s="1"/>
  <c r="I19" i="200"/>
  <c r="I73" i="200" s="1"/>
  <c r="I18" i="200"/>
  <c r="I72" i="200" s="1"/>
  <c r="G18" i="200"/>
  <c r="O53" i="200" s="1"/>
  <c r="F18" i="200"/>
  <c r="N53" i="200" s="1"/>
  <c r="E18" i="200"/>
  <c r="M53" i="200" s="1"/>
  <c r="D16" i="200"/>
  <c r="D70" i="200" s="1"/>
  <c r="A15" i="200"/>
  <c r="A69" i="200" s="1"/>
  <c r="A13" i="200"/>
  <c r="A2" i="200"/>
  <c r="A14" i="200" s="1"/>
  <c r="A66" i="200" s="1"/>
  <c r="I295" i="199"/>
  <c r="I293" i="199"/>
  <c r="I291" i="199"/>
  <c r="O289" i="199"/>
  <c r="N289" i="199"/>
  <c r="M289" i="199"/>
  <c r="E256" i="199"/>
  <c r="G243" i="199"/>
  <c r="F243" i="199"/>
  <c r="E243" i="199"/>
  <c r="E255" i="199" s="1"/>
  <c r="L242" i="199"/>
  <c r="F230" i="199"/>
  <c r="A224" i="199"/>
  <c r="O223" i="199"/>
  <c r="N223" i="199"/>
  <c r="M223" i="199"/>
  <c r="L223" i="199"/>
  <c r="K223" i="199"/>
  <c r="J223" i="199"/>
  <c r="I223" i="199"/>
  <c r="H223" i="199"/>
  <c r="G223" i="199"/>
  <c r="F223" i="199"/>
  <c r="E223" i="199"/>
  <c r="D223" i="199"/>
  <c r="C223" i="199"/>
  <c r="E216" i="199"/>
  <c r="E217" i="199" s="1"/>
  <c r="D214" i="199"/>
  <c r="D210" i="199"/>
  <c r="D206" i="199"/>
  <c r="O204" i="199"/>
  <c r="G204" i="199"/>
  <c r="G216" i="199" s="1"/>
  <c r="G217" i="199" s="1"/>
  <c r="G219" i="199" s="1"/>
  <c r="Q13" i="113" s="1"/>
  <c r="W13" i="123" s="1"/>
  <c r="F204" i="199"/>
  <c r="F216" i="199" s="1"/>
  <c r="F217" i="199" s="1"/>
  <c r="E204" i="199"/>
  <c r="L203" i="199"/>
  <c r="C201" i="199"/>
  <c r="C197" i="199"/>
  <c r="C193" i="199"/>
  <c r="F191" i="199"/>
  <c r="O189" i="199"/>
  <c r="N189" i="199"/>
  <c r="M189" i="199"/>
  <c r="L189" i="199"/>
  <c r="K189" i="199"/>
  <c r="J189" i="199"/>
  <c r="J186" i="199"/>
  <c r="O184" i="199"/>
  <c r="N184" i="199"/>
  <c r="M184" i="199"/>
  <c r="L184" i="199"/>
  <c r="K184" i="199"/>
  <c r="J184" i="199"/>
  <c r="I184" i="199"/>
  <c r="H184" i="199"/>
  <c r="G184" i="199"/>
  <c r="F184" i="199"/>
  <c r="E184" i="199"/>
  <c r="D184" i="199"/>
  <c r="C184" i="199"/>
  <c r="K183" i="199"/>
  <c r="C183" i="199"/>
  <c r="G178" i="199"/>
  <c r="G180" i="199" s="1"/>
  <c r="Q12" i="113" s="1"/>
  <c r="W12" i="123" s="1"/>
  <c r="G177" i="199"/>
  <c r="F177" i="199"/>
  <c r="F178" i="199" s="1"/>
  <c r="D174" i="199"/>
  <c r="D170" i="199"/>
  <c r="G166" i="199"/>
  <c r="M165" i="199"/>
  <c r="G165" i="199"/>
  <c r="F165" i="199"/>
  <c r="E165" i="199"/>
  <c r="E177" i="199" s="1"/>
  <c r="D165" i="199"/>
  <c r="J164" i="199"/>
  <c r="C161" i="199"/>
  <c r="C157" i="199"/>
  <c r="F153" i="199"/>
  <c r="D152" i="199"/>
  <c r="O150" i="199"/>
  <c r="N150" i="199"/>
  <c r="M150" i="199"/>
  <c r="L150" i="199"/>
  <c r="K150" i="199"/>
  <c r="J150" i="199"/>
  <c r="L147" i="199"/>
  <c r="G147" i="199"/>
  <c r="F147" i="199"/>
  <c r="B147" i="199"/>
  <c r="O145" i="199"/>
  <c r="N145" i="199"/>
  <c r="M145" i="199"/>
  <c r="L145" i="199"/>
  <c r="K145" i="199"/>
  <c r="J145" i="199"/>
  <c r="I145" i="199"/>
  <c r="H145" i="199"/>
  <c r="G145" i="199"/>
  <c r="F145" i="199"/>
  <c r="E145" i="199"/>
  <c r="D145" i="199"/>
  <c r="C145" i="199"/>
  <c r="M144" i="199"/>
  <c r="J144" i="199"/>
  <c r="I144" i="199"/>
  <c r="E144" i="199"/>
  <c r="E139" i="199"/>
  <c r="E141" i="199" s="1"/>
  <c r="E138" i="199"/>
  <c r="D136" i="199"/>
  <c r="D253" i="199" s="1"/>
  <c r="C135" i="199"/>
  <c r="C252" i="199" s="1"/>
  <c r="D134" i="199"/>
  <c r="D251" i="199" s="1"/>
  <c r="D132" i="199"/>
  <c r="D249" i="199" s="1"/>
  <c r="C131" i="199"/>
  <c r="C248" i="199" s="1"/>
  <c r="D130" i="199"/>
  <c r="D247" i="199" s="1"/>
  <c r="D128" i="199"/>
  <c r="D245" i="199" s="1"/>
  <c r="F127" i="199"/>
  <c r="F244" i="199" s="1"/>
  <c r="E127" i="199"/>
  <c r="E244" i="199" s="1"/>
  <c r="O126" i="199"/>
  <c r="O243" i="199" s="1"/>
  <c r="L126" i="199"/>
  <c r="L243" i="199" s="1"/>
  <c r="K126" i="199"/>
  <c r="K243" i="199" s="1"/>
  <c r="G126" i="199"/>
  <c r="G138" i="199" s="1"/>
  <c r="G139" i="199" s="1"/>
  <c r="G141" i="199" s="1"/>
  <c r="F126" i="199"/>
  <c r="F138" i="199" s="1"/>
  <c r="E126" i="199"/>
  <c r="C126" i="199"/>
  <c r="C243" i="199" s="1"/>
  <c r="B126" i="199"/>
  <c r="B243" i="199" s="1"/>
  <c r="L125" i="199"/>
  <c r="D125" i="199"/>
  <c r="D242" i="199" s="1"/>
  <c r="C125" i="199"/>
  <c r="C242" i="199" s="1"/>
  <c r="C123" i="199"/>
  <c r="C240" i="199" s="1"/>
  <c r="D121" i="199"/>
  <c r="D238" i="199" s="1"/>
  <c r="C121" i="199"/>
  <c r="C238" i="199" s="1"/>
  <c r="C119" i="199"/>
  <c r="C236" i="199" s="1"/>
  <c r="D117" i="199"/>
  <c r="D234" i="199" s="1"/>
  <c r="C117" i="199"/>
  <c r="C234" i="199" s="1"/>
  <c r="C115" i="199"/>
  <c r="C232" i="199" s="1"/>
  <c r="E114" i="199"/>
  <c r="E231" i="199" s="1"/>
  <c r="D114" i="199"/>
  <c r="D231" i="199" s="1"/>
  <c r="F113" i="199"/>
  <c r="C113" i="199"/>
  <c r="C230" i="199" s="1"/>
  <c r="B113" i="199"/>
  <c r="B230" i="199" s="1"/>
  <c r="O111" i="199"/>
  <c r="O228" i="199" s="1"/>
  <c r="N111" i="199"/>
  <c r="N228" i="199" s="1"/>
  <c r="M111" i="199"/>
  <c r="M228" i="199" s="1"/>
  <c r="L111" i="199"/>
  <c r="L228" i="199" s="1"/>
  <c r="K111" i="199"/>
  <c r="K228" i="199" s="1"/>
  <c r="J111" i="199"/>
  <c r="J228" i="199" s="1"/>
  <c r="O106" i="199"/>
  <c r="N106" i="199"/>
  <c r="M106" i="199"/>
  <c r="L106" i="199"/>
  <c r="K106" i="199"/>
  <c r="J106" i="199"/>
  <c r="I106" i="199"/>
  <c r="H106" i="199"/>
  <c r="G106" i="199"/>
  <c r="F106" i="199"/>
  <c r="E106" i="199"/>
  <c r="D106" i="199"/>
  <c r="C106" i="199"/>
  <c r="F99" i="199"/>
  <c r="F100" i="199" s="1"/>
  <c r="F102" i="199" s="1"/>
  <c r="M11" i="113" s="1"/>
  <c r="S11" i="123" s="1"/>
  <c r="C99" i="199"/>
  <c r="C138" i="199" s="1"/>
  <c r="C255" i="199" s="1"/>
  <c r="D98" i="199"/>
  <c r="D137" i="199" s="1"/>
  <c r="D254" i="199" s="1"/>
  <c r="C98" i="199"/>
  <c r="C137" i="199" s="1"/>
  <c r="C254" i="199" s="1"/>
  <c r="D97" i="199"/>
  <c r="D175" i="199" s="1"/>
  <c r="C97" i="199"/>
  <c r="C214" i="199" s="1"/>
  <c r="D96" i="199"/>
  <c r="D213" i="199" s="1"/>
  <c r="C96" i="199"/>
  <c r="C174" i="199" s="1"/>
  <c r="D95" i="199"/>
  <c r="D173" i="199" s="1"/>
  <c r="C95" i="199"/>
  <c r="C134" i="199" s="1"/>
  <c r="C251" i="199" s="1"/>
  <c r="D94" i="199"/>
  <c r="D133" i="199" s="1"/>
  <c r="D250" i="199" s="1"/>
  <c r="C94" i="199"/>
  <c r="C133" i="199" s="1"/>
  <c r="C250" i="199" s="1"/>
  <c r="D93" i="199"/>
  <c r="D171" i="199" s="1"/>
  <c r="C93" i="199"/>
  <c r="C210" i="199" s="1"/>
  <c r="D92" i="199"/>
  <c r="D209" i="199" s="1"/>
  <c r="C92" i="199"/>
  <c r="C170" i="199" s="1"/>
  <c r="D91" i="199"/>
  <c r="D169" i="199" s="1"/>
  <c r="C91" i="199"/>
  <c r="C130" i="199" s="1"/>
  <c r="C247" i="199" s="1"/>
  <c r="D90" i="199"/>
  <c r="D129" i="199" s="1"/>
  <c r="D246" i="199" s="1"/>
  <c r="C90" i="199"/>
  <c r="C129" i="199" s="1"/>
  <c r="C246" i="199" s="1"/>
  <c r="D89" i="199"/>
  <c r="D167" i="199" s="1"/>
  <c r="C89" i="199"/>
  <c r="C206" i="199" s="1"/>
  <c r="G88" i="199"/>
  <c r="G205" i="199" s="1"/>
  <c r="F88" i="199"/>
  <c r="F166" i="199" s="1"/>
  <c r="E88" i="199"/>
  <c r="E166" i="199" s="1"/>
  <c r="D88" i="199"/>
  <c r="D127" i="199" s="1"/>
  <c r="D244" i="199" s="1"/>
  <c r="C88" i="199"/>
  <c r="C127" i="199" s="1"/>
  <c r="C244" i="199" s="1"/>
  <c r="B88" i="199"/>
  <c r="B127" i="199" s="1"/>
  <c r="B244" i="199" s="1"/>
  <c r="O87" i="199"/>
  <c r="O165" i="199" s="1"/>
  <c r="N87" i="199"/>
  <c r="N204" i="199" s="1"/>
  <c r="M87" i="199"/>
  <c r="M204" i="199" s="1"/>
  <c r="L87" i="199"/>
  <c r="L165" i="199" s="1"/>
  <c r="K87" i="199"/>
  <c r="K165" i="199" s="1"/>
  <c r="J87" i="199"/>
  <c r="J126" i="199" s="1"/>
  <c r="J243" i="199" s="1"/>
  <c r="I87" i="199"/>
  <c r="I126" i="199" s="1"/>
  <c r="I243" i="199" s="1"/>
  <c r="G87" i="199"/>
  <c r="G99" i="199" s="1"/>
  <c r="F87" i="199"/>
  <c r="E87" i="199"/>
  <c r="E99" i="199" s="1"/>
  <c r="D87" i="199"/>
  <c r="D204" i="199" s="1"/>
  <c r="C87" i="199"/>
  <c r="C165" i="199" s="1"/>
  <c r="B87" i="199"/>
  <c r="B165" i="199" s="1"/>
  <c r="O86" i="199"/>
  <c r="O125" i="199" s="1"/>
  <c r="O242" i="199" s="1"/>
  <c r="N86" i="199"/>
  <c r="N125" i="199" s="1"/>
  <c r="N242" i="199" s="1"/>
  <c r="M86" i="199"/>
  <c r="M125" i="199" s="1"/>
  <c r="M242" i="199" s="1"/>
  <c r="L86" i="199"/>
  <c r="L164" i="199" s="1"/>
  <c r="K86" i="199"/>
  <c r="K203" i="199" s="1"/>
  <c r="J86" i="199"/>
  <c r="J203" i="199" s="1"/>
  <c r="D86" i="199"/>
  <c r="D164" i="199" s="1"/>
  <c r="C86" i="199"/>
  <c r="C164" i="199" s="1"/>
  <c r="D85" i="199"/>
  <c r="D124" i="199" s="1"/>
  <c r="D241" i="199" s="1"/>
  <c r="C85" i="199"/>
  <c r="C124" i="199" s="1"/>
  <c r="C241" i="199" s="1"/>
  <c r="D84" i="199"/>
  <c r="D123" i="199" s="1"/>
  <c r="D240" i="199" s="1"/>
  <c r="C84" i="199"/>
  <c r="C162" i="199" s="1"/>
  <c r="D83" i="199"/>
  <c r="D200" i="199" s="1"/>
  <c r="C83" i="199"/>
  <c r="C200" i="199" s="1"/>
  <c r="D82" i="199"/>
  <c r="D160" i="199" s="1"/>
  <c r="C82" i="199"/>
  <c r="C160" i="199" s="1"/>
  <c r="D81" i="199"/>
  <c r="D120" i="199" s="1"/>
  <c r="D237" i="199" s="1"/>
  <c r="C81" i="199"/>
  <c r="C120" i="199" s="1"/>
  <c r="C237" i="199" s="1"/>
  <c r="D80" i="199"/>
  <c r="D119" i="199" s="1"/>
  <c r="D236" i="199" s="1"/>
  <c r="C80" i="199"/>
  <c r="C158" i="199" s="1"/>
  <c r="D79" i="199"/>
  <c r="D196" i="199" s="1"/>
  <c r="C79" i="199"/>
  <c r="C196" i="199" s="1"/>
  <c r="D78" i="199"/>
  <c r="D156" i="199" s="1"/>
  <c r="C78" i="199"/>
  <c r="C156" i="199" s="1"/>
  <c r="D77" i="199"/>
  <c r="D116" i="199" s="1"/>
  <c r="D233" i="199" s="1"/>
  <c r="C77" i="199"/>
  <c r="C116" i="199" s="1"/>
  <c r="C233" i="199" s="1"/>
  <c r="D76" i="199"/>
  <c r="D115" i="199" s="1"/>
  <c r="D232" i="199" s="1"/>
  <c r="C76" i="199"/>
  <c r="C154" i="199" s="1"/>
  <c r="G75" i="199"/>
  <c r="G192" i="199" s="1"/>
  <c r="F75" i="199"/>
  <c r="F192" i="199" s="1"/>
  <c r="E75" i="199"/>
  <c r="E153" i="199" s="1"/>
  <c r="D75" i="199"/>
  <c r="D153" i="199" s="1"/>
  <c r="C75" i="199"/>
  <c r="C114" i="199" s="1"/>
  <c r="C231" i="199" s="1"/>
  <c r="B75" i="199"/>
  <c r="B114" i="199" s="1"/>
  <c r="B231" i="199" s="1"/>
  <c r="G74" i="199"/>
  <c r="G113" i="199" s="1"/>
  <c r="G230" i="199" s="1"/>
  <c r="F74" i="199"/>
  <c r="F152" i="199" s="1"/>
  <c r="E74" i="199"/>
  <c r="E191" i="199" s="1"/>
  <c r="D74" i="199"/>
  <c r="D191" i="199" s="1"/>
  <c r="C74" i="199"/>
  <c r="C152" i="199" s="1"/>
  <c r="B74" i="199"/>
  <c r="B152" i="199" s="1"/>
  <c r="O69" i="199"/>
  <c r="O147" i="199" s="1"/>
  <c r="N69" i="199"/>
  <c r="N147" i="199" s="1"/>
  <c r="M69" i="199"/>
  <c r="M108" i="199" s="1"/>
  <c r="M225" i="199" s="1"/>
  <c r="L69" i="199"/>
  <c r="L108" i="199" s="1"/>
  <c r="L225" i="199" s="1"/>
  <c r="K69" i="199"/>
  <c r="K108" i="199" s="1"/>
  <c r="K225" i="199" s="1"/>
  <c r="J69" i="199"/>
  <c r="J108" i="199" s="1"/>
  <c r="J225" i="199" s="1"/>
  <c r="G69" i="199"/>
  <c r="G186" i="199" s="1"/>
  <c r="F69" i="199"/>
  <c r="F186" i="199" s="1"/>
  <c r="E69" i="199"/>
  <c r="E147" i="199" s="1"/>
  <c r="D69" i="199"/>
  <c r="D147" i="199" s="1"/>
  <c r="C69" i="199"/>
  <c r="C108" i="199" s="1"/>
  <c r="C225" i="199" s="1"/>
  <c r="B69" i="199"/>
  <c r="B108" i="199" s="1"/>
  <c r="B225" i="199" s="1"/>
  <c r="O67" i="199"/>
  <c r="N67" i="199"/>
  <c r="M67" i="199"/>
  <c r="L67" i="199"/>
  <c r="K67" i="199"/>
  <c r="J67" i="199"/>
  <c r="I67" i="199"/>
  <c r="H67" i="199"/>
  <c r="G67" i="199"/>
  <c r="F67" i="199"/>
  <c r="E67" i="199"/>
  <c r="D67" i="199"/>
  <c r="C67" i="199"/>
  <c r="O66" i="199"/>
  <c r="O144" i="199" s="1"/>
  <c r="N66" i="199"/>
  <c r="N105" i="199" s="1"/>
  <c r="N222" i="199" s="1"/>
  <c r="M66" i="199"/>
  <c r="M105" i="199" s="1"/>
  <c r="M222" i="199" s="1"/>
  <c r="L66" i="199"/>
  <c r="L105" i="199" s="1"/>
  <c r="L222" i="199" s="1"/>
  <c r="K66" i="199"/>
  <c r="K105" i="199" s="1"/>
  <c r="K222" i="199" s="1"/>
  <c r="J66" i="199"/>
  <c r="J183" i="199" s="1"/>
  <c r="I66" i="199"/>
  <c r="I183" i="199" s="1"/>
  <c r="H66" i="199"/>
  <c r="H144" i="199" s="1"/>
  <c r="G66" i="199"/>
  <c r="G144" i="199" s="1"/>
  <c r="F66" i="199"/>
  <c r="F105" i="199" s="1"/>
  <c r="F222" i="199" s="1"/>
  <c r="E66" i="199"/>
  <c r="E105" i="199" s="1"/>
  <c r="E222" i="199" s="1"/>
  <c r="D66" i="199"/>
  <c r="D105" i="199" s="1"/>
  <c r="D222" i="199" s="1"/>
  <c r="C66" i="199"/>
  <c r="C105" i="199" s="1"/>
  <c r="C222" i="199" s="1"/>
  <c r="A63" i="199"/>
  <c r="A62" i="199"/>
  <c r="A61" i="199"/>
  <c r="A60" i="199"/>
  <c r="A59" i="199"/>
  <c r="A58" i="199"/>
  <c r="A57" i="199"/>
  <c r="N56" i="199"/>
  <c r="A56" i="199"/>
  <c r="A55" i="199"/>
  <c r="A54" i="199"/>
  <c r="A53" i="199"/>
  <c r="A52" i="199"/>
  <c r="A50" i="199"/>
  <c r="G44" i="199"/>
  <c r="F44" i="199"/>
  <c r="E44" i="199"/>
  <c r="I43" i="199"/>
  <c r="I96" i="199" s="1"/>
  <c r="G43" i="199"/>
  <c r="F43" i="199"/>
  <c r="E43" i="199"/>
  <c r="G42" i="199"/>
  <c r="F42" i="199"/>
  <c r="E42" i="199"/>
  <c r="G41" i="199"/>
  <c r="F41" i="199"/>
  <c r="E41" i="199"/>
  <c r="O40" i="199"/>
  <c r="N40" i="199"/>
  <c r="M40" i="199"/>
  <c r="J40" i="199"/>
  <c r="J94" i="199" s="1"/>
  <c r="J133" i="199" s="1"/>
  <c r="J172" i="199" s="1"/>
  <c r="J211" i="199" s="1"/>
  <c r="J250" i="199" s="1"/>
  <c r="G40" i="199"/>
  <c r="F40" i="199"/>
  <c r="E40" i="199"/>
  <c r="O39" i="199"/>
  <c r="N39" i="199"/>
  <c r="M39" i="199"/>
  <c r="G39" i="199"/>
  <c r="F39" i="199"/>
  <c r="E39" i="199"/>
  <c r="O38" i="199"/>
  <c r="N38" i="199"/>
  <c r="M38" i="199"/>
  <c r="I38" i="199"/>
  <c r="I92" i="199" s="1"/>
  <c r="I131" i="199" s="1"/>
  <c r="I170" i="199" s="1"/>
  <c r="I209" i="199" s="1"/>
  <c r="I248" i="199" s="1"/>
  <c r="G38" i="199"/>
  <c r="F38" i="199"/>
  <c r="E38" i="199"/>
  <c r="J37" i="199"/>
  <c r="J91" i="199" s="1"/>
  <c r="J130" i="199" s="1"/>
  <c r="J169" i="199" s="1"/>
  <c r="J208" i="199" s="1"/>
  <c r="J247" i="199" s="1"/>
  <c r="I37" i="199"/>
  <c r="I91" i="199" s="1"/>
  <c r="I130" i="199" s="1"/>
  <c r="I169" i="199" s="1"/>
  <c r="I208" i="199" s="1"/>
  <c r="I247" i="199" s="1"/>
  <c r="G37" i="199"/>
  <c r="F37" i="199"/>
  <c r="E37" i="199"/>
  <c r="G36" i="199"/>
  <c r="F36" i="199"/>
  <c r="E36" i="199"/>
  <c r="G35" i="199"/>
  <c r="F35" i="199"/>
  <c r="E35" i="199"/>
  <c r="A34" i="199"/>
  <c r="A88" i="199" s="1"/>
  <c r="G33" i="199"/>
  <c r="E33" i="199"/>
  <c r="I32" i="199"/>
  <c r="I86" i="199" s="1"/>
  <c r="G32" i="199"/>
  <c r="F32" i="199"/>
  <c r="E32" i="199"/>
  <c r="B32" i="199"/>
  <c r="B86" i="199" s="1"/>
  <c r="A32" i="199"/>
  <c r="A86" i="199" s="1"/>
  <c r="G31" i="199"/>
  <c r="F31" i="199"/>
  <c r="E31" i="199"/>
  <c r="B31" i="199"/>
  <c r="B44" i="199" s="1"/>
  <c r="B98" i="199" s="1"/>
  <c r="A31" i="199"/>
  <c r="A85" i="199" s="1"/>
  <c r="G30" i="199"/>
  <c r="F30" i="199"/>
  <c r="E30" i="199"/>
  <c r="B30" i="199"/>
  <c r="B43" i="199" s="1"/>
  <c r="B97" i="199" s="1"/>
  <c r="A30" i="199"/>
  <c r="A84" i="199" s="1"/>
  <c r="I29" i="199"/>
  <c r="I82" i="199" s="1"/>
  <c r="G29" i="199"/>
  <c r="F29" i="199"/>
  <c r="L10" i="113" s="1"/>
  <c r="E29" i="199"/>
  <c r="H10" i="113" s="1"/>
  <c r="B29" i="199"/>
  <c r="B83" i="199" s="1"/>
  <c r="A29" i="199"/>
  <c r="A83" i="199" s="1"/>
  <c r="G28" i="199"/>
  <c r="F28" i="199"/>
  <c r="E28" i="199"/>
  <c r="B28" i="199"/>
  <c r="B41" i="199" s="1"/>
  <c r="B95" i="199" s="1"/>
  <c r="A28" i="199"/>
  <c r="A82" i="199" s="1"/>
  <c r="I27" i="199"/>
  <c r="I80" i="199" s="1"/>
  <c r="G27" i="199"/>
  <c r="F27" i="199"/>
  <c r="E27" i="199"/>
  <c r="B27" i="199"/>
  <c r="B81" i="199" s="1"/>
  <c r="A27" i="199"/>
  <c r="A81" i="199" s="1"/>
  <c r="O26" i="199"/>
  <c r="N26" i="199"/>
  <c r="M26" i="199"/>
  <c r="I26" i="199"/>
  <c r="I79" i="199" s="1"/>
  <c r="G26" i="199"/>
  <c r="F26" i="199"/>
  <c r="E26" i="199"/>
  <c r="B26" i="199"/>
  <c r="B80" i="199" s="1"/>
  <c r="A26" i="199"/>
  <c r="A80" i="199" s="1"/>
  <c r="I25" i="199"/>
  <c r="I78" i="199" s="1"/>
  <c r="G25" i="199"/>
  <c r="F25" i="199"/>
  <c r="E25" i="199"/>
  <c r="B25" i="199"/>
  <c r="B38" i="199" s="1"/>
  <c r="B92" i="199" s="1"/>
  <c r="A25" i="199"/>
  <c r="A79" i="199" s="1"/>
  <c r="O24" i="199"/>
  <c r="N24" i="199"/>
  <c r="M24" i="199"/>
  <c r="I24" i="199"/>
  <c r="I77" i="199" s="1"/>
  <c r="G24" i="199"/>
  <c r="F24" i="199"/>
  <c r="E24" i="199"/>
  <c r="B24" i="199"/>
  <c r="B78" i="199" s="1"/>
  <c r="A24" i="199"/>
  <c r="A78" i="199" s="1"/>
  <c r="O23" i="199"/>
  <c r="N23" i="199"/>
  <c r="M23" i="199"/>
  <c r="I23" i="199"/>
  <c r="I76" i="199" s="1"/>
  <c r="G23" i="199"/>
  <c r="F23" i="199"/>
  <c r="E23" i="199"/>
  <c r="B23" i="199"/>
  <c r="B77" i="199" s="1"/>
  <c r="A23" i="199"/>
  <c r="A77" i="199" s="1"/>
  <c r="I22" i="199"/>
  <c r="I75" i="199" s="1"/>
  <c r="G22" i="199"/>
  <c r="N10" i="113" s="1"/>
  <c r="N7" i="183" s="1"/>
  <c r="F22" i="199"/>
  <c r="J10" i="113" s="1"/>
  <c r="J7" i="183" s="1"/>
  <c r="E22" i="199"/>
  <c r="B22" i="199"/>
  <c r="B76" i="199" s="1"/>
  <c r="A22" i="199"/>
  <c r="A76" i="199" s="1"/>
  <c r="A21" i="199"/>
  <c r="A75" i="199" s="1"/>
  <c r="O19" i="199"/>
  <c r="X10" i="123" s="1"/>
  <c r="N19" i="199"/>
  <c r="T10" i="123" s="1"/>
  <c r="M19" i="199"/>
  <c r="P10" i="123" s="1"/>
  <c r="I19" i="199"/>
  <c r="I73" i="199" s="1"/>
  <c r="I18" i="199"/>
  <c r="I72" i="199" s="1"/>
  <c r="G18" i="199"/>
  <c r="O53" i="199" s="1"/>
  <c r="F18" i="199"/>
  <c r="N53" i="199" s="1"/>
  <c r="E18" i="199"/>
  <c r="M53" i="199" s="1"/>
  <c r="D16" i="199"/>
  <c r="L16" i="199" s="1"/>
  <c r="L70" i="199" s="1"/>
  <c r="A15" i="199"/>
  <c r="A69" i="199" s="1"/>
  <c r="A13" i="199"/>
  <c r="A2" i="199"/>
  <c r="G294" i="198"/>
  <c r="G295" i="198" s="1"/>
  <c r="G297" i="198" s="1"/>
  <c r="F294" i="198"/>
  <c r="F295" i="198" s="1"/>
  <c r="G282" i="198"/>
  <c r="F282" i="198"/>
  <c r="E282" i="198"/>
  <c r="E294" i="198" s="1"/>
  <c r="O267" i="198"/>
  <c r="N267" i="198"/>
  <c r="M267" i="198"/>
  <c r="L267" i="198"/>
  <c r="K267" i="198"/>
  <c r="J267" i="198"/>
  <c r="A263" i="198"/>
  <c r="O262" i="198"/>
  <c r="N262" i="198"/>
  <c r="M262" i="198"/>
  <c r="L262" i="198"/>
  <c r="K262" i="198"/>
  <c r="J262" i="198"/>
  <c r="I262" i="198"/>
  <c r="H262" i="198"/>
  <c r="G262" i="198"/>
  <c r="F262" i="198"/>
  <c r="E262" i="198"/>
  <c r="D262" i="198"/>
  <c r="C262" i="198"/>
  <c r="F255" i="198"/>
  <c r="D255" i="198" s="1"/>
  <c r="E255" i="198"/>
  <c r="E256" i="198" s="1"/>
  <c r="D252" i="198"/>
  <c r="D248" i="198"/>
  <c r="G244" i="198"/>
  <c r="M243" i="198"/>
  <c r="G243" i="198"/>
  <c r="G255" i="198" s="1"/>
  <c r="G256" i="198" s="1"/>
  <c r="G258" i="198" s="1"/>
  <c r="F243" i="198"/>
  <c r="E243" i="198"/>
  <c r="E258" i="198" s="1"/>
  <c r="D243" i="198"/>
  <c r="J242" i="198"/>
  <c r="C239" i="198"/>
  <c r="C235" i="198"/>
  <c r="F231" i="198"/>
  <c r="D230" i="198"/>
  <c r="O228" i="198"/>
  <c r="N228" i="198"/>
  <c r="M228" i="198"/>
  <c r="L228" i="198"/>
  <c r="K228" i="198"/>
  <c r="J228" i="198"/>
  <c r="F225" i="198"/>
  <c r="A224" i="198"/>
  <c r="O223" i="198"/>
  <c r="N223" i="198"/>
  <c r="M223" i="198"/>
  <c r="L223" i="198"/>
  <c r="K223" i="198"/>
  <c r="J223" i="198"/>
  <c r="I223" i="198"/>
  <c r="H223" i="198"/>
  <c r="G223" i="198"/>
  <c r="F223" i="198"/>
  <c r="E223" i="198"/>
  <c r="D223" i="198"/>
  <c r="C223" i="198"/>
  <c r="J222" i="198"/>
  <c r="G216" i="198"/>
  <c r="G217" i="198" s="1"/>
  <c r="D213" i="198"/>
  <c r="D209" i="198"/>
  <c r="G205" i="198"/>
  <c r="M204" i="198"/>
  <c r="G204" i="198"/>
  <c r="F204" i="198"/>
  <c r="F216" i="198" s="1"/>
  <c r="F217" i="198" s="1"/>
  <c r="E204" i="198"/>
  <c r="E216" i="198" s="1"/>
  <c r="E217" i="198" s="1"/>
  <c r="D204" i="198"/>
  <c r="J203" i="198"/>
  <c r="C200" i="198"/>
  <c r="C196" i="198"/>
  <c r="F192" i="198"/>
  <c r="D191" i="198"/>
  <c r="O189" i="198"/>
  <c r="N189" i="198"/>
  <c r="M189" i="198"/>
  <c r="L189" i="198"/>
  <c r="K189" i="198"/>
  <c r="J189" i="198"/>
  <c r="F186" i="198"/>
  <c r="O184" i="198"/>
  <c r="N184" i="198"/>
  <c r="M184" i="198"/>
  <c r="L184" i="198"/>
  <c r="K184" i="198"/>
  <c r="J184" i="198"/>
  <c r="I184" i="198"/>
  <c r="H184" i="198"/>
  <c r="G184" i="198"/>
  <c r="F184" i="198"/>
  <c r="E184" i="198"/>
  <c r="D184" i="198"/>
  <c r="C184" i="198"/>
  <c r="I183" i="198"/>
  <c r="D173" i="198"/>
  <c r="D169" i="198"/>
  <c r="E166" i="198"/>
  <c r="K165" i="198"/>
  <c r="G165" i="198"/>
  <c r="G177" i="198" s="1"/>
  <c r="G178" i="198" s="1"/>
  <c r="F165" i="198"/>
  <c r="F177" i="198" s="1"/>
  <c r="F178" i="198" s="1"/>
  <c r="F180" i="198" s="1"/>
  <c r="E165" i="198"/>
  <c r="B165" i="198"/>
  <c r="C164" i="198"/>
  <c r="C160" i="198"/>
  <c r="C156" i="198"/>
  <c r="D153" i="198"/>
  <c r="B152" i="198"/>
  <c r="O150" i="198"/>
  <c r="N150" i="198"/>
  <c r="M150" i="198"/>
  <c r="L150" i="198"/>
  <c r="K150" i="198"/>
  <c r="J150" i="198"/>
  <c r="N147" i="198"/>
  <c r="D147" i="198"/>
  <c r="O145" i="198"/>
  <c r="N145" i="198"/>
  <c r="M145" i="198"/>
  <c r="L145" i="198"/>
  <c r="K145" i="198"/>
  <c r="J145" i="198"/>
  <c r="I145" i="198"/>
  <c r="H145" i="198"/>
  <c r="G145" i="198"/>
  <c r="F145" i="198"/>
  <c r="E145" i="198"/>
  <c r="D145" i="198"/>
  <c r="C145" i="198"/>
  <c r="O144" i="198"/>
  <c r="G144" i="198"/>
  <c r="D137" i="198"/>
  <c r="D293" i="198" s="1"/>
  <c r="D133" i="198"/>
  <c r="D289" i="198" s="1"/>
  <c r="D129" i="198"/>
  <c r="D285" i="198" s="1"/>
  <c r="C127" i="198"/>
  <c r="C283" i="198" s="1"/>
  <c r="I126" i="198"/>
  <c r="I282" i="198" s="1"/>
  <c r="G126" i="198"/>
  <c r="G138" i="198" s="1"/>
  <c r="G139" i="198" s="1"/>
  <c r="F126" i="198"/>
  <c r="F138" i="198" s="1"/>
  <c r="F139" i="198" s="1"/>
  <c r="E126" i="198"/>
  <c r="E138" i="198" s="1"/>
  <c r="N125" i="198"/>
  <c r="N281" i="198" s="1"/>
  <c r="C124" i="198"/>
  <c r="C280" i="198" s="1"/>
  <c r="C120" i="198"/>
  <c r="C276" i="198" s="1"/>
  <c r="C116" i="198"/>
  <c r="C272" i="198" s="1"/>
  <c r="B114" i="198"/>
  <c r="B270" i="198" s="1"/>
  <c r="N108" i="198"/>
  <c r="N264" i="198" s="1"/>
  <c r="D108" i="198"/>
  <c r="D264" i="198" s="1"/>
  <c r="O106" i="198"/>
  <c r="N106" i="198"/>
  <c r="M106" i="198"/>
  <c r="L106" i="198"/>
  <c r="K106" i="198"/>
  <c r="J106" i="198"/>
  <c r="I106" i="198"/>
  <c r="H106" i="198"/>
  <c r="G106" i="198"/>
  <c r="F106" i="198"/>
  <c r="E106" i="198"/>
  <c r="D106" i="198"/>
  <c r="C106" i="198"/>
  <c r="O105" i="198"/>
  <c r="O261" i="198" s="1"/>
  <c r="G105" i="198"/>
  <c r="G261" i="198" s="1"/>
  <c r="C99" i="198"/>
  <c r="C177" i="198" s="1"/>
  <c r="D98" i="198"/>
  <c r="D176" i="198" s="1"/>
  <c r="C98" i="198"/>
  <c r="C137" i="198" s="1"/>
  <c r="C293" i="198" s="1"/>
  <c r="D97" i="198"/>
  <c r="D136" i="198" s="1"/>
  <c r="D292" i="198" s="1"/>
  <c r="C97" i="198"/>
  <c r="C136" i="198" s="1"/>
  <c r="C292" i="198" s="1"/>
  <c r="D96" i="198"/>
  <c r="D135" i="198" s="1"/>
  <c r="D291" i="198" s="1"/>
  <c r="C96" i="198"/>
  <c r="C252" i="198" s="1"/>
  <c r="D95" i="198"/>
  <c r="D251" i="198" s="1"/>
  <c r="C95" i="198"/>
  <c r="C173" i="198" s="1"/>
  <c r="D94" i="198"/>
  <c r="D172" i="198" s="1"/>
  <c r="C94" i="198"/>
  <c r="C133" i="198" s="1"/>
  <c r="C289" i="198" s="1"/>
  <c r="D93" i="198"/>
  <c r="D132" i="198" s="1"/>
  <c r="D288" i="198" s="1"/>
  <c r="C93" i="198"/>
  <c r="C132" i="198" s="1"/>
  <c r="C288" i="198" s="1"/>
  <c r="D92" i="198"/>
  <c r="D131" i="198" s="1"/>
  <c r="D287" i="198" s="1"/>
  <c r="C92" i="198"/>
  <c r="C248" i="198" s="1"/>
  <c r="D91" i="198"/>
  <c r="D247" i="198" s="1"/>
  <c r="C91" i="198"/>
  <c r="C169" i="198" s="1"/>
  <c r="D90" i="198"/>
  <c r="D168" i="198" s="1"/>
  <c r="C90" i="198"/>
  <c r="C129" i="198" s="1"/>
  <c r="C285" i="198" s="1"/>
  <c r="D89" i="198"/>
  <c r="D128" i="198" s="1"/>
  <c r="D284" i="198" s="1"/>
  <c r="C89" i="198"/>
  <c r="C128" i="198" s="1"/>
  <c r="C284" i="198" s="1"/>
  <c r="G88" i="198"/>
  <c r="G127" i="198" s="1"/>
  <c r="G283" i="198" s="1"/>
  <c r="F88" i="198"/>
  <c r="F244" i="198" s="1"/>
  <c r="E88" i="198"/>
  <c r="E244" i="198" s="1"/>
  <c r="D88" i="198"/>
  <c r="D166" i="198" s="1"/>
  <c r="C88" i="198"/>
  <c r="C166" i="198" s="1"/>
  <c r="B88" i="198"/>
  <c r="B127" i="198" s="1"/>
  <c r="B283" i="198" s="1"/>
  <c r="O87" i="198"/>
  <c r="O126" i="198" s="1"/>
  <c r="O282" i="198" s="1"/>
  <c r="N87" i="198"/>
  <c r="N126" i="198" s="1"/>
  <c r="N282" i="198" s="1"/>
  <c r="M87" i="198"/>
  <c r="M126" i="198" s="1"/>
  <c r="M282" i="198" s="1"/>
  <c r="L87" i="198"/>
  <c r="L243" i="198" s="1"/>
  <c r="K87" i="198"/>
  <c r="K243" i="198" s="1"/>
  <c r="J87" i="198"/>
  <c r="J165" i="198" s="1"/>
  <c r="I87" i="198"/>
  <c r="I165" i="198" s="1"/>
  <c r="G87" i="198"/>
  <c r="G99" i="198" s="1"/>
  <c r="F87" i="198"/>
  <c r="F99" i="198" s="1"/>
  <c r="F100" i="198" s="1"/>
  <c r="F102" i="198" s="1"/>
  <c r="M7" i="113" s="1"/>
  <c r="E87" i="198"/>
  <c r="E99" i="198" s="1"/>
  <c r="D87" i="198"/>
  <c r="D126" i="198" s="1"/>
  <c r="D282" i="198" s="1"/>
  <c r="C87" i="198"/>
  <c r="C243" i="198" s="1"/>
  <c r="B87" i="198"/>
  <c r="B243" i="198" s="1"/>
  <c r="O86" i="198"/>
  <c r="O164" i="198" s="1"/>
  <c r="N86" i="198"/>
  <c r="N164" i="198" s="1"/>
  <c r="M86" i="198"/>
  <c r="M125" i="198" s="1"/>
  <c r="M281" i="198" s="1"/>
  <c r="L86" i="198"/>
  <c r="L125" i="198" s="1"/>
  <c r="L281" i="198" s="1"/>
  <c r="K86" i="198"/>
  <c r="K125" i="198" s="1"/>
  <c r="K281" i="198" s="1"/>
  <c r="J86" i="198"/>
  <c r="J125" i="198" s="1"/>
  <c r="J281" i="198" s="1"/>
  <c r="D86" i="198"/>
  <c r="D242" i="198" s="1"/>
  <c r="C86" i="198"/>
  <c r="C242" i="198" s="1"/>
  <c r="D85" i="198"/>
  <c r="D163" i="198" s="1"/>
  <c r="C85" i="198"/>
  <c r="C163" i="198" s="1"/>
  <c r="D84" i="198"/>
  <c r="D123" i="198" s="1"/>
  <c r="D279" i="198" s="1"/>
  <c r="C84" i="198"/>
  <c r="C123" i="198" s="1"/>
  <c r="C279" i="198" s="1"/>
  <c r="D83" i="198"/>
  <c r="D122" i="198" s="1"/>
  <c r="D278" i="198" s="1"/>
  <c r="C83" i="198"/>
  <c r="C122" i="198" s="1"/>
  <c r="C278" i="198" s="1"/>
  <c r="D82" i="198"/>
  <c r="D238" i="198" s="1"/>
  <c r="C82" i="198"/>
  <c r="C238" i="198" s="1"/>
  <c r="D81" i="198"/>
  <c r="D159" i="198" s="1"/>
  <c r="C81" i="198"/>
  <c r="C159" i="198" s="1"/>
  <c r="D80" i="198"/>
  <c r="D119" i="198" s="1"/>
  <c r="D275" i="198" s="1"/>
  <c r="C80" i="198"/>
  <c r="C119" i="198" s="1"/>
  <c r="C275" i="198" s="1"/>
  <c r="D79" i="198"/>
  <c r="D118" i="198" s="1"/>
  <c r="D274" i="198" s="1"/>
  <c r="C79" i="198"/>
  <c r="C118" i="198" s="1"/>
  <c r="C274" i="198" s="1"/>
  <c r="D78" i="198"/>
  <c r="D234" i="198" s="1"/>
  <c r="C78" i="198"/>
  <c r="C234" i="198" s="1"/>
  <c r="D77" i="198"/>
  <c r="D155" i="198" s="1"/>
  <c r="C77" i="198"/>
  <c r="C155" i="198" s="1"/>
  <c r="D76" i="198"/>
  <c r="D115" i="198" s="1"/>
  <c r="D271" i="198" s="1"/>
  <c r="C76" i="198"/>
  <c r="C115" i="198" s="1"/>
  <c r="C271" i="198" s="1"/>
  <c r="G75" i="198"/>
  <c r="G114" i="198" s="1"/>
  <c r="G270" i="198" s="1"/>
  <c r="F75" i="198"/>
  <c r="F114" i="198" s="1"/>
  <c r="F270" i="198" s="1"/>
  <c r="E75" i="198"/>
  <c r="E231" i="198" s="1"/>
  <c r="D75" i="198"/>
  <c r="D231" i="198" s="1"/>
  <c r="C75" i="198"/>
  <c r="C153" i="198" s="1"/>
  <c r="B75" i="198"/>
  <c r="B153" i="198" s="1"/>
  <c r="G74" i="198"/>
  <c r="G113" i="198" s="1"/>
  <c r="G269" i="198" s="1"/>
  <c r="F74" i="198"/>
  <c r="F113" i="198" s="1"/>
  <c r="F269" i="198" s="1"/>
  <c r="E74" i="198"/>
  <c r="E113" i="198" s="1"/>
  <c r="E269" i="198" s="1"/>
  <c r="D74" i="198"/>
  <c r="D113" i="198" s="1"/>
  <c r="D269" i="198" s="1"/>
  <c r="C74" i="198"/>
  <c r="C230" i="198" s="1"/>
  <c r="B74" i="198"/>
  <c r="B230" i="198" s="1"/>
  <c r="O69" i="198"/>
  <c r="O225" i="198" s="1"/>
  <c r="N69" i="198"/>
  <c r="N225" i="198" s="1"/>
  <c r="M69" i="198"/>
  <c r="M147" i="198" s="1"/>
  <c r="L69" i="198"/>
  <c r="L147" i="198" s="1"/>
  <c r="K69" i="198"/>
  <c r="K147" i="198" s="1"/>
  <c r="J69" i="198"/>
  <c r="J147" i="198" s="1"/>
  <c r="G69" i="198"/>
  <c r="G147" i="198" s="1"/>
  <c r="F69" i="198"/>
  <c r="F147" i="198" s="1"/>
  <c r="E69" i="198"/>
  <c r="E225" i="198" s="1"/>
  <c r="D69" i="198"/>
  <c r="D225" i="198" s="1"/>
  <c r="C69" i="198"/>
  <c r="C147" i="198" s="1"/>
  <c r="B69" i="198"/>
  <c r="B147" i="198" s="1"/>
  <c r="O67" i="198"/>
  <c r="N67" i="198"/>
  <c r="M67" i="198"/>
  <c r="L67" i="198"/>
  <c r="K67" i="198"/>
  <c r="J67" i="198"/>
  <c r="I67" i="198"/>
  <c r="H67" i="198"/>
  <c r="G67" i="198"/>
  <c r="F67" i="198"/>
  <c r="E67" i="198"/>
  <c r="D67" i="198"/>
  <c r="C67" i="198"/>
  <c r="O66" i="198"/>
  <c r="O183" i="198" s="1"/>
  <c r="N66" i="198"/>
  <c r="N144" i="198" s="1"/>
  <c r="M66" i="198"/>
  <c r="M144" i="198" s="1"/>
  <c r="L66" i="198"/>
  <c r="L144" i="198" s="1"/>
  <c r="K66" i="198"/>
  <c r="K144" i="198" s="1"/>
  <c r="J66" i="198"/>
  <c r="J144" i="198" s="1"/>
  <c r="I66" i="198"/>
  <c r="I222" i="198" s="1"/>
  <c r="H66" i="198"/>
  <c r="H183" i="198" s="1"/>
  <c r="G66" i="198"/>
  <c r="G183" i="198" s="1"/>
  <c r="F66" i="198"/>
  <c r="F144" i="198" s="1"/>
  <c r="E66" i="198"/>
  <c r="E144" i="198" s="1"/>
  <c r="D66" i="198"/>
  <c r="D144" i="198" s="1"/>
  <c r="C66" i="198"/>
  <c r="C144" i="198" s="1"/>
  <c r="A63" i="198"/>
  <c r="A62" i="198"/>
  <c r="A61" i="198"/>
  <c r="A60" i="198"/>
  <c r="A59" i="198"/>
  <c r="A58" i="198"/>
  <c r="A57" i="198"/>
  <c r="A56" i="198"/>
  <c r="A55" i="198"/>
  <c r="A54" i="198"/>
  <c r="A53" i="198"/>
  <c r="A52" i="198"/>
  <c r="A50" i="198"/>
  <c r="G44" i="198"/>
  <c r="F44" i="198"/>
  <c r="E44" i="198"/>
  <c r="I43" i="198"/>
  <c r="I96" i="198" s="1"/>
  <c r="G43" i="198"/>
  <c r="F43" i="198"/>
  <c r="E43" i="198"/>
  <c r="G42" i="198"/>
  <c r="F42" i="198"/>
  <c r="E42" i="198"/>
  <c r="G41" i="198"/>
  <c r="F41" i="198"/>
  <c r="E41" i="198"/>
  <c r="O40" i="198"/>
  <c r="N40" i="198"/>
  <c r="M40" i="198"/>
  <c r="J40" i="198"/>
  <c r="J211" i="198" s="1"/>
  <c r="J250" i="198" s="1"/>
  <c r="J289" i="198" s="1"/>
  <c r="G40" i="198"/>
  <c r="F40" i="198"/>
  <c r="E40" i="198"/>
  <c r="O39" i="198"/>
  <c r="N39" i="198"/>
  <c r="M39" i="198"/>
  <c r="G39" i="198"/>
  <c r="F39" i="198"/>
  <c r="E39" i="198"/>
  <c r="O38" i="198"/>
  <c r="N38" i="198"/>
  <c r="M38" i="198"/>
  <c r="I38" i="198"/>
  <c r="I92" i="198" s="1"/>
  <c r="I131" i="198" s="1"/>
  <c r="I170" i="198" s="1"/>
  <c r="G38" i="198"/>
  <c r="F38" i="198"/>
  <c r="E38" i="198"/>
  <c r="J37" i="198"/>
  <c r="J91" i="198" s="1"/>
  <c r="J130" i="198" s="1"/>
  <c r="J169" i="198" s="1"/>
  <c r="I37" i="198"/>
  <c r="I208" i="198" s="1"/>
  <c r="I247" i="198" s="1"/>
  <c r="I286" i="198" s="1"/>
  <c r="G37" i="198"/>
  <c r="F37" i="198"/>
  <c r="E37" i="198"/>
  <c r="G36" i="198"/>
  <c r="F36" i="198"/>
  <c r="E36" i="198"/>
  <c r="G35" i="198"/>
  <c r="F35" i="198"/>
  <c r="E35" i="198"/>
  <c r="A34" i="198"/>
  <c r="A88" i="198" s="1"/>
  <c r="G33" i="198"/>
  <c r="I32" i="198"/>
  <c r="I86" i="198" s="1"/>
  <c r="G32" i="198"/>
  <c r="F32" i="198"/>
  <c r="E32" i="198"/>
  <c r="B32" i="198"/>
  <c r="B45" i="198" s="1"/>
  <c r="B99" i="198" s="1"/>
  <c r="A32" i="198"/>
  <c r="A86" i="198" s="1"/>
  <c r="G31" i="198"/>
  <c r="F31" i="198"/>
  <c r="E31" i="198"/>
  <c r="B31" i="198"/>
  <c r="B85" i="198" s="1"/>
  <c r="A31" i="198"/>
  <c r="A85" i="198" s="1"/>
  <c r="G30" i="198"/>
  <c r="F30" i="198"/>
  <c r="E30" i="198"/>
  <c r="B30" i="198"/>
  <c r="B84" i="198" s="1"/>
  <c r="A30" i="198"/>
  <c r="A84" i="198" s="1"/>
  <c r="I29" i="198"/>
  <c r="I82" i="198" s="1"/>
  <c r="G29" i="198"/>
  <c r="P6" i="113" s="1"/>
  <c r="F29" i="198"/>
  <c r="E29" i="198"/>
  <c r="H6" i="113" s="1"/>
  <c r="B29" i="198"/>
  <c r="B42" i="198" s="1"/>
  <c r="B96" i="198" s="1"/>
  <c r="A29" i="198"/>
  <c r="A83" i="198" s="1"/>
  <c r="G28" i="198"/>
  <c r="F28" i="198"/>
  <c r="E28" i="198"/>
  <c r="B28" i="198"/>
  <c r="B82" i="198" s="1"/>
  <c r="A28" i="198"/>
  <c r="A82" i="198" s="1"/>
  <c r="I27" i="198"/>
  <c r="I80" i="198" s="1"/>
  <c r="G27" i="198"/>
  <c r="F27" i="198"/>
  <c r="E27" i="198"/>
  <c r="B27" i="198"/>
  <c r="B40" i="198" s="1"/>
  <c r="B94" i="198" s="1"/>
  <c r="A27" i="198"/>
  <c r="A81" i="198" s="1"/>
  <c r="O26" i="198"/>
  <c r="N26" i="198"/>
  <c r="M26" i="198"/>
  <c r="I26" i="198"/>
  <c r="I79" i="198" s="1"/>
  <c r="G26" i="198"/>
  <c r="F26" i="198"/>
  <c r="E26" i="198"/>
  <c r="B26" i="198"/>
  <c r="B80" i="198" s="1"/>
  <c r="A26" i="198"/>
  <c r="A39" i="198" s="1"/>
  <c r="A93" i="198" s="1"/>
  <c r="I25" i="198"/>
  <c r="I78" i="198" s="1"/>
  <c r="G25" i="198"/>
  <c r="F25" i="198"/>
  <c r="E25" i="198"/>
  <c r="B25" i="198"/>
  <c r="B79" i="198" s="1"/>
  <c r="A25" i="198"/>
  <c r="A79" i="198" s="1"/>
  <c r="O24" i="198"/>
  <c r="N24" i="198"/>
  <c r="N23" i="228" s="1"/>
  <c r="M24" i="198"/>
  <c r="M23" i="228" s="1"/>
  <c r="I24" i="198"/>
  <c r="I77" i="198" s="1"/>
  <c r="G24" i="198"/>
  <c r="F24" i="198"/>
  <c r="E24" i="198"/>
  <c r="B24" i="198"/>
  <c r="B78" i="198" s="1"/>
  <c r="A24" i="198"/>
  <c r="A78" i="198" s="1"/>
  <c r="O23" i="198"/>
  <c r="N23" i="198"/>
  <c r="M23" i="198"/>
  <c r="I23" i="198"/>
  <c r="I76" i="198" s="1"/>
  <c r="G23" i="198"/>
  <c r="F23" i="198"/>
  <c r="E23" i="198"/>
  <c r="B23" i="198"/>
  <c r="B77" i="198" s="1"/>
  <c r="A23" i="198"/>
  <c r="A77" i="198" s="1"/>
  <c r="I22" i="198"/>
  <c r="I75" i="198" s="1"/>
  <c r="G22" i="198"/>
  <c r="F22" i="198"/>
  <c r="E22" i="198"/>
  <c r="B22" i="198"/>
  <c r="B76" i="198" s="1"/>
  <c r="A22" i="198"/>
  <c r="A76" i="198" s="1"/>
  <c r="A21" i="198"/>
  <c r="A75" i="198" s="1"/>
  <c r="O19" i="198"/>
  <c r="O19" i="228" s="1"/>
  <c r="N19" i="198"/>
  <c r="M19" i="198"/>
  <c r="I19" i="198"/>
  <c r="I73" i="198" s="1"/>
  <c r="I18" i="198"/>
  <c r="I72" i="198" s="1"/>
  <c r="G18" i="198"/>
  <c r="O53" i="198" s="1"/>
  <c r="F18" i="198"/>
  <c r="N53" i="198" s="1"/>
  <c r="E18" i="198"/>
  <c r="M53" i="198" s="1"/>
  <c r="D16" i="198"/>
  <c r="W57" i="122" s="1"/>
  <c r="AD57" i="122" s="1"/>
  <c r="I15" i="198"/>
  <c r="H10" i="122" s="1"/>
  <c r="A15" i="198"/>
  <c r="A69" i="198" s="1"/>
  <c r="A13" i="198"/>
  <c r="A2" i="198"/>
  <c r="A14" i="198" s="1"/>
  <c r="A66" i="198" s="1"/>
  <c r="D65" i="234"/>
  <c r="F63" i="234"/>
  <c r="AM63" i="234" s="1"/>
  <c r="E63" i="234"/>
  <c r="AL63" i="234" s="1"/>
  <c r="D63" i="234"/>
  <c r="AK63" i="234" s="1"/>
  <c r="B63" i="234"/>
  <c r="AI63" i="234" s="1"/>
  <c r="A63" i="234"/>
  <c r="F62" i="234"/>
  <c r="AM62" i="234" s="1"/>
  <c r="E62" i="234"/>
  <c r="AL62" i="234" s="1"/>
  <c r="D62" i="234"/>
  <c r="AK62" i="234" s="1"/>
  <c r="B62" i="234"/>
  <c r="AI62" i="234" s="1"/>
  <c r="A62" i="234"/>
  <c r="F61" i="234"/>
  <c r="AM61" i="234" s="1"/>
  <c r="E61" i="234"/>
  <c r="AL61" i="234" s="1"/>
  <c r="D61" i="234"/>
  <c r="AK61" i="234" s="1"/>
  <c r="B61" i="234"/>
  <c r="AI61" i="234" s="1"/>
  <c r="A61" i="234"/>
  <c r="F60" i="234"/>
  <c r="AM60" i="234" s="1"/>
  <c r="E60" i="234"/>
  <c r="AL60" i="234" s="1"/>
  <c r="D60" i="234"/>
  <c r="AK60" i="234" s="1"/>
  <c r="B60" i="234"/>
  <c r="AI60" i="234" s="1"/>
  <c r="A60" i="234"/>
  <c r="F59" i="234"/>
  <c r="AM59" i="234" s="1"/>
  <c r="E59" i="234"/>
  <c r="AL59" i="234" s="1"/>
  <c r="D59" i="234"/>
  <c r="AK59" i="234" s="1"/>
  <c r="B59" i="234"/>
  <c r="AI59" i="234" s="1"/>
  <c r="A59" i="234"/>
  <c r="F58" i="234"/>
  <c r="AM58" i="234" s="1"/>
  <c r="E58" i="234"/>
  <c r="AL58" i="234" s="1"/>
  <c r="D58" i="234"/>
  <c r="AK58" i="234" s="1"/>
  <c r="B58" i="234"/>
  <c r="AI58" i="234" s="1"/>
  <c r="A58" i="234"/>
  <c r="F57" i="234"/>
  <c r="AM57" i="234" s="1"/>
  <c r="E57" i="234"/>
  <c r="AL57" i="234" s="1"/>
  <c r="D57" i="234"/>
  <c r="AK57" i="234" s="1"/>
  <c r="B57" i="234"/>
  <c r="AI57" i="234" s="1"/>
  <c r="A57" i="234"/>
  <c r="F56" i="234"/>
  <c r="AM56" i="234" s="1"/>
  <c r="E56" i="234"/>
  <c r="AL56" i="234" s="1"/>
  <c r="D56" i="234"/>
  <c r="AK56" i="234" s="1"/>
  <c r="B56" i="234"/>
  <c r="AI56" i="234" s="1"/>
  <c r="A56" i="234"/>
  <c r="F55" i="234"/>
  <c r="AM55" i="234" s="1"/>
  <c r="E55" i="234"/>
  <c r="AL55" i="234" s="1"/>
  <c r="D55" i="234"/>
  <c r="AK55" i="234" s="1"/>
  <c r="B55" i="234"/>
  <c r="AI55" i="234" s="1"/>
  <c r="A55" i="234"/>
  <c r="F54" i="234"/>
  <c r="AM54" i="234" s="1"/>
  <c r="E54" i="234"/>
  <c r="AL54" i="234" s="1"/>
  <c r="D54" i="234"/>
  <c r="AK54" i="234" s="1"/>
  <c r="B54" i="234"/>
  <c r="AI54" i="234" s="1"/>
  <c r="A54" i="234"/>
  <c r="F53" i="234"/>
  <c r="AM53" i="234" s="1"/>
  <c r="E53" i="234"/>
  <c r="AL53" i="234" s="1"/>
  <c r="D53" i="234"/>
  <c r="AK53" i="234" s="1"/>
  <c r="B53" i="234"/>
  <c r="AI53" i="234" s="1"/>
  <c r="A53" i="234"/>
  <c r="F52" i="234"/>
  <c r="AM52" i="234" s="1"/>
  <c r="E52" i="234"/>
  <c r="AL52" i="234" s="1"/>
  <c r="D52" i="234"/>
  <c r="AK52" i="234" s="1"/>
  <c r="B52" i="234"/>
  <c r="AI52" i="234" s="1"/>
  <c r="A52" i="234"/>
  <c r="F51" i="234"/>
  <c r="O51" i="234" s="1"/>
  <c r="X51" i="234" s="1"/>
  <c r="AG51" i="234" s="1"/>
  <c r="E51" i="234"/>
  <c r="AL51" i="234" s="1"/>
  <c r="D51" i="234"/>
  <c r="AK51" i="234" s="1"/>
  <c r="B51" i="234"/>
  <c r="AI51" i="234" s="1"/>
  <c r="A51" i="234"/>
  <c r="B50" i="234"/>
  <c r="AI50" i="234" s="1"/>
  <c r="A50" i="234"/>
  <c r="F49" i="234"/>
  <c r="AM49" i="234" s="1"/>
  <c r="E49" i="234"/>
  <c r="AL49" i="234" s="1"/>
  <c r="D49" i="234"/>
  <c r="AK49" i="234" s="1"/>
  <c r="B49" i="234"/>
  <c r="AI49" i="234" s="1"/>
  <c r="A49" i="234"/>
  <c r="F48" i="234"/>
  <c r="AM48" i="234" s="1"/>
  <c r="E48" i="234"/>
  <c r="AL48" i="234" s="1"/>
  <c r="D48" i="234"/>
  <c r="AK48" i="234" s="1"/>
  <c r="B48" i="234"/>
  <c r="AI48" i="234" s="1"/>
  <c r="A48" i="234"/>
  <c r="F47" i="234"/>
  <c r="AM47" i="234" s="1"/>
  <c r="E47" i="234"/>
  <c r="AL47" i="234" s="1"/>
  <c r="D47" i="234"/>
  <c r="AK47" i="234" s="1"/>
  <c r="B47" i="234"/>
  <c r="AI47" i="234" s="1"/>
  <c r="A47" i="234"/>
  <c r="F46" i="234"/>
  <c r="AM46" i="234" s="1"/>
  <c r="E46" i="234"/>
  <c r="AL46" i="234" s="1"/>
  <c r="D46" i="234"/>
  <c r="AK46" i="234" s="1"/>
  <c r="B46" i="234"/>
  <c r="AI46" i="234" s="1"/>
  <c r="A46" i="234"/>
  <c r="F45" i="234"/>
  <c r="AM45" i="234" s="1"/>
  <c r="E45" i="234"/>
  <c r="AL45" i="234" s="1"/>
  <c r="D45" i="234"/>
  <c r="AK45" i="234" s="1"/>
  <c r="B45" i="234"/>
  <c r="AI45" i="234" s="1"/>
  <c r="A45" i="234"/>
  <c r="F44" i="234"/>
  <c r="AM44" i="234" s="1"/>
  <c r="E44" i="234"/>
  <c r="AL44" i="234" s="1"/>
  <c r="D44" i="234"/>
  <c r="AK44" i="234" s="1"/>
  <c r="B44" i="234"/>
  <c r="AI44" i="234" s="1"/>
  <c r="A44" i="234"/>
  <c r="F43" i="234"/>
  <c r="AM43" i="234" s="1"/>
  <c r="E43" i="234"/>
  <c r="AL43" i="234" s="1"/>
  <c r="D43" i="234"/>
  <c r="AK43" i="234" s="1"/>
  <c r="B43" i="234"/>
  <c r="AI43" i="234" s="1"/>
  <c r="A43" i="234"/>
  <c r="F42" i="234"/>
  <c r="AM42" i="234" s="1"/>
  <c r="E42" i="234"/>
  <c r="AL42" i="234" s="1"/>
  <c r="D42" i="234"/>
  <c r="AK42" i="234" s="1"/>
  <c r="B42" i="234"/>
  <c r="AI42" i="234" s="1"/>
  <c r="A42" i="234"/>
  <c r="F41" i="234"/>
  <c r="AM41" i="234" s="1"/>
  <c r="E41" i="234"/>
  <c r="AL41" i="234" s="1"/>
  <c r="D41" i="234"/>
  <c r="AK41" i="234" s="1"/>
  <c r="B41" i="234"/>
  <c r="AI41" i="234" s="1"/>
  <c r="A41" i="234"/>
  <c r="F40" i="234"/>
  <c r="AM40" i="234" s="1"/>
  <c r="E40" i="234"/>
  <c r="AL40" i="234" s="1"/>
  <c r="D40" i="234"/>
  <c r="AK40" i="234" s="1"/>
  <c r="B40" i="234"/>
  <c r="AI40" i="234" s="1"/>
  <c r="A40" i="234"/>
  <c r="F39" i="234"/>
  <c r="AM39" i="234" s="1"/>
  <c r="E39" i="234"/>
  <c r="AL39" i="234" s="1"/>
  <c r="D39" i="234"/>
  <c r="AK39" i="234" s="1"/>
  <c r="B39" i="234"/>
  <c r="AI39" i="234" s="1"/>
  <c r="A39" i="234"/>
  <c r="F38" i="234"/>
  <c r="AM38" i="234" s="1"/>
  <c r="E38" i="234"/>
  <c r="AL38" i="234" s="1"/>
  <c r="D38" i="234"/>
  <c r="AK38" i="234" s="1"/>
  <c r="B38" i="234"/>
  <c r="AI38" i="234" s="1"/>
  <c r="A38" i="234"/>
  <c r="F37" i="234"/>
  <c r="AM37" i="234" s="1"/>
  <c r="E37" i="234"/>
  <c r="AL37" i="234" s="1"/>
  <c r="D37" i="234"/>
  <c r="AK37" i="234" s="1"/>
  <c r="B37" i="234"/>
  <c r="AI37" i="234" s="1"/>
  <c r="A37" i="234"/>
  <c r="B36" i="234"/>
  <c r="AI36" i="234" s="1"/>
  <c r="A36" i="234"/>
  <c r="F35" i="234"/>
  <c r="AM35" i="234" s="1"/>
  <c r="E35" i="234"/>
  <c r="AL35" i="234" s="1"/>
  <c r="D35" i="234"/>
  <c r="AK35" i="234" s="1"/>
  <c r="B35" i="234"/>
  <c r="AI35" i="234" s="1"/>
  <c r="A35" i="234"/>
  <c r="F34" i="234"/>
  <c r="AM34" i="234" s="1"/>
  <c r="E34" i="234"/>
  <c r="AL34" i="234" s="1"/>
  <c r="D34" i="234"/>
  <c r="AK34" i="234" s="1"/>
  <c r="B34" i="234"/>
  <c r="AI34" i="234" s="1"/>
  <c r="A34" i="234"/>
  <c r="F33" i="234"/>
  <c r="AM33" i="234" s="1"/>
  <c r="E33" i="234"/>
  <c r="AL33" i="234" s="1"/>
  <c r="D33" i="234"/>
  <c r="AK33" i="234" s="1"/>
  <c r="B33" i="234"/>
  <c r="AI33" i="234" s="1"/>
  <c r="A33" i="234"/>
  <c r="B32" i="234"/>
  <c r="AI32" i="234" s="1"/>
  <c r="A32" i="234"/>
  <c r="F31" i="234"/>
  <c r="AM31" i="234" s="1"/>
  <c r="E31" i="234"/>
  <c r="AL31" i="234" s="1"/>
  <c r="D31" i="234"/>
  <c r="AK31" i="234" s="1"/>
  <c r="B31" i="234"/>
  <c r="AI31" i="234" s="1"/>
  <c r="A31" i="234"/>
  <c r="F30" i="234"/>
  <c r="AM30" i="234" s="1"/>
  <c r="E30" i="234"/>
  <c r="AL30" i="234" s="1"/>
  <c r="D30" i="234"/>
  <c r="AK30" i="234" s="1"/>
  <c r="B30" i="234"/>
  <c r="AI30" i="234" s="1"/>
  <c r="A30" i="234"/>
  <c r="F29" i="234"/>
  <c r="O29" i="234" s="1"/>
  <c r="E29" i="234"/>
  <c r="AL29" i="234" s="1"/>
  <c r="D29" i="234"/>
  <c r="AK29" i="234" s="1"/>
  <c r="B29" i="234"/>
  <c r="AI29" i="234" s="1"/>
  <c r="A29" i="234"/>
  <c r="B28" i="234"/>
  <c r="AI28" i="234" s="1"/>
  <c r="A28" i="234"/>
  <c r="F27" i="234"/>
  <c r="AM27" i="234" s="1"/>
  <c r="E27" i="234"/>
  <c r="AL27" i="234" s="1"/>
  <c r="D27" i="234"/>
  <c r="AK27" i="234" s="1"/>
  <c r="B27" i="234"/>
  <c r="AI27" i="234" s="1"/>
  <c r="A27" i="234"/>
  <c r="F26" i="234"/>
  <c r="AM26" i="234" s="1"/>
  <c r="E26" i="234"/>
  <c r="AL26" i="234" s="1"/>
  <c r="D26" i="234"/>
  <c r="AK26" i="234" s="1"/>
  <c r="B26" i="234"/>
  <c r="AI26" i="234" s="1"/>
  <c r="A26" i="234"/>
  <c r="F25" i="234"/>
  <c r="AM25" i="234" s="1"/>
  <c r="E25" i="234"/>
  <c r="AL25" i="234" s="1"/>
  <c r="D25" i="234"/>
  <c r="AK25" i="234" s="1"/>
  <c r="B25" i="234"/>
  <c r="AI25" i="234" s="1"/>
  <c r="A25" i="234"/>
  <c r="F24" i="234"/>
  <c r="AM24" i="234" s="1"/>
  <c r="E24" i="234"/>
  <c r="AL24" i="234" s="1"/>
  <c r="D24" i="234"/>
  <c r="AK24" i="234" s="1"/>
  <c r="B24" i="234"/>
  <c r="AI24" i="234" s="1"/>
  <c r="A24" i="234"/>
  <c r="B23" i="234"/>
  <c r="AI23" i="234" s="1"/>
  <c r="A23" i="234"/>
  <c r="B22" i="234"/>
  <c r="AI22" i="234" s="1"/>
  <c r="A22" i="234"/>
  <c r="F21" i="234"/>
  <c r="AM21" i="234" s="1"/>
  <c r="E21" i="234"/>
  <c r="AL21" i="234" s="1"/>
  <c r="D21" i="234"/>
  <c r="AK21" i="234" s="1"/>
  <c r="C21" i="234"/>
  <c r="B21" i="234"/>
  <c r="AI21" i="234" s="1"/>
  <c r="A21" i="234"/>
  <c r="F20" i="234"/>
  <c r="AM20" i="234" s="1"/>
  <c r="E20" i="234"/>
  <c r="AL20" i="234" s="1"/>
  <c r="D20" i="234"/>
  <c r="AK20" i="234" s="1"/>
  <c r="C20" i="234"/>
  <c r="B20" i="234"/>
  <c r="AI20" i="234" s="1"/>
  <c r="A20" i="234"/>
  <c r="F19" i="234"/>
  <c r="AM19" i="234" s="1"/>
  <c r="E19" i="234"/>
  <c r="AL19" i="234" s="1"/>
  <c r="D19" i="234"/>
  <c r="AK19" i="234" s="1"/>
  <c r="C19" i="234"/>
  <c r="B19" i="234"/>
  <c r="AI19" i="234" s="1"/>
  <c r="A19" i="234"/>
  <c r="F18" i="234"/>
  <c r="AM18" i="234" s="1"/>
  <c r="E18" i="234"/>
  <c r="AL18" i="234" s="1"/>
  <c r="D18" i="234"/>
  <c r="AK18" i="234" s="1"/>
  <c r="B18" i="234"/>
  <c r="AI18" i="234" s="1"/>
  <c r="A18" i="234"/>
  <c r="F17" i="234"/>
  <c r="AM17" i="234" s="1"/>
  <c r="E17" i="234"/>
  <c r="AL17" i="234" s="1"/>
  <c r="D17" i="234"/>
  <c r="AK17" i="234" s="1"/>
  <c r="B17" i="234"/>
  <c r="AI17" i="234" s="1"/>
  <c r="A17" i="234"/>
  <c r="F16" i="234"/>
  <c r="AM16" i="234" s="1"/>
  <c r="E16" i="234"/>
  <c r="AL16" i="234" s="1"/>
  <c r="D16" i="234"/>
  <c r="AK16" i="234" s="1"/>
  <c r="B16" i="234"/>
  <c r="AI16" i="234" s="1"/>
  <c r="A16" i="234"/>
  <c r="F15" i="234"/>
  <c r="AM15" i="234" s="1"/>
  <c r="E15" i="234"/>
  <c r="AL15" i="234" s="1"/>
  <c r="D15" i="234"/>
  <c r="AK15" i="234" s="1"/>
  <c r="B15" i="234"/>
  <c r="AI15" i="234" s="1"/>
  <c r="A15" i="234"/>
  <c r="F14" i="234"/>
  <c r="AM14" i="234" s="1"/>
  <c r="E14" i="234"/>
  <c r="AL14" i="234" s="1"/>
  <c r="D14" i="234"/>
  <c r="AK14" i="234" s="1"/>
  <c r="B14" i="234"/>
  <c r="AI14" i="234" s="1"/>
  <c r="A14" i="234"/>
  <c r="F13" i="234"/>
  <c r="AM13" i="234" s="1"/>
  <c r="E13" i="234"/>
  <c r="AL13" i="234" s="1"/>
  <c r="D13" i="234"/>
  <c r="AK13" i="234" s="1"/>
  <c r="B13" i="234"/>
  <c r="AI13" i="234" s="1"/>
  <c r="A13" i="234"/>
  <c r="F12" i="234"/>
  <c r="AM12" i="234" s="1"/>
  <c r="E12" i="234"/>
  <c r="AL12" i="234" s="1"/>
  <c r="D12" i="234"/>
  <c r="AK12" i="234" s="1"/>
  <c r="B12" i="234"/>
  <c r="AI12" i="234" s="1"/>
  <c r="A12" i="234"/>
  <c r="F11" i="234"/>
  <c r="AM11" i="234" s="1"/>
  <c r="E11" i="234"/>
  <c r="AL11" i="234" s="1"/>
  <c r="D11" i="234"/>
  <c r="AK11" i="234" s="1"/>
  <c r="B11" i="234"/>
  <c r="AI11" i="234" s="1"/>
  <c r="A11" i="234"/>
  <c r="B10" i="234"/>
  <c r="AI10" i="234" s="1"/>
  <c r="A10" i="234"/>
  <c r="F9" i="234"/>
  <c r="AM9" i="234" s="1"/>
  <c r="E9" i="234"/>
  <c r="AL9" i="234" s="1"/>
  <c r="D9" i="234"/>
  <c r="AK9" i="234" s="1"/>
  <c r="B9" i="234"/>
  <c r="AI9" i="234" s="1"/>
  <c r="A9" i="234"/>
  <c r="B8" i="234"/>
  <c r="A8" i="234"/>
  <c r="B7" i="234"/>
  <c r="A7" i="234"/>
  <c r="AZ6" i="234"/>
  <c r="AT6" i="234"/>
  <c r="AQ6" i="234"/>
  <c r="AN6" i="234"/>
  <c r="AK6" i="234"/>
  <c r="N6" i="234"/>
  <c r="W6" i="234" s="1"/>
  <c r="AF6" i="234" s="1"/>
  <c r="M6" i="234"/>
  <c r="V6" i="234" s="1"/>
  <c r="AE6" i="234" s="1"/>
  <c r="L6" i="234"/>
  <c r="U6" i="234" s="1"/>
  <c r="AD6" i="234" s="1"/>
  <c r="K6" i="234"/>
  <c r="T6" i="234" s="1"/>
  <c r="AC6" i="234" s="1"/>
  <c r="J6" i="234"/>
  <c r="S6" i="234" s="1"/>
  <c r="AB6" i="234" s="1"/>
  <c r="I6" i="234"/>
  <c r="R6" i="234" s="1"/>
  <c r="AA6" i="234" s="1"/>
  <c r="H6" i="234"/>
  <c r="Q6" i="234" s="1"/>
  <c r="Z6" i="234" s="1"/>
  <c r="G6" i="234"/>
  <c r="P6" i="234" s="1"/>
  <c r="Y6" i="234" s="1"/>
  <c r="F6" i="234"/>
  <c r="E6" i="234"/>
  <c r="F5" i="234"/>
  <c r="AM5" i="234" s="1"/>
  <c r="AN5" i="234" s="1"/>
  <c r="A3" i="234"/>
  <c r="A1" i="234"/>
  <c r="D110" i="192"/>
  <c r="B104" i="192"/>
  <c r="B95" i="2" s="1"/>
  <c r="F103" i="192"/>
  <c r="F94" i="2" s="1"/>
  <c r="E103" i="192"/>
  <c r="E94" i="2" s="1"/>
  <c r="D103" i="192"/>
  <c r="D94" i="2" s="1"/>
  <c r="B103" i="192"/>
  <c r="B94" i="2" s="1"/>
  <c r="A103" i="192"/>
  <c r="F102" i="192"/>
  <c r="F93" i="2" s="1"/>
  <c r="E102" i="192"/>
  <c r="E93" i="2" s="1"/>
  <c r="D102" i="192"/>
  <c r="D93" i="2" s="1"/>
  <c r="B102" i="192"/>
  <c r="B93" i="2" s="1"/>
  <c r="A102" i="192"/>
  <c r="AG101" i="192"/>
  <c r="I92" i="2" s="1"/>
  <c r="X101" i="192"/>
  <c r="H92" i="2" s="1"/>
  <c r="B101" i="192"/>
  <c r="B92" i="2" s="1"/>
  <c r="A101" i="192"/>
  <c r="F100" i="192"/>
  <c r="F91" i="2" s="1"/>
  <c r="E100" i="192"/>
  <c r="E91" i="2" s="1"/>
  <c r="D100" i="192"/>
  <c r="D91" i="2" s="1"/>
  <c r="B100" i="192"/>
  <c r="B91" i="2" s="1"/>
  <c r="A100" i="192"/>
  <c r="F99" i="192"/>
  <c r="F90" i="2" s="1"/>
  <c r="E99" i="192"/>
  <c r="E90" i="2" s="1"/>
  <c r="D99" i="192"/>
  <c r="D90" i="2" s="1"/>
  <c r="B99" i="192"/>
  <c r="B90" i="2" s="1"/>
  <c r="A99" i="192"/>
  <c r="AG98" i="192"/>
  <c r="I89" i="2" s="1"/>
  <c r="X98" i="192"/>
  <c r="H89" i="2" s="1"/>
  <c r="O98" i="192"/>
  <c r="G89" i="2" s="1"/>
  <c r="B98" i="192"/>
  <c r="B89" i="2" s="1"/>
  <c r="A98" i="192"/>
  <c r="F97" i="192"/>
  <c r="F88" i="2" s="1"/>
  <c r="E97" i="192"/>
  <c r="E88" i="2" s="1"/>
  <c r="D97" i="192"/>
  <c r="D88" i="2" s="1"/>
  <c r="B97" i="192"/>
  <c r="B88" i="2" s="1"/>
  <c r="A97" i="192"/>
  <c r="F96" i="192"/>
  <c r="F87" i="2" s="1"/>
  <c r="E96" i="192"/>
  <c r="E87" i="2" s="1"/>
  <c r="D96" i="192"/>
  <c r="D87" i="2" s="1"/>
  <c r="B96" i="192"/>
  <c r="B87" i="2" s="1"/>
  <c r="A96" i="192"/>
  <c r="F95" i="192"/>
  <c r="F86" i="2" s="1"/>
  <c r="E95" i="192"/>
  <c r="E86" i="2" s="1"/>
  <c r="D95" i="192"/>
  <c r="D86" i="2" s="1"/>
  <c r="B95" i="192"/>
  <c r="B86" i="2" s="1"/>
  <c r="A95" i="192"/>
  <c r="O94" i="192"/>
  <c r="G85" i="2" s="1"/>
  <c r="B94" i="192"/>
  <c r="B85" i="2" s="1"/>
  <c r="A94" i="192"/>
  <c r="F93" i="192"/>
  <c r="F84" i="2" s="1"/>
  <c r="E93" i="192"/>
  <c r="E84" i="2" s="1"/>
  <c r="D93" i="192"/>
  <c r="D84" i="2" s="1"/>
  <c r="B93" i="192"/>
  <c r="B84" i="2" s="1"/>
  <c r="A93" i="192"/>
  <c r="O92" i="192"/>
  <c r="G83" i="2" s="1"/>
  <c r="B92" i="192"/>
  <c r="B83" i="2" s="1"/>
  <c r="A92" i="192"/>
  <c r="F91" i="192"/>
  <c r="F82" i="2" s="1"/>
  <c r="E91" i="192"/>
  <c r="E82" i="2" s="1"/>
  <c r="D91" i="192"/>
  <c r="D82" i="2" s="1"/>
  <c r="B91" i="192"/>
  <c r="B82" i="2" s="1"/>
  <c r="A91" i="192"/>
  <c r="F90" i="192"/>
  <c r="F81" i="2" s="1"/>
  <c r="E90" i="192"/>
  <c r="E81" i="2" s="1"/>
  <c r="D90" i="192"/>
  <c r="D81" i="2" s="1"/>
  <c r="B90" i="192"/>
  <c r="B81" i="2" s="1"/>
  <c r="A90" i="192"/>
  <c r="F89" i="192"/>
  <c r="F80" i="2" s="1"/>
  <c r="E89" i="192"/>
  <c r="E80" i="2" s="1"/>
  <c r="D89" i="192"/>
  <c r="D80" i="2" s="1"/>
  <c r="B89" i="192"/>
  <c r="B80" i="2" s="1"/>
  <c r="A89" i="192"/>
  <c r="F88" i="192"/>
  <c r="F79" i="2" s="1"/>
  <c r="E88" i="192"/>
  <c r="E79" i="2" s="1"/>
  <c r="D88" i="192"/>
  <c r="D79" i="2" s="1"/>
  <c r="B88" i="192"/>
  <c r="B79" i="2" s="1"/>
  <c r="A88" i="192"/>
  <c r="F87" i="192"/>
  <c r="F78" i="2" s="1"/>
  <c r="E87" i="192"/>
  <c r="E78" i="2" s="1"/>
  <c r="D87" i="192"/>
  <c r="D78" i="2" s="1"/>
  <c r="B87" i="192"/>
  <c r="B78" i="2" s="1"/>
  <c r="A87" i="192"/>
  <c r="F86" i="192"/>
  <c r="F77" i="2" s="1"/>
  <c r="E86" i="192"/>
  <c r="E77" i="2" s="1"/>
  <c r="D86" i="192"/>
  <c r="D77" i="2" s="1"/>
  <c r="B86" i="192"/>
  <c r="B77" i="2" s="1"/>
  <c r="A86" i="192"/>
  <c r="F85" i="192"/>
  <c r="F76" i="2" s="1"/>
  <c r="E85" i="192"/>
  <c r="E76" i="2" s="1"/>
  <c r="D85" i="192"/>
  <c r="D76" i="2" s="1"/>
  <c r="B85" i="192"/>
  <c r="B76" i="2" s="1"/>
  <c r="A85" i="192"/>
  <c r="F84" i="192"/>
  <c r="F75" i="2" s="1"/>
  <c r="E84" i="192"/>
  <c r="E75" i="2" s="1"/>
  <c r="D84" i="192"/>
  <c r="D75" i="2" s="1"/>
  <c r="B84" i="192"/>
  <c r="B75" i="2" s="1"/>
  <c r="A84" i="192"/>
  <c r="F83" i="192"/>
  <c r="F74" i="2" s="1"/>
  <c r="E83" i="192"/>
  <c r="E74" i="2" s="1"/>
  <c r="D83" i="192"/>
  <c r="D74" i="2" s="1"/>
  <c r="B83" i="192"/>
  <c r="B74" i="2" s="1"/>
  <c r="A83" i="192"/>
  <c r="F82" i="192"/>
  <c r="F73" i="2" s="1"/>
  <c r="E82" i="192"/>
  <c r="E73" i="2" s="1"/>
  <c r="D82" i="192"/>
  <c r="D73" i="2" s="1"/>
  <c r="B82" i="192"/>
  <c r="B73" i="2" s="1"/>
  <c r="A82" i="192"/>
  <c r="F81" i="192"/>
  <c r="F72" i="2" s="1"/>
  <c r="E81" i="192"/>
  <c r="E72" i="2" s="1"/>
  <c r="D81" i="192"/>
  <c r="D72" i="2" s="1"/>
  <c r="B81" i="192"/>
  <c r="B72" i="2" s="1"/>
  <c r="A81" i="192"/>
  <c r="F80" i="192"/>
  <c r="F71" i="2" s="1"/>
  <c r="E80" i="192"/>
  <c r="E71" i="2" s="1"/>
  <c r="D80" i="192"/>
  <c r="D71" i="2" s="1"/>
  <c r="B80" i="192"/>
  <c r="B71" i="2" s="1"/>
  <c r="A80" i="192"/>
  <c r="F79" i="192"/>
  <c r="F70" i="2" s="1"/>
  <c r="E79" i="192"/>
  <c r="E70" i="2" s="1"/>
  <c r="D79" i="192"/>
  <c r="D70" i="2" s="1"/>
  <c r="B79" i="192"/>
  <c r="B70" i="2" s="1"/>
  <c r="A79" i="192"/>
  <c r="F78" i="192"/>
  <c r="F69" i="2" s="1"/>
  <c r="E78" i="192"/>
  <c r="E69" i="2" s="1"/>
  <c r="D78" i="192"/>
  <c r="D69" i="2" s="1"/>
  <c r="B78" i="192"/>
  <c r="B69" i="2" s="1"/>
  <c r="A78" i="192"/>
  <c r="AG77" i="192"/>
  <c r="I68" i="2" s="1"/>
  <c r="X77" i="192"/>
  <c r="H68" i="2" s="1"/>
  <c r="O77" i="192"/>
  <c r="G68" i="2" s="1"/>
  <c r="B77" i="192"/>
  <c r="B68" i="2" s="1"/>
  <c r="A77" i="192"/>
  <c r="O76" i="192"/>
  <c r="X76" i="192" s="1"/>
  <c r="AG76" i="192" s="1"/>
  <c r="F73" i="192"/>
  <c r="O73" i="192" s="1"/>
  <c r="X73" i="192" s="1"/>
  <c r="AG73" i="192" s="1"/>
  <c r="E73" i="192"/>
  <c r="E67" i="2" s="1"/>
  <c r="D73" i="192"/>
  <c r="D67" i="2" s="1"/>
  <c r="B73" i="192"/>
  <c r="B67" i="2" s="1"/>
  <c r="A73" i="192"/>
  <c r="F72" i="192"/>
  <c r="F66" i="2" s="1"/>
  <c r="E72" i="192"/>
  <c r="E66" i="2" s="1"/>
  <c r="D72" i="192"/>
  <c r="D66" i="2" s="1"/>
  <c r="B72" i="192"/>
  <c r="B66" i="2" s="1"/>
  <c r="A72" i="192"/>
  <c r="F71" i="192"/>
  <c r="F65" i="2" s="1"/>
  <c r="E71" i="192"/>
  <c r="E65" i="2" s="1"/>
  <c r="D71" i="192"/>
  <c r="D65" i="2" s="1"/>
  <c r="B71" i="192"/>
  <c r="B65" i="2" s="1"/>
  <c r="A71" i="192"/>
  <c r="F70" i="192"/>
  <c r="F64" i="2" s="1"/>
  <c r="E70" i="192"/>
  <c r="E64" i="2" s="1"/>
  <c r="D70" i="192"/>
  <c r="D64" i="2" s="1"/>
  <c r="B70" i="192"/>
  <c r="B64" i="2" s="1"/>
  <c r="A70" i="192"/>
  <c r="F69" i="192"/>
  <c r="O69" i="192" s="1"/>
  <c r="E69" i="192"/>
  <c r="E63" i="2" s="1"/>
  <c r="D69" i="192"/>
  <c r="D63" i="2" s="1"/>
  <c r="B69" i="192"/>
  <c r="B63" i="2" s="1"/>
  <c r="A69" i="192"/>
  <c r="F68" i="192"/>
  <c r="F62" i="2" s="1"/>
  <c r="E68" i="192"/>
  <c r="E62" i="2" s="1"/>
  <c r="D68" i="192"/>
  <c r="D62" i="2" s="1"/>
  <c r="B68" i="192"/>
  <c r="B62" i="2" s="1"/>
  <c r="A68" i="192"/>
  <c r="F67" i="192"/>
  <c r="F61" i="2" s="1"/>
  <c r="E67" i="192"/>
  <c r="E61" i="2" s="1"/>
  <c r="D67" i="192"/>
  <c r="D61" i="2" s="1"/>
  <c r="B67" i="192"/>
  <c r="B61" i="2" s="1"/>
  <c r="A67" i="192"/>
  <c r="F66" i="192"/>
  <c r="F60" i="2" s="1"/>
  <c r="E66" i="192"/>
  <c r="E60" i="2" s="1"/>
  <c r="D66" i="192"/>
  <c r="D60" i="2" s="1"/>
  <c r="B66" i="192"/>
  <c r="B60" i="2" s="1"/>
  <c r="A66" i="192"/>
  <c r="F65" i="192"/>
  <c r="F59" i="2" s="1"/>
  <c r="E65" i="192"/>
  <c r="E59" i="2" s="1"/>
  <c r="D65" i="192"/>
  <c r="D59" i="2" s="1"/>
  <c r="B65" i="192"/>
  <c r="B59" i="2" s="1"/>
  <c r="A65" i="192"/>
  <c r="F64" i="192"/>
  <c r="O64" i="192" s="1"/>
  <c r="E64" i="192"/>
  <c r="E58" i="2" s="1"/>
  <c r="D64" i="192"/>
  <c r="D58" i="2" s="1"/>
  <c r="B64" i="192"/>
  <c r="B58" i="2" s="1"/>
  <c r="A64" i="192"/>
  <c r="F63" i="192"/>
  <c r="F57" i="2" s="1"/>
  <c r="E63" i="192"/>
  <c r="E57" i="2" s="1"/>
  <c r="D63" i="192"/>
  <c r="D57" i="2" s="1"/>
  <c r="B63" i="192"/>
  <c r="B57" i="2" s="1"/>
  <c r="A63" i="192"/>
  <c r="F62" i="192"/>
  <c r="F56" i="2" s="1"/>
  <c r="E62" i="192"/>
  <c r="E56" i="2" s="1"/>
  <c r="D62" i="192"/>
  <c r="D56" i="2" s="1"/>
  <c r="B62" i="192"/>
  <c r="B56" i="2" s="1"/>
  <c r="A62" i="192"/>
  <c r="F61" i="192"/>
  <c r="F55" i="2" s="1"/>
  <c r="E61" i="192"/>
  <c r="E55" i="2" s="1"/>
  <c r="D61" i="192"/>
  <c r="D55" i="2" s="1"/>
  <c r="B61" i="192"/>
  <c r="B55" i="2" s="1"/>
  <c r="A61" i="192"/>
  <c r="B60" i="192"/>
  <c r="B54" i="2" s="1"/>
  <c r="A60" i="192"/>
  <c r="F59" i="192"/>
  <c r="F53" i="2" s="1"/>
  <c r="E59" i="192"/>
  <c r="E53" i="2" s="1"/>
  <c r="D59" i="192"/>
  <c r="D53" i="2" s="1"/>
  <c r="B59" i="192"/>
  <c r="B53" i="2" s="1"/>
  <c r="A59" i="192"/>
  <c r="F58" i="192"/>
  <c r="E58" i="192"/>
  <c r="E52" i="2" s="1"/>
  <c r="D58" i="192"/>
  <c r="D52" i="2" s="1"/>
  <c r="B58" i="192"/>
  <c r="B52" i="2" s="1"/>
  <c r="A58" i="192"/>
  <c r="F57" i="192"/>
  <c r="F51" i="2" s="1"/>
  <c r="E57" i="192"/>
  <c r="E51" i="2" s="1"/>
  <c r="D57" i="192"/>
  <c r="D51" i="2" s="1"/>
  <c r="B57" i="192"/>
  <c r="B51" i="2" s="1"/>
  <c r="A57" i="192"/>
  <c r="F56" i="192"/>
  <c r="O56" i="192" s="1"/>
  <c r="X56" i="192" s="1"/>
  <c r="AG56" i="192" s="1"/>
  <c r="E56" i="192"/>
  <c r="E50" i="2" s="1"/>
  <c r="D56" i="192"/>
  <c r="D50" i="2" s="1"/>
  <c r="B56" i="192"/>
  <c r="B50" i="2" s="1"/>
  <c r="A56" i="192"/>
  <c r="F55" i="192"/>
  <c r="F49" i="2" s="1"/>
  <c r="E55" i="192"/>
  <c r="E49" i="2" s="1"/>
  <c r="D55" i="192"/>
  <c r="D49" i="2" s="1"/>
  <c r="B55" i="192"/>
  <c r="B49" i="2" s="1"/>
  <c r="A55" i="192"/>
  <c r="F54" i="192"/>
  <c r="E54" i="192"/>
  <c r="E48" i="2" s="1"/>
  <c r="D54" i="192"/>
  <c r="D48" i="2" s="1"/>
  <c r="B54" i="192"/>
  <c r="B48" i="2" s="1"/>
  <c r="A54" i="192"/>
  <c r="F53" i="192"/>
  <c r="F47" i="2" s="1"/>
  <c r="E53" i="192"/>
  <c r="E47" i="2" s="1"/>
  <c r="D53" i="192"/>
  <c r="D47" i="2" s="1"/>
  <c r="B53" i="192"/>
  <c r="B47" i="2" s="1"/>
  <c r="A53" i="192"/>
  <c r="F52" i="192"/>
  <c r="F46" i="2" s="1"/>
  <c r="E52" i="192"/>
  <c r="E46" i="2" s="1"/>
  <c r="D52" i="192"/>
  <c r="D46" i="2" s="1"/>
  <c r="B52" i="192"/>
  <c r="B46" i="2" s="1"/>
  <c r="A52" i="192"/>
  <c r="F51" i="192"/>
  <c r="F45" i="2" s="1"/>
  <c r="E51" i="192"/>
  <c r="E45" i="2" s="1"/>
  <c r="D51" i="192"/>
  <c r="D45" i="2" s="1"/>
  <c r="B51" i="192"/>
  <c r="B45" i="2" s="1"/>
  <c r="A51" i="192"/>
  <c r="F50" i="192"/>
  <c r="E50" i="192"/>
  <c r="E44" i="2" s="1"/>
  <c r="D50" i="192"/>
  <c r="D44" i="2" s="1"/>
  <c r="B50" i="192"/>
  <c r="B44" i="2" s="1"/>
  <c r="A50" i="192"/>
  <c r="F49" i="192"/>
  <c r="E49" i="192"/>
  <c r="E43" i="2" s="1"/>
  <c r="D49" i="192"/>
  <c r="D43" i="2" s="1"/>
  <c r="B49" i="192"/>
  <c r="B43" i="2" s="1"/>
  <c r="A49" i="192"/>
  <c r="F48" i="192"/>
  <c r="F42" i="2" s="1"/>
  <c r="E48" i="192"/>
  <c r="E42" i="2" s="1"/>
  <c r="D48" i="192"/>
  <c r="D42" i="2" s="1"/>
  <c r="B48" i="192"/>
  <c r="B42" i="2" s="1"/>
  <c r="A48" i="192"/>
  <c r="F47" i="192"/>
  <c r="O47" i="192" s="1"/>
  <c r="E47" i="192"/>
  <c r="E41" i="2" s="1"/>
  <c r="D47" i="192"/>
  <c r="D41" i="2" s="1"/>
  <c r="B47" i="192"/>
  <c r="B41" i="2" s="1"/>
  <c r="A47" i="192"/>
  <c r="B46" i="192"/>
  <c r="B40" i="2" s="1"/>
  <c r="A46" i="192"/>
  <c r="F45" i="192"/>
  <c r="O45" i="192" s="1"/>
  <c r="X45" i="192" s="1"/>
  <c r="AG45" i="192" s="1"/>
  <c r="E45" i="192"/>
  <c r="B45" i="192"/>
  <c r="A45" i="192"/>
  <c r="F44" i="192"/>
  <c r="F39" i="2" s="1"/>
  <c r="E44" i="192"/>
  <c r="E39" i="2" s="1"/>
  <c r="D44" i="192"/>
  <c r="D39" i="2" s="1"/>
  <c r="B44" i="192"/>
  <c r="B39" i="2" s="1"/>
  <c r="A44" i="192"/>
  <c r="F43" i="192"/>
  <c r="F38" i="2" s="1"/>
  <c r="E43" i="192"/>
  <c r="E38" i="2" s="1"/>
  <c r="D43" i="192"/>
  <c r="D38" i="2" s="1"/>
  <c r="B43" i="192"/>
  <c r="B38" i="2" s="1"/>
  <c r="A43" i="192"/>
  <c r="F42" i="192"/>
  <c r="O42" i="192" s="1"/>
  <c r="E42" i="192"/>
  <c r="E37" i="2" s="1"/>
  <c r="D42" i="192"/>
  <c r="D37" i="2" s="1"/>
  <c r="B42" i="192"/>
  <c r="B37" i="2" s="1"/>
  <c r="A42" i="192"/>
  <c r="B41" i="192"/>
  <c r="B36" i="2" s="1"/>
  <c r="A41" i="192"/>
  <c r="F40" i="192"/>
  <c r="F35" i="2" s="1"/>
  <c r="E40" i="192"/>
  <c r="E35" i="2" s="1"/>
  <c r="D40" i="192"/>
  <c r="D35" i="2" s="1"/>
  <c r="B40" i="192"/>
  <c r="B35" i="2" s="1"/>
  <c r="A40" i="192"/>
  <c r="F39" i="192"/>
  <c r="O39" i="192" s="1"/>
  <c r="E39" i="192"/>
  <c r="E34" i="2" s="1"/>
  <c r="D39" i="192"/>
  <c r="D34" i="2" s="1"/>
  <c r="B39" i="192"/>
  <c r="B34" i="2" s="1"/>
  <c r="A39" i="192"/>
  <c r="F38" i="192"/>
  <c r="E38" i="192"/>
  <c r="E33" i="2" s="1"/>
  <c r="D38" i="192"/>
  <c r="D33" i="2" s="1"/>
  <c r="B38" i="192"/>
  <c r="B33" i="2" s="1"/>
  <c r="A38" i="192"/>
  <c r="B37" i="192"/>
  <c r="B32" i="2" s="1"/>
  <c r="A37" i="192"/>
  <c r="F36" i="192"/>
  <c r="F31" i="2" s="1"/>
  <c r="E36" i="192"/>
  <c r="E31" i="2" s="1"/>
  <c r="D36" i="192"/>
  <c r="D31" i="2" s="1"/>
  <c r="B36" i="192"/>
  <c r="B31" i="2" s="1"/>
  <c r="A36" i="192"/>
  <c r="F35" i="192"/>
  <c r="F30" i="2" s="1"/>
  <c r="E35" i="192"/>
  <c r="E30" i="2" s="1"/>
  <c r="D35" i="192"/>
  <c r="D30" i="2" s="1"/>
  <c r="B35" i="192"/>
  <c r="B30" i="2" s="1"/>
  <c r="A35" i="192"/>
  <c r="F34" i="192"/>
  <c r="F29" i="2" s="1"/>
  <c r="E34" i="192"/>
  <c r="E29" i="2" s="1"/>
  <c r="D34" i="192"/>
  <c r="D29" i="2" s="1"/>
  <c r="B34" i="192"/>
  <c r="B29" i="2" s="1"/>
  <c r="A34" i="192"/>
  <c r="F33" i="192"/>
  <c r="E33" i="192"/>
  <c r="E28" i="2" s="1"/>
  <c r="D33" i="192"/>
  <c r="D28" i="2" s="1"/>
  <c r="B33" i="192"/>
  <c r="B28" i="2" s="1"/>
  <c r="A33" i="192"/>
  <c r="B32" i="192"/>
  <c r="B27" i="2" s="1"/>
  <c r="A32" i="192"/>
  <c r="B31" i="192"/>
  <c r="B26" i="2" s="1"/>
  <c r="A31" i="192"/>
  <c r="AG30" i="192"/>
  <c r="X30" i="192"/>
  <c r="O30" i="192"/>
  <c r="L30" i="192"/>
  <c r="U30" i="192" s="1"/>
  <c r="AD30" i="192" s="1"/>
  <c r="K30" i="192"/>
  <c r="T30" i="192" s="1"/>
  <c r="AC30" i="192" s="1"/>
  <c r="J30" i="192"/>
  <c r="S30" i="192" s="1"/>
  <c r="AB30" i="192" s="1"/>
  <c r="I30" i="192"/>
  <c r="R30" i="192" s="1"/>
  <c r="AA30" i="192" s="1"/>
  <c r="F27" i="192"/>
  <c r="F25" i="2" s="1"/>
  <c r="E27" i="192"/>
  <c r="E25" i="2" s="1"/>
  <c r="D27" i="192"/>
  <c r="D25" i="2" s="1"/>
  <c r="B27" i="192"/>
  <c r="B25" i="2" s="1"/>
  <c r="A27" i="192"/>
  <c r="F26" i="192"/>
  <c r="O26" i="192" s="1"/>
  <c r="E26" i="192"/>
  <c r="E24" i="2" s="1"/>
  <c r="D26" i="192"/>
  <c r="D24" i="2" s="1"/>
  <c r="B26" i="192"/>
  <c r="B24" i="2" s="1"/>
  <c r="A26" i="192"/>
  <c r="F25" i="192"/>
  <c r="F23" i="2" s="1"/>
  <c r="E25" i="192"/>
  <c r="E23" i="2" s="1"/>
  <c r="D25" i="192"/>
  <c r="D23" i="2" s="1"/>
  <c r="B25" i="192"/>
  <c r="B23" i="2" s="1"/>
  <c r="A25" i="192"/>
  <c r="F24" i="192"/>
  <c r="O24" i="192" s="1"/>
  <c r="E24" i="192"/>
  <c r="E22" i="2" s="1"/>
  <c r="D24" i="192"/>
  <c r="D22" i="2" s="1"/>
  <c r="B24" i="192"/>
  <c r="B22" i="2" s="1"/>
  <c r="A24" i="192"/>
  <c r="F23" i="192"/>
  <c r="O23" i="192" s="1"/>
  <c r="E23" i="192"/>
  <c r="E21" i="2" s="1"/>
  <c r="D23" i="192"/>
  <c r="D21" i="2" s="1"/>
  <c r="B23" i="192"/>
  <c r="B21" i="2" s="1"/>
  <c r="A23" i="192"/>
  <c r="B22" i="192"/>
  <c r="B20" i="2" s="1"/>
  <c r="A22" i="192"/>
  <c r="F21" i="192"/>
  <c r="F19" i="2" s="1"/>
  <c r="E21" i="192"/>
  <c r="E19" i="2" s="1"/>
  <c r="D21" i="192"/>
  <c r="D19" i="2" s="1"/>
  <c r="C21" i="192"/>
  <c r="C19" i="2" s="1"/>
  <c r="B21" i="192"/>
  <c r="B19" i="2" s="1"/>
  <c r="A21" i="192"/>
  <c r="F20" i="192"/>
  <c r="O20" i="192" s="1"/>
  <c r="E20" i="192"/>
  <c r="E18" i="2" s="1"/>
  <c r="D20" i="192"/>
  <c r="D18" i="2" s="1"/>
  <c r="C20" i="192"/>
  <c r="C18" i="2" s="1"/>
  <c r="B20" i="192"/>
  <c r="B18" i="2" s="1"/>
  <c r="A20" i="192"/>
  <c r="F19" i="192"/>
  <c r="F17" i="2" s="1"/>
  <c r="E19" i="192"/>
  <c r="E17" i="2" s="1"/>
  <c r="D19" i="192"/>
  <c r="D17" i="2" s="1"/>
  <c r="C19" i="192"/>
  <c r="C17" i="2" s="1"/>
  <c r="B19" i="192"/>
  <c r="B17" i="2" s="1"/>
  <c r="A19" i="192"/>
  <c r="F18" i="192"/>
  <c r="F16" i="2" s="1"/>
  <c r="E18" i="192"/>
  <c r="E16" i="2" s="1"/>
  <c r="D18" i="192"/>
  <c r="D16" i="2" s="1"/>
  <c r="B18" i="192"/>
  <c r="B16" i="2" s="1"/>
  <c r="A18" i="192"/>
  <c r="F17" i="192"/>
  <c r="O17" i="192" s="1"/>
  <c r="X17" i="192" s="1"/>
  <c r="AG17" i="192" s="1"/>
  <c r="E17" i="192"/>
  <c r="E15" i="2" s="1"/>
  <c r="D17" i="192"/>
  <c r="D15" i="2" s="1"/>
  <c r="B17" i="192"/>
  <c r="B15" i="2" s="1"/>
  <c r="A17" i="192"/>
  <c r="F16" i="192"/>
  <c r="O16" i="192" s="1"/>
  <c r="E16" i="192"/>
  <c r="E14" i="2" s="1"/>
  <c r="D16" i="192"/>
  <c r="D14" i="2" s="1"/>
  <c r="B16" i="192"/>
  <c r="B14" i="2" s="1"/>
  <c r="A16" i="192"/>
  <c r="F15" i="192"/>
  <c r="E15" i="192"/>
  <c r="E13" i="2" s="1"/>
  <c r="D15" i="192"/>
  <c r="D13" i="2" s="1"/>
  <c r="B15" i="192"/>
  <c r="B13" i="2" s="1"/>
  <c r="A15" i="192"/>
  <c r="F14" i="192"/>
  <c r="F12" i="2" s="1"/>
  <c r="E14" i="192"/>
  <c r="E12" i="2" s="1"/>
  <c r="D14" i="192"/>
  <c r="D12" i="2" s="1"/>
  <c r="B14" i="192"/>
  <c r="B12" i="2" s="1"/>
  <c r="A14" i="192"/>
  <c r="F13" i="192"/>
  <c r="E13" i="192"/>
  <c r="E11" i="2" s="1"/>
  <c r="D13" i="192"/>
  <c r="D11" i="2" s="1"/>
  <c r="B13" i="192"/>
  <c r="B11" i="2" s="1"/>
  <c r="A13" i="192"/>
  <c r="F12" i="192"/>
  <c r="O12" i="192" s="1"/>
  <c r="E12" i="192"/>
  <c r="E10" i="2" s="1"/>
  <c r="D12" i="192"/>
  <c r="D10" i="2" s="1"/>
  <c r="B12" i="192"/>
  <c r="B10" i="2" s="1"/>
  <c r="A12" i="192"/>
  <c r="F11" i="192"/>
  <c r="E11" i="192"/>
  <c r="E9" i="2" s="1"/>
  <c r="D11" i="192"/>
  <c r="D9" i="2" s="1"/>
  <c r="B11" i="192"/>
  <c r="B9" i="2" s="1"/>
  <c r="A11" i="192"/>
  <c r="B10" i="192"/>
  <c r="B8" i="2" s="1"/>
  <c r="A10" i="192"/>
  <c r="F9" i="192"/>
  <c r="F7" i="2" s="1"/>
  <c r="E9" i="192"/>
  <c r="E7" i="2" s="1"/>
  <c r="D9" i="192"/>
  <c r="D7" i="2" s="1"/>
  <c r="B9" i="192"/>
  <c r="B7" i="2" s="1"/>
  <c r="A9" i="192"/>
  <c r="B8" i="192"/>
  <c r="B6" i="2" s="1"/>
  <c r="A8" i="192"/>
  <c r="B7" i="192"/>
  <c r="B5" i="2" s="1"/>
  <c r="A7" i="192"/>
  <c r="N6" i="192"/>
  <c r="N30" i="192" s="1"/>
  <c r="M6" i="192"/>
  <c r="V6" i="192" s="1"/>
  <c r="AE6" i="192" s="1"/>
  <c r="L6" i="192"/>
  <c r="U6" i="192" s="1"/>
  <c r="AD6" i="192" s="1"/>
  <c r="K6" i="192"/>
  <c r="T6" i="192" s="1"/>
  <c r="AC6" i="192" s="1"/>
  <c r="J6" i="192"/>
  <c r="S6" i="192" s="1"/>
  <c r="AB6" i="192" s="1"/>
  <c r="I6" i="192"/>
  <c r="R6" i="192" s="1"/>
  <c r="AA6" i="192" s="1"/>
  <c r="H6" i="192"/>
  <c r="Q6" i="192" s="1"/>
  <c r="Z6" i="192" s="1"/>
  <c r="G6" i="192"/>
  <c r="P6" i="192" s="1"/>
  <c r="Y6" i="192" s="1"/>
  <c r="F6" i="192"/>
  <c r="F4" i="2" s="1"/>
  <c r="E6" i="192"/>
  <c r="E4" i="2" s="1"/>
  <c r="F5" i="192"/>
  <c r="F3" i="2" s="1"/>
  <c r="A3" i="192"/>
  <c r="A1" i="192"/>
  <c r="A18" i="106"/>
  <c r="A16" i="106"/>
  <c r="A14" i="106"/>
  <c r="A12" i="106"/>
  <c r="A10" i="106"/>
  <c r="A8" i="106"/>
  <c r="G6" i="106"/>
  <c r="F6" i="106"/>
  <c r="E6" i="106"/>
  <c r="D6" i="106"/>
  <c r="A3" i="106"/>
  <c r="A1" i="106"/>
  <c r="C498" i="45"/>
  <c r="C497" i="45"/>
  <c r="A494" i="45"/>
  <c r="A9" i="131" s="1"/>
  <c r="A8" i="131" s="1"/>
  <c r="E493" i="45"/>
  <c r="T493" i="45" s="1"/>
  <c r="D493" i="45"/>
  <c r="S493" i="45" s="1"/>
  <c r="F493" i="45"/>
  <c r="I493" i="45" s="1"/>
  <c r="L493" i="45" s="1"/>
  <c r="O493" i="45" s="1"/>
  <c r="R493" i="45" s="1"/>
  <c r="A493" i="45"/>
  <c r="A492" i="45"/>
  <c r="A491" i="45"/>
  <c r="A490" i="45"/>
  <c r="A489" i="45"/>
  <c r="A487" i="45"/>
  <c r="A485" i="45"/>
  <c r="A484" i="45"/>
  <c r="A483" i="45"/>
  <c r="A482" i="45"/>
  <c r="E480" i="45"/>
  <c r="T480" i="45" s="1"/>
  <c r="D480" i="45"/>
  <c r="S480" i="45" s="1"/>
  <c r="C480" i="45"/>
  <c r="F480" i="45" s="1"/>
  <c r="I480" i="45" s="1"/>
  <c r="L480" i="45" s="1"/>
  <c r="O480" i="45" s="1"/>
  <c r="R480" i="45" s="1"/>
  <c r="T479" i="45"/>
  <c r="S479" i="45"/>
  <c r="H479" i="45"/>
  <c r="K479" i="45" s="1"/>
  <c r="N479" i="45" s="1"/>
  <c r="Q479" i="45" s="1"/>
  <c r="G479" i="45"/>
  <c r="J479" i="45" s="1"/>
  <c r="M479" i="45" s="1"/>
  <c r="P479" i="45" s="1"/>
  <c r="F479" i="45"/>
  <c r="I479" i="45" s="1"/>
  <c r="L479" i="45" s="1"/>
  <c r="O479" i="45" s="1"/>
  <c r="R479" i="45" s="1"/>
  <c r="E478" i="45"/>
  <c r="H478" i="45" s="1"/>
  <c r="K478" i="45" s="1"/>
  <c r="N478" i="45" s="1"/>
  <c r="Q478" i="45" s="1"/>
  <c r="D478" i="45"/>
  <c r="S478" i="45" s="1"/>
  <c r="C478" i="45"/>
  <c r="F478" i="45" s="1"/>
  <c r="I478" i="45" s="1"/>
  <c r="L478" i="45" s="1"/>
  <c r="O478" i="45" s="1"/>
  <c r="R478" i="45" s="1"/>
  <c r="T477" i="45"/>
  <c r="S477" i="45"/>
  <c r="H477" i="45"/>
  <c r="K477" i="45" s="1"/>
  <c r="N477" i="45" s="1"/>
  <c r="Q477" i="45" s="1"/>
  <c r="G477" i="45"/>
  <c r="J477" i="45" s="1"/>
  <c r="M477" i="45" s="1"/>
  <c r="P477" i="45" s="1"/>
  <c r="F477" i="45"/>
  <c r="I477" i="45" s="1"/>
  <c r="L477" i="45" s="1"/>
  <c r="O477" i="45" s="1"/>
  <c r="R477" i="45" s="1"/>
  <c r="T476" i="45"/>
  <c r="S476" i="45"/>
  <c r="H476" i="45"/>
  <c r="K476" i="45" s="1"/>
  <c r="N476" i="45" s="1"/>
  <c r="Q476" i="45" s="1"/>
  <c r="G476" i="45"/>
  <c r="J476" i="45" s="1"/>
  <c r="M476" i="45" s="1"/>
  <c r="P476" i="45" s="1"/>
  <c r="F476" i="45"/>
  <c r="I476" i="45" s="1"/>
  <c r="L476" i="45" s="1"/>
  <c r="O476" i="45" s="1"/>
  <c r="R476" i="45" s="1"/>
  <c r="E473" i="45"/>
  <c r="T473" i="45" s="1"/>
  <c r="D473" i="45"/>
  <c r="S473" i="45" s="1"/>
  <c r="C473" i="45"/>
  <c r="F473" i="45" s="1"/>
  <c r="I473" i="45" s="1"/>
  <c r="L473" i="45" s="1"/>
  <c r="O473" i="45" s="1"/>
  <c r="R473" i="45" s="1"/>
  <c r="E471" i="45"/>
  <c r="T471" i="45" s="1"/>
  <c r="D471" i="45"/>
  <c r="G471" i="45" s="1"/>
  <c r="J471" i="45" s="1"/>
  <c r="M471" i="45" s="1"/>
  <c r="P471" i="45" s="1"/>
  <c r="C471" i="45"/>
  <c r="F471" i="45" s="1"/>
  <c r="I471" i="45" s="1"/>
  <c r="L471" i="45" s="1"/>
  <c r="O471" i="45" s="1"/>
  <c r="R471" i="45" s="1"/>
  <c r="E470" i="45"/>
  <c r="D470" i="45"/>
  <c r="C470" i="45"/>
  <c r="N469" i="45"/>
  <c r="H469" i="45"/>
  <c r="G469" i="45"/>
  <c r="E468" i="45"/>
  <c r="T468" i="45" s="1"/>
  <c r="D468" i="45"/>
  <c r="G468" i="45" s="1"/>
  <c r="J468" i="45" s="1"/>
  <c r="M468" i="45" s="1"/>
  <c r="P468" i="45" s="1"/>
  <c r="C468" i="45"/>
  <c r="F468" i="45" s="1"/>
  <c r="I468" i="45" s="1"/>
  <c r="L468" i="45" s="1"/>
  <c r="O468" i="45" s="1"/>
  <c r="R468" i="45" s="1"/>
  <c r="T467" i="45"/>
  <c r="S467" i="45"/>
  <c r="F467" i="45"/>
  <c r="I467" i="45" s="1"/>
  <c r="L467" i="45" s="1"/>
  <c r="O467" i="45" s="1"/>
  <c r="R467" i="45" s="1"/>
  <c r="H467" i="45"/>
  <c r="K467" i="45" s="1"/>
  <c r="N467" i="45" s="1"/>
  <c r="Q467" i="45" s="1"/>
  <c r="G467" i="45"/>
  <c r="J467" i="45" s="1"/>
  <c r="M467" i="45" s="1"/>
  <c r="P467" i="45" s="1"/>
  <c r="C466" i="45"/>
  <c r="F466" i="45" s="1"/>
  <c r="I466" i="45" s="1"/>
  <c r="L466" i="45" s="1"/>
  <c r="O466" i="45" s="1"/>
  <c r="R466" i="45" s="1"/>
  <c r="E466" i="45"/>
  <c r="T466" i="45" s="1"/>
  <c r="D466" i="45"/>
  <c r="S466" i="45" s="1"/>
  <c r="T465" i="45"/>
  <c r="S465" i="45"/>
  <c r="H465" i="45"/>
  <c r="K465" i="45" s="1"/>
  <c r="N465" i="45" s="1"/>
  <c r="Q465" i="45" s="1"/>
  <c r="G465" i="45"/>
  <c r="J465" i="45" s="1"/>
  <c r="M465" i="45" s="1"/>
  <c r="P465" i="45" s="1"/>
  <c r="F465" i="45"/>
  <c r="I465" i="45" s="1"/>
  <c r="L465" i="45" s="1"/>
  <c r="O465" i="45" s="1"/>
  <c r="R465" i="45" s="1"/>
  <c r="T464" i="45"/>
  <c r="S464" i="45"/>
  <c r="F464" i="45"/>
  <c r="I464" i="45" s="1"/>
  <c r="L464" i="45" s="1"/>
  <c r="O464" i="45" s="1"/>
  <c r="R464" i="45" s="1"/>
  <c r="H464" i="45"/>
  <c r="K464" i="45" s="1"/>
  <c r="N464" i="45" s="1"/>
  <c r="Q464" i="45" s="1"/>
  <c r="G464" i="45"/>
  <c r="J464" i="45" s="1"/>
  <c r="M464" i="45" s="1"/>
  <c r="P464" i="45" s="1"/>
  <c r="E461" i="45"/>
  <c r="H461" i="45" s="1"/>
  <c r="K461" i="45" s="1"/>
  <c r="N461" i="45" s="1"/>
  <c r="Q461" i="45" s="1"/>
  <c r="D461" i="45"/>
  <c r="G461" i="45" s="1"/>
  <c r="J461" i="45" s="1"/>
  <c r="M461" i="45" s="1"/>
  <c r="P461" i="45" s="1"/>
  <c r="E459" i="45"/>
  <c r="T459" i="45" s="1"/>
  <c r="D459" i="45"/>
  <c r="S459" i="45" s="1"/>
  <c r="C459" i="45"/>
  <c r="F458" i="45"/>
  <c r="I458" i="45" s="1"/>
  <c r="L458" i="45" s="1"/>
  <c r="O458" i="45" s="1"/>
  <c r="R458" i="45" s="1"/>
  <c r="E458" i="45"/>
  <c r="H458" i="45" s="1"/>
  <c r="K458" i="45" s="1"/>
  <c r="N458" i="45" s="1"/>
  <c r="Q458" i="45" s="1"/>
  <c r="D458" i="45"/>
  <c r="G458" i="45" s="1"/>
  <c r="J458" i="45" s="1"/>
  <c r="M458" i="45" s="1"/>
  <c r="P458" i="45" s="1"/>
  <c r="E456" i="45"/>
  <c r="T456" i="45" s="1"/>
  <c r="D456" i="45"/>
  <c r="S456" i="45" s="1"/>
  <c r="C456" i="45"/>
  <c r="F456" i="45" s="1"/>
  <c r="I456" i="45" s="1"/>
  <c r="L456" i="45" s="1"/>
  <c r="O456" i="45" s="1"/>
  <c r="R456" i="45" s="1"/>
  <c r="T455" i="45"/>
  <c r="S455" i="45"/>
  <c r="H455" i="45"/>
  <c r="K455" i="45" s="1"/>
  <c r="N455" i="45" s="1"/>
  <c r="Q455" i="45" s="1"/>
  <c r="G455" i="45"/>
  <c r="J455" i="45" s="1"/>
  <c r="M455" i="45" s="1"/>
  <c r="P455" i="45" s="1"/>
  <c r="F455" i="45"/>
  <c r="I455" i="45" s="1"/>
  <c r="L455" i="45" s="1"/>
  <c r="O455" i="45" s="1"/>
  <c r="R455" i="45" s="1"/>
  <c r="E454" i="45"/>
  <c r="T454" i="45" s="1"/>
  <c r="D454" i="45"/>
  <c r="S454" i="45" s="1"/>
  <c r="C454" i="45"/>
  <c r="F454" i="45" s="1"/>
  <c r="I454" i="45" s="1"/>
  <c r="L454" i="45" s="1"/>
  <c r="O454" i="45" s="1"/>
  <c r="R454" i="45" s="1"/>
  <c r="T453" i="45"/>
  <c r="S453" i="45"/>
  <c r="H453" i="45"/>
  <c r="K453" i="45" s="1"/>
  <c r="N453" i="45" s="1"/>
  <c r="Q453" i="45" s="1"/>
  <c r="G453" i="45"/>
  <c r="J453" i="45" s="1"/>
  <c r="M453" i="45" s="1"/>
  <c r="P453" i="45" s="1"/>
  <c r="F453" i="45"/>
  <c r="I453" i="45" s="1"/>
  <c r="L453" i="45" s="1"/>
  <c r="O453" i="45" s="1"/>
  <c r="R453" i="45" s="1"/>
  <c r="T452" i="45"/>
  <c r="S452" i="45"/>
  <c r="H452" i="45"/>
  <c r="K452" i="45" s="1"/>
  <c r="N452" i="45" s="1"/>
  <c r="Q452" i="45" s="1"/>
  <c r="G452" i="45"/>
  <c r="J452" i="45" s="1"/>
  <c r="M452" i="45" s="1"/>
  <c r="P452" i="45" s="1"/>
  <c r="F452" i="45"/>
  <c r="I452" i="45" s="1"/>
  <c r="L452" i="45" s="1"/>
  <c r="O452" i="45" s="1"/>
  <c r="R452" i="45" s="1"/>
  <c r="E449" i="45"/>
  <c r="T449" i="45" s="1"/>
  <c r="D449" i="45"/>
  <c r="S449" i="45" s="1"/>
  <c r="C449" i="45"/>
  <c r="F449" i="45" s="1"/>
  <c r="I449" i="45" s="1"/>
  <c r="L449" i="45" s="1"/>
  <c r="O449" i="45" s="1"/>
  <c r="R449" i="45" s="1"/>
  <c r="E447" i="45"/>
  <c r="T447" i="45" s="1"/>
  <c r="D447" i="45"/>
  <c r="G447" i="45" s="1"/>
  <c r="J447" i="45" s="1"/>
  <c r="M447" i="45" s="1"/>
  <c r="P447" i="45" s="1"/>
  <c r="C447" i="45"/>
  <c r="F447" i="45" s="1"/>
  <c r="I447" i="45" s="1"/>
  <c r="L447" i="45" s="1"/>
  <c r="O447" i="45" s="1"/>
  <c r="R447" i="45" s="1"/>
  <c r="E446" i="45"/>
  <c r="D446" i="45"/>
  <c r="C446" i="45"/>
  <c r="I445" i="45"/>
  <c r="E444" i="45"/>
  <c r="T444" i="45" s="1"/>
  <c r="D444" i="45"/>
  <c r="S444" i="45" s="1"/>
  <c r="C444" i="45"/>
  <c r="F444" i="45" s="1"/>
  <c r="I444" i="45" s="1"/>
  <c r="L444" i="45" s="1"/>
  <c r="O444" i="45" s="1"/>
  <c r="R444" i="45" s="1"/>
  <c r="T443" i="45"/>
  <c r="S443" i="45"/>
  <c r="H443" i="45"/>
  <c r="K443" i="45" s="1"/>
  <c r="N443" i="45" s="1"/>
  <c r="Q443" i="45" s="1"/>
  <c r="G443" i="45"/>
  <c r="J443" i="45" s="1"/>
  <c r="M443" i="45" s="1"/>
  <c r="P443" i="45" s="1"/>
  <c r="F443" i="45"/>
  <c r="I443" i="45" s="1"/>
  <c r="L443" i="45" s="1"/>
  <c r="O443" i="45" s="1"/>
  <c r="R443" i="45" s="1"/>
  <c r="E442" i="45"/>
  <c r="T442" i="45" s="1"/>
  <c r="D442" i="45"/>
  <c r="G442" i="45" s="1"/>
  <c r="J442" i="45" s="1"/>
  <c r="M442" i="45" s="1"/>
  <c r="P442" i="45" s="1"/>
  <c r="C442" i="45"/>
  <c r="F442" i="45" s="1"/>
  <c r="I442" i="45" s="1"/>
  <c r="L442" i="45" s="1"/>
  <c r="O442" i="45" s="1"/>
  <c r="R442" i="45" s="1"/>
  <c r="T441" i="45"/>
  <c r="S441" i="45"/>
  <c r="H441" i="45"/>
  <c r="K441" i="45" s="1"/>
  <c r="N441" i="45" s="1"/>
  <c r="Q441" i="45" s="1"/>
  <c r="G441" i="45"/>
  <c r="J441" i="45" s="1"/>
  <c r="M441" i="45" s="1"/>
  <c r="P441" i="45" s="1"/>
  <c r="F441" i="45"/>
  <c r="I441" i="45" s="1"/>
  <c r="L441" i="45" s="1"/>
  <c r="O441" i="45" s="1"/>
  <c r="R441" i="45" s="1"/>
  <c r="T440" i="45"/>
  <c r="S440" i="45"/>
  <c r="H440" i="45"/>
  <c r="K440" i="45" s="1"/>
  <c r="N440" i="45" s="1"/>
  <c r="Q440" i="45" s="1"/>
  <c r="G440" i="45"/>
  <c r="J440" i="45" s="1"/>
  <c r="M440" i="45" s="1"/>
  <c r="P440" i="45" s="1"/>
  <c r="F440" i="45"/>
  <c r="I440" i="45" s="1"/>
  <c r="L440" i="45" s="1"/>
  <c r="O440" i="45" s="1"/>
  <c r="R440" i="45" s="1"/>
  <c r="E438" i="45"/>
  <c r="T438" i="45" s="1"/>
  <c r="D438" i="45"/>
  <c r="S438" i="45" s="1"/>
  <c r="C438" i="45"/>
  <c r="F438" i="45" s="1"/>
  <c r="I438" i="45" s="1"/>
  <c r="L438" i="45" s="1"/>
  <c r="O438" i="45" s="1"/>
  <c r="R438" i="45" s="1"/>
  <c r="T437" i="45"/>
  <c r="S437" i="45"/>
  <c r="H437" i="45"/>
  <c r="K437" i="45" s="1"/>
  <c r="N437" i="45" s="1"/>
  <c r="Q437" i="45" s="1"/>
  <c r="G437" i="45"/>
  <c r="J437" i="45" s="1"/>
  <c r="M437" i="45" s="1"/>
  <c r="P437" i="45" s="1"/>
  <c r="F437" i="45"/>
  <c r="I437" i="45" s="1"/>
  <c r="L437" i="45" s="1"/>
  <c r="O437" i="45" s="1"/>
  <c r="R437" i="45" s="1"/>
  <c r="E436" i="45"/>
  <c r="T436" i="45" s="1"/>
  <c r="D436" i="45"/>
  <c r="S436" i="45" s="1"/>
  <c r="C436" i="45"/>
  <c r="F436" i="45" s="1"/>
  <c r="I436" i="45" s="1"/>
  <c r="L436" i="45" s="1"/>
  <c r="O436" i="45" s="1"/>
  <c r="R436" i="45" s="1"/>
  <c r="T435" i="45"/>
  <c r="S435" i="45"/>
  <c r="H435" i="45"/>
  <c r="K435" i="45" s="1"/>
  <c r="N435" i="45" s="1"/>
  <c r="Q435" i="45" s="1"/>
  <c r="G435" i="45"/>
  <c r="J435" i="45" s="1"/>
  <c r="M435" i="45" s="1"/>
  <c r="P435" i="45" s="1"/>
  <c r="F435" i="45"/>
  <c r="I435" i="45" s="1"/>
  <c r="L435" i="45" s="1"/>
  <c r="O435" i="45" s="1"/>
  <c r="R435" i="45" s="1"/>
  <c r="T434" i="45"/>
  <c r="S434" i="45"/>
  <c r="H434" i="45"/>
  <c r="K434" i="45" s="1"/>
  <c r="N434" i="45" s="1"/>
  <c r="Q434" i="45" s="1"/>
  <c r="G434" i="45"/>
  <c r="J434" i="45" s="1"/>
  <c r="M434" i="45" s="1"/>
  <c r="P434" i="45" s="1"/>
  <c r="F434" i="45"/>
  <c r="I434" i="45" s="1"/>
  <c r="L434" i="45" s="1"/>
  <c r="O434" i="45" s="1"/>
  <c r="R434" i="45" s="1"/>
  <c r="E431" i="45"/>
  <c r="T431" i="45" s="1"/>
  <c r="D431" i="45"/>
  <c r="C431" i="45"/>
  <c r="F431" i="45" s="1"/>
  <c r="I431" i="45" s="1"/>
  <c r="L431" i="45" s="1"/>
  <c r="O431" i="45" s="1"/>
  <c r="R431" i="45" s="1"/>
  <c r="E429" i="45"/>
  <c r="O427" i="45" s="1"/>
  <c r="D429" i="45"/>
  <c r="N427" i="45" s="1"/>
  <c r="C429" i="45"/>
  <c r="M427" i="45" s="1"/>
  <c r="E428" i="45"/>
  <c r="L427" i="45" s="1"/>
  <c r="D428" i="45"/>
  <c r="S428" i="45" s="1"/>
  <c r="C428" i="45"/>
  <c r="F428" i="45" s="1"/>
  <c r="I428" i="45" s="1"/>
  <c r="L428" i="45" s="1"/>
  <c r="O428" i="45" s="1"/>
  <c r="R428" i="45" s="1"/>
  <c r="H427" i="45"/>
  <c r="E426" i="45"/>
  <c r="T426" i="45" s="1"/>
  <c r="D426" i="45"/>
  <c r="G426" i="45" s="1"/>
  <c r="J426" i="45" s="1"/>
  <c r="M426" i="45" s="1"/>
  <c r="P426" i="45" s="1"/>
  <c r="C426" i="45"/>
  <c r="F426" i="45" s="1"/>
  <c r="I426" i="45" s="1"/>
  <c r="L426" i="45" s="1"/>
  <c r="O426" i="45" s="1"/>
  <c r="R426" i="45" s="1"/>
  <c r="T425" i="45"/>
  <c r="S425" i="45"/>
  <c r="H425" i="45"/>
  <c r="K425" i="45" s="1"/>
  <c r="N425" i="45" s="1"/>
  <c r="Q425" i="45" s="1"/>
  <c r="G425" i="45"/>
  <c r="J425" i="45" s="1"/>
  <c r="M425" i="45" s="1"/>
  <c r="P425" i="45" s="1"/>
  <c r="F425" i="45"/>
  <c r="I425" i="45" s="1"/>
  <c r="L425" i="45" s="1"/>
  <c r="O425" i="45" s="1"/>
  <c r="R425" i="45" s="1"/>
  <c r="E424" i="45"/>
  <c r="H424" i="45" s="1"/>
  <c r="K424" i="45" s="1"/>
  <c r="N424" i="45" s="1"/>
  <c r="Q424" i="45" s="1"/>
  <c r="D424" i="45"/>
  <c r="S424" i="45" s="1"/>
  <c r="C424" i="45"/>
  <c r="F424" i="45" s="1"/>
  <c r="I424" i="45" s="1"/>
  <c r="L424" i="45" s="1"/>
  <c r="O424" i="45" s="1"/>
  <c r="R424" i="45" s="1"/>
  <c r="T423" i="45"/>
  <c r="S423" i="45"/>
  <c r="H423" i="45"/>
  <c r="K423" i="45" s="1"/>
  <c r="N423" i="45" s="1"/>
  <c r="Q423" i="45" s="1"/>
  <c r="G423" i="45"/>
  <c r="J423" i="45" s="1"/>
  <c r="M423" i="45" s="1"/>
  <c r="P423" i="45" s="1"/>
  <c r="F423" i="45"/>
  <c r="I423" i="45" s="1"/>
  <c r="L423" i="45" s="1"/>
  <c r="O423" i="45" s="1"/>
  <c r="R423" i="45" s="1"/>
  <c r="T422" i="45"/>
  <c r="S422" i="45"/>
  <c r="H422" i="45"/>
  <c r="K422" i="45" s="1"/>
  <c r="N422" i="45" s="1"/>
  <c r="Q422" i="45" s="1"/>
  <c r="G422" i="45"/>
  <c r="J422" i="45" s="1"/>
  <c r="M422" i="45" s="1"/>
  <c r="P422" i="45" s="1"/>
  <c r="F422" i="45"/>
  <c r="I422" i="45" s="1"/>
  <c r="L422" i="45" s="1"/>
  <c r="O422" i="45" s="1"/>
  <c r="R422" i="45" s="1"/>
  <c r="E419" i="45"/>
  <c r="I415" i="45" s="1"/>
  <c r="D419" i="45"/>
  <c r="S419" i="45" s="1"/>
  <c r="C419" i="45"/>
  <c r="F419" i="45" s="1"/>
  <c r="I419" i="45" s="1"/>
  <c r="L419" i="45" s="1"/>
  <c r="O419" i="45" s="1"/>
  <c r="R419" i="45" s="1"/>
  <c r="E417" i="45"/>
  <c r="O415" i="45" s="1"/>
  <c r="D417" i="45"/>
  <c r="S417" i="45" s="1"/>
  <c r="C417" i="45"/>
  <c r="F417" i="45" s="1"/>
  <c r="I417" i="45" s="1"/>
  <c r="L417" i="45" s="1"/>
  <c r="O417" i="45" s="1"/>
  <c r="R417" i="45" s="1"/>
  <c r="E416" i="45"/>
  <c r="D416" i="45"/>
  <c r="S416" i="45" s="1"/>
  <c r="C416" i="45"/>
  <c r="F416" i="45" s="1"/>
  <c r="I416" i="45" s="1"/>
  <c r="L416" i="45" s="1"/>
  <c r="O416" i="45" s="1"/>
  <c r="R416" i="45" s="1"/>
  <c r="E414" i="45"/>
  <c r="H414" i="45" s="1"/>
  <c r="K414" i="45" s="1"/>
  <c r="N414" i="45" s="1"/>
  <c r="Q414" i="45" s="1"/>
  <c r="D414" i="45"/>
  <c r="S414" i="45" s="1"/>
  <c r="C414" i="45"/>
  <c r="F414" i="45" s="1"/>
  <c r="I414" i="45" s="1"/>
  <c r="L414" i="45" s="1"/>
  <c r="O414" i="45" s="1"/>
  <c r="R414" i="45" s="1"/>
  <c r="T413" i="45"/>
  <c r="S413" i="45"/>
  <c r="F413" i="45"/>
  <c r="I413" i="45" s="1"/>
  <c r="L413" i="45" s="1"/>
  <c r="O413" i="45" s="1"/>
  <c r="R413" i="45" s="1"/>
  <c r="H413" i="45"/>
  <c r="K413" i="45" s="1"/>
  <c r="N413" i="45" s="1"/>
  <c r="Q413" i="45" s="1"/>
  <c r="G413" i="45"/>
  <c r="J413" i="45" s="1"/>
  <c r="M413" i="45" s="1"/>
  <c r="P413" i="45" s="1"/>
  <c r="E412" i="45"/>
  <c r="T412" i="45" s="1"/>
  <c r="D412" i="45"/>
  <c r="S412" i="45" s="1"/>
  <c r="C412" i="45"/>
  <c r="F412" i="45" s="1"/>
  <c r="I412" i="45" s="1"/>
  <c r="L412" i="45" s="1"/>
  <c r="O412" i="45" s="1"/>
  <c r="R412" i="45" s="1"/>
  <c r="T411" i="45"/>
  <c r="S411" i="45"/>
  <c r="F411" i="45"/>
  <c r="I411" i="45" s="1"/>
  <c r="L411" i="45" s="1"/>
  <c r="O411" i="45" s="1"/>
  <c r="R411" i="45" s="1"/>
  <c r="H411" i="45"/>
  <c r="K411" i="45" s="1"/>
  <c r="N411" i="45" s="1"/>
  <c r="Q411" i="45" s="1"/>
  <c r="G411" i="45"/>
  <c r="J411" i="45" s="1"/>
  <c r="M411" i="45" s="1"/>
  <c r="P411" i="45" s="1"/>
  <c r="T410" i="45"/>
  <c r="S410" i="45"/>
  <c r="F410" i="45"/>
  <c r="I410" i="45" s="1"/>
  <c r="L410" i="45" s="1"/>
  <c r="O410" i="45" s="1"/>
  <c r="R410" i="45" s="1"/>
  <c r="H410" i="45"/>
  <c r="K410" i="45" s="1"/>
  <c r="N410" i="45" s="1"/>
  <c r="Q410" i="45" s="1"/>
  <c r="G410" i="45"/>
  <c r="J410" i="45" s="1"/>
  <c r="M410" i="45" s="1"/>
  <c r="P410" i="45" s="1"/>
  <c r="F407" i="45"/>
  <c r="I407" i="45" s="1"/>
  <c r="L407" i="45" s="1"/>
  <c r="O407" i="45" s="1"/>
  <c r="R407" i="45" s="1"/>
  <c r="T405" i="45"/>
  <c r="S405" i="45"/>
  <c r="F405" i="45"/>
  <c r="I405" i="45" s="1"/>
  <c r="L405" i="45" s="1"/>
  <c r="O405" i="45" s="1"/>
  <c r="R405" i="45" s="1"/>
  <c r="H405" i="45"/>
  <c r="K405" i="45" s="1"/>
  <c r="N405" i="45" s="1"/>
  <c r="Q405" i="45" s="1"/>
  <c r="G405" i="45"/>
  <c r="J405" i="45" s="1"/>
  <c r="M405" i="45" s="1"/>
  <c r="P405" i="45" s="1"/>
  <c r="T404" i="45"/>
  <c r="S404" i="45"/>
  <c r="H404" i="45"/>
  <c r="K404" i="45" s="1"/>
  <c r="N404" i="45" s="1"/>
  <c r="Q404" i="45" s="1"/>
  <c r="G404" i="45"/>
  <c r="J404" i="45" s="1"/>
  <c r="M404" i="45" s="1"/>
  <c r="P404" i="45" s="1"/>
  <c r="E402" i="45"/>
  <c r="H402" i="45" s="1"/>
  <c r="K402" i="45" s="1"/>
  <c r="N402" i="45" s="1"/>
  <c r="Q402" i="45" s="1"/>
  <c r="D402" i="45"/>
  <c r="S402" i="45" s="1"/>
  <c r="C402" i="45"/>
  <c r="F402" i="45" s="1"/>
  <c r="I402" i="45" s="1"/>
  <c r="L402" i="45" s="1"/>
  <c r="O402" i="45" s="1"/>
  <c r="R402" i="45" s="1"/>
  <c r="T401" i="45"/>
  <c r="S401" i="45"/>
  <c r="H401" i="45"/>
  <c r="K401" i="45" s="1"/>
  <c r="N401" i="45" s="1"/>
  <c r="Q401" i="45" s="1"/>
  <c r="G401" i="45"/>
  <c r="J401" i="45" s="1"/>
  <c r="M401" i="45" s="1"/>
  <c r="P401" i="45" s="1"/>
  <c r="F401" i="45"/>
  <c r="I401" i="45" s="1"/>
  <c r="L401" i="45" s="1"/>
  <c r="O401" i="45" s="1"/>
  <c r="R401" i="45" s="1"/>
  <c r="E400" i="45"/>
  <c r="H400" i="45" s="1"/>
  <c r="K400" i="45" s="1"/>
  <c r="N400" i="45" s="1"/>
  <c r="Q400" i="45" s="1"/>
  <c r="D400" i="45"/>
  <c r="S400" i="45" s="1"/>
  <c r="C400" i="45"/>
  <c r="F400" i="45" s="1"/>
  <c r="I400" i="45" s="1"/>
  <c r="L400" i="45" s="1"/>
  <c r="O400" i="45" s="1"/>
  <c r="R400" i="45" s="1"/>
  <c r="T399" i="45"/>
  <c r="S399" i="45"/>
  <c r="H399" i="45"/>
  <c r="K399" i="45" s="1"/>
  <c r="N399" i="45" s="1"/>
  <c r="Q399" i="45" s="1"/>
  <c r="G399" i="45"/>
  <c r="J399" i="45" s="1"/>
  <c r="M399" i="45" s="1"/>
  <c r="P399" i="45" s="1"/>
  <c r="F399" i="45"/>
  <c r="I399" i="45" s="1"/>
  <c r="L399" i="45" s="1"/>
  <c r="O399" i="45" s="1"/>
  <c r="R399" i="45" s="1"/>
  <c r="T398" i="45"/>
  <c r="S398" i="45"/>
  <c r="H398" i="45"/>
  <c r="K398" i="45" s="1"/>
  <c r="N398" i="45" s="1"/>
  <c r="Q398" i="45" s="1"/>
  <c r="G398" i="45"/>
  <c r="J398" i="45" s="1"/>
  <c r="M398" i="45" s="1"/>
  <c r="P398" i="45" s="1"/>
  <c r="F398" i="45"/>
  <c r="I398" i="45" s="1"/>
  <c r="L398" i="45" s="1"/>
  <c r="O398" i="45" s="1"/>
  <c r="R398" i="45" s="1"/>
  <c r="E395" i="45"/>
  <c r="D395" i="45"/>
  <c r="S395" i="45" s="1"/>
  <c r="C395" i="45"/>
  <c r="G391" i="45" s="1"/>
  <c r="E393" i="45"/>
  <c r="T393" i="45" s="1"/>
  <c r="D393" i="45"/>
  <c r="S393" i="45" s="1"/>
  <c r="C393" i="45"/>
  <c r="F393" i="45" s="1"/>
  <c r="I393" i="45" s="1"/>
  <c r="L393" i="45" s="1"/>
  <c r="O393" i="45" s="1"/>
  <c r="R393" i="45" s="1"/>
  <c r="E392" i="45"/>
  <c r="L391" i="45" s="1"/>
  <c r="D392" i="45"/>
  <c r="S392" i="45" s="1"/>
  <c r="C392" i="45"/>
  <c r="B391" i="45"/>
  <c r="A391" i="45"/>
  <c r="E390" i="45"/>
  <c r="T390" i="45" s="1"/>
  <c r="D390" i="45"/>
  <c r="G390" i="45" s="1"/>
  <c r="J390" i="45" s="1"/>
  <c r="M390" i="45" s="1"/>
  <c r="P390" i="45" s="1"/>
  <c r="C390" i="45"/>
  <c r="F390" i="45" s="1"/>
  <c r="I390" i="45" s="1"/>
  <c r="L390" i="45" s="1"/>
  <c r="O390" i="45" s="1"/>
  <c r="R390" i="45" s="1"/>
  <c r="T389" i="45"/>
  <c r="S389" i="45"/>
  <c r="H389" i="45"/>
  <c r="K389" i="45" s="1"/>
  <c r="N389" i="45" s="1"/>
  <c r="Q389" i="45" s="1"/>
  <c r="G389" i="45"/>
  <c r="J389" i="45" s="1"/>
  <c r="M389" i="45" s="1"/>
  <c r="P389" i="45" s="1"/>
  <c r="F389" i="45"/>
  <c r="I389" i="45" s="1"/>
  <c r="L389" i="45" s="1"/>
  <c r="O389" i="45" s="1"/>
  <c r="R389" i="45" s="1"/>
  <c r="E388" i="45"/>
  <c r="T388" i="45" s="1"/>
  <c r="D388" i="45"/>
  <c r="S388" i="45" s="1"/>
  <c r="C388" i="45"/>
  <c r="F388" i="45" s="1"/>
  <c r="I388" i="45" s="1"/>
  <c r="L388" i="45" s="1"/>
  <c r="O388" i="45" s="1"/>
  <c r="R388" i="45" s="1"/>
  <c r="T387" i="45"/>
  <c r="S387" i="45"/>
  <c r="H387" i="45"/>
  <c r="K387" i="45" s="1"/>
  <c r="N387" i="45" s="1"/>
  <c r="Q387" i="45" s="1"/>
  <c r="G387" i="45"/>
  <c r="J387" i="45" s="1"/>
  <c r="M387" i="45" s="1"/>
  <c r="P387" i="45" s="1"/>
  <c r="F387" i="45"/>
  <c r="I387" i="45" s="1"/>
  <c r="L387" i="45" s="1"/>
  <c r="O387" i="45" s="1"/>
  <c r="R387" i="45" s="1"/>
  <c r="T386" i="45"/>
  <c r="S386" i="45"/>
  <c r="H386" i="45"/>
  <c r="K386" i="45" s="1"/>
  <c r="N386" i="45" s="1"/>
  <c r="Q386" i="45" s="1"/>
  <c r="G386" i="45"/>
  <c r="J386" i="45" s="1"/>
  <c r="M386" i="45" s="1"/>
  <c r="P386" i="45" s="1"/>
  <c r="F386" i="45"/>
  <c r="I386" i="45" s="1"/>
  <c r="L386" i="45" s="1"/>
  <c r="O386" i="45" s="1"/>
  <c r="R386" i="45" s="1"/>
  <c r="E384" i="45"/>
  <c r="T384" i="45" s="1"/>
  <c r="D384" i="45"/>
  <c r="G384" i="45" s="1"/>
  <c r="J384" i="45" s="1"/>
  <c r="M384" i="45" s="1"/>
  <c r="P384" i="45" s="1"/>
  <c r="C384" i="45"/>
  <c r="F384" i="45" s="1"/>
  <c r="I384" i="45" s="1"/>
  <c r="L384" i="45" s="1"/>
  <c r="O384" i="45" s="1"/>
  <c r="R384" i="45" s="1"/>
  <c r="T383" i="45"/>
  <c r="S383" i="45"/>
  <c r="H383" i="45"/>
  <c r="K383" i="45" s="1"/>
  <c r="N383" i="45" s="1"/>
  <c r="Q383" i="45" s="1"/>
  <c r="G383" i="45"/>
  <c r="J383" i="45" s="1"/>
  <c r="M383" i="45" s="1"/>
  <c r="P383" i="45" s="1"/>
  <c r="F383" i="45"/>
  <c r="I383" i="45" s="1"/>
  <c r="L383" i="45" s="1"/>
  <c r="O383" i="45" s="1"/>
  <c r="R383" i="45" s="1"/>
  <c r="E382" i="45"/>
  <c r="H382" i="45" s="1"/>
  <c r="K382" i="45" s="1"/>
  <c r="N382" i="45" s="1"/>
  <c r="Q382" i="45" s="1"/>
  <c r="D382" i="45"/>
  <c r="S382" i="45" s="1"/>
  <c r="C382" i="45"/>
  <c r="F382" i="45" s="1"/>
  <c r="I382" i="45" s="1"/>
  <c r="L382" i="45" s="1"/>
  <c r="O382" i="45" s="1"/>
  <c r="R382" i="45" s="1"/>
  <c r="T381" i="45"/>
  <c r="S381" i="45"/>
  <c r="H381" i="45"/>
  <c r="K381" i="45" s="1"/>
  <c r="N381" i="45" s="1"/>
  <c r="Q381" i="45" s="1"/>
  <c r="G381" i="45"/>
  <c r="J381" i="45" s="1"/>
  <c r="M381" i="45" s="1"/>
  <c r="P381" i="45" s="1"/>
  <c r="F381" i="45"/>
  <c r="I381" i="45" s="1"/>
  <c r="L381" i="45" s="1"/>
  <c r="O381" i="45" s="1"/>
  <c r="R381" i="45" s="1"/>
  <c r="T380" i="45"/>
  <c r="S380" i="45"/>
  <c r="H380" i="45"/>
  <c r="K380" i="45" s="1"/>
  <c r="N380" i="45" s="1"/>
  <c r="Q380" i="45" s="1"/>
  <c r="G380" i="45"/>
  <c r="J380" i="45" s="1"/>
  <c r="M380" i="45" s="1"/>
  <c r="P380" i="45" s="1"/>
  <c r="F380" i="45"/>
  <c r="I380" i="45" s="1"/>
  <c r="L380" i="45" s="1"/>
  <c r="O380" i="45" s="1"/>
  <c r="R380" i="45" s="1"/>
  <c r="E378" i="45"/>
  <c r="T378" i="45" s="1"/>
  <c r="D378" i="45"/>
  <c r="S378" i="45" s="1"/>
  <c r="C378" i="45"/>
  <c r="F378" i="45" s="1"/>
  <c r="I378" i="45" s="1"/>
  <c r="L378" i="45" s="1"/>
  <c r="O378" i="45" s="1"/>
  <c r="R378" i="45" s="1"/>
  <c r="T377" i="45"/>
  <c r="S377" i="45"/>
  <c r="H377" i="45"/>
  <c r="K377" i="45" s="1"/>
  <c r="N377" i="45" s="1"/>
  <c r="Q377" i="45" s="1"/>
  <c r="G377" i="45"/>
  <c r="J377" i="45" s="1"/>
  <c r="M377" i="45" s="1"/>
  <c r="P377" i="45" s="1"/>
  <c r="F377" i="45"/>
  <c r="I377" i="45" s="1"/>
  <c r="L377" i="45" s="1"/>
  <c r="O377" i="45" s="1"/>
  <c r="R377" i="45" s="1"/>
  <c r="E376" i="45"/>
  <c r="T376" i="45" s="1"/>
  <c r="D376" i="45"/>
  <c r="S376" i="45" s="1"/>
  <c r="C376" i="45"/>
  <c r="F376" i="45" s="1"/>
  <c r="I376" i="45" s="1"/>
  <c r="L376" i="45" s="1"/>
  <c r="O376" i="45" s="1"/>
  <c r="R376" i="45" s="1"/>
  <c r="T375" i="45"/>
  <c r="S375" i="45"/>
  <c r="H375" i="45"/>
  <c r="K375" i="45" s="1"/>
  <c r="N375" i="45" s="1"/>
  <c r="Q375" i="45" s="1"/>
  <c r="G375" i="45"/>
  <c r="J375" i="45" s="1"/>
  <c r="M375" i="45" s="1"/>
  <c r="P375" i="45" s="1"/>
  <c r="F375" i="45"/>
  <c r="I375" i="45" s="1"/>
  <c r="L375" i="45" s="1"/>
  <c r="O375" i="45" s="1"/>
  <c r="R375" i="45" s="1"/>
  <c r="T374" i="45"/>
  <c r="S374" i="45"/>
  <c r="H374" i="45"/>
  <c r="K374" i="45" s="1"/>
  <c r="N374" i="45" s="1"/>
  <c r="Q374" i="45" s="1"/>
  <c r="G374" i="45"/>
  <c r="J374" i="45" s="1"/>
  <c r="M374" i="45" s="1"/>
  <c r="P374" i="45" s="1"/>
  <c r="F374" i="45"/>
  <c r="I374" i="45" s="1"/>
  <c r="L374" i="45" s="1"/>
  <c r="O374" i="45" s="1"/>
  <c r="R374" i="45" s="1"/>
  <c r="E371" i="45"/>
  <c r="I367" i="45" s="1"/>
  <c r="D371" i="45"/>
  <c r="S371" i="45" s="1"/>
  <c r="C371" i="45"/>
  <c r="F371" i="45" s="1"/>
  <c r="I371" i="45" s="1"/>
  <c r="L371" i="45" s="1"/>
  <c r="O371" i="45" s="1"/>
  <c r="R371" i="45" s="1"/>
  <c r="E369" i="45"/>
  <c r="T369" i="45" s="1"/>
  <c r="D369" i="45"/>
  <c r="G369" i="45" s="1"/>
  <c r="J369" i="45" s="1"/>
  <c r="M369" i="45" s="1"/>
  <c r="P369" i="45" s="1"/>
  <c r="C369" i="45"/>
  <c r="F369" i="45" s="1"/>
  <c r="I369" i="45" s="1"/>
  <c r="L369" i="45" s="1"/>
  <c r="O369" i="45" s="1"/>
  <c r="R369" i="45" s="1"/>
  <c r="E368" i="45"/>
  <c r="D368" i="45"/>
  <c r="C368" i="45"/>
  <c r="F368" i="45" s="1"/>
  <c r="I368" i="45" s="1"/>
  <c r="L368" i="45" s="1"/>
  <c r="O368" i="45" s="1"/>
  <c r="R368" i="45" s="1"/>
  <c r="O367" i="45"/>
  <c r="L367" i="45"/>
  <c r="E366" i="45"/>
  <c r="H366" i="45" s="1"/>
  <c r="K366" i="45" s="1"/>
  <c r="N366" i="45" s="1"/>
  <c r="Q366" i="45" s="1"/>
  <c r="D366" i="45"/>
  <c r="S366" i="45" s="1"/>
  <c r="C366" i="45"/>
  <c r="F366" i="45" s="1"/>
  <c r="I366" i="45" s="1"/>
  <c r="L366" i="45" s="1"/>
  <c r="O366" i="45" s="1"/>
  <c r="R366" i="45" s="1"/>
  <c r="T365" i="45"/>
  <c r="S365" i="45"/>
  <c r="H365" i="45"/>
  <c r="K365" i="45" s="1"/>
  <c r="N365" i="45" s="1"/>
  <c r="Q365" i="45" s="1"/>
  <c r="G365" i="45"/>
  <c r="J365" i="45" s="1"/>
  <c r="M365" i="45" s="1"/>
  <c r="P365" i="45" s="1"/>
  <c r="F365" i="45"/>
  <c r="I365" i="45" s="1"/>
  <c r="L365" i="45" s="1"/>
  <c r="O365" i="45" s="1"/>
  <c r="R365" i="45" s="1"/>
  <c r="E364" i="45"/>
  <c r="H364" i="45" s="1"/>
  <c r="K364" i="45" s="1"/>
  <c r="N364" i="45" s="1"/>
  <c r="Q364" i="45" s="1"/>
  <c r="D364" i="45"/>
  <c r="S364" i="45" s="1"/>
  <c r="C364" i="45"/>
  <c r="F364" i="45" s="1"/>
  <c r="I364" i="45" s="1"/>
  <c r="L364" i="45" s="1"/>
  <c r="O364" i="45" s="1"/>
  <c r="R364" i="45" s="1"/>
  <c r="T363" i="45"/>
  <c r="S363" i="45"/>
  <c r="H363" i="45"/>
  <c r="K363" i="45" s="1"/>
  <c r="N363" i="45" s="1"/>
  <c r="Q363" i="45" s="1"/>
  <c r="G363" i="45"/>
  <c r="J363" i="45" s="1"/>
  <c r="M363" i="45" s="1"/>
  <c r="P363" i="45" s="1"/>
  <c r="F363" i="45"/>
  <c r="I363" i="45" s="1"/>
  <c r="L363" i="45" s="1"/>
  <c r="O363" i="45" s="1"/>
  <c r="R363" i="45" s="1"/>
  <c r="T362" i="45"/>
  <c r="S362" i="45"/>
  <c r="H362" i="45"/>
  <c r="K362" i="45" s="1"/>
  <c r="N362" i="45" s="1"/>
  <c r="Q362" i="45" s="1"/>
  <c r="G362" i="45"/>
  <c r="J362" i="45" s="1"/>
  <c r="M362" i="45" s="1"/>
  <c r="P362" i="45" s="1"/>
  <c r="F362" i="45"/>
  <c r="I362" i="45" s="1"/>
  <c r="L362" i="45" s="1"/>
  <c r="O362" i="45" s="1"/>
  <c r="R362" i="45" s="1"/>
  <c r="C360" i="45"/>
  <c r="E359" i="45"/>
  <c r="D359" i="45"/>
  <c r="C359" i="45"/>
  <c r="E357" i="45"/>
  <c r="D357" i="45"/>
  <c r="G357" i="45" s="1"/>
  <c r="J357" i="45" s="1"/>
  <c r="M357" i="45" s="1"/>
  <c r="P357" i="45" s="1"/>
  <c r="C357" i="45"/>
  <c r="F357" i="45" s="1"/>
  <c r="I357" i="45" s="1"/>
  <c r="L357" i="45" s="1"/>
  <c r="O357" i="45" s="1"/>
  <c r="R357" i="45" s="1"/>
  <c r="E356" i="45"/>
  <c r="H356" i="45" s="1"/>
  <c r="K356" i="45" s="1"/>
  <c r="N356" i="45" s="1"/>
  <c r="Q356" i="45" s="1"/>
  <c r="D356" i="45"/>
  <c r="S356" i="45" s="1"/>
  <c r="C356" i="45"/>
  <c r="F356" i="45" s="1"/>
  <c r="I356" i="45" s="1"/>
  <c r="L356" i="45" s="1"/>
  <c r="O356" i="45" s="1"/>
  <c r="R356" i="45" s="1"/>
  <c r="H355" i="45"/>
  <c r="E354" i="45"/>
  <c r="T354" i="45" s="1"/>
  <c r="D354" i="45"/>
  <c r="S354" i="45" s="1"/>
  <c r="C354" i="45"/>
  <c r="F354" i="45" s="1"/>
  <c r="I354" i="45" s="1"/>
  <c r="L354" i="45" s="1"/>
  <c r="O354" i="45" s="1"/>
  <c r="R354" i="45" s="1"/>
  <c r="T353" i="45"/>
  <c r="S353" i="45"/>
  <c r="H353" i="45"/>
  <c r="K353" i="45" s="1"/>
  <c r="N353" i="45" s="1"/>
  <c r="Q353" i="45" s="1"/>
  <c r="G353" i="45"/>
  <c r="J353" i="45" s="1"/>
  <c r="M353" i="45" s="1"/>
  <c r="P353" i="45" s="1"/>
  <c r="F353" i="45"/>
  <c r="I353" i="45" s="1"/>
  <c r="L353" i="45" s="1"/>
  <c r="O353" i="45" s="1"/>
  <c r="R353" i="45" s="1"/>
  <c r="E352" i="45"/>
  <c r="T352" i="45" s="1"/>
  <c r="D352" i="45"/>
  <c r="S352" i="45" s="1"/>
  <c r="C352" i="45"/>
  <c r="F352" i="45" s="1"/>
  <c r="I352" i="45" s="1"/>
  <c r="L352" i="45" s="1"/>
  <c r="O352" i="45" s="1"/>
  <c r="R352" i="45" s="1"/>
  <c r="T351" i="45"/>
  <c r="S351" i="45"/>
  <c r="H351" i="45"/>
  <c r="K351" i="45" s="1"/>
  <c r="N351" i="45" s="1"/>
  <c r="Q351" i="45" s="1"/>
  <c r="G351" i="45"/>
  <c r="J351" i="45" s="1"/>
  <c r="M351" i="45" s="1"/>
  <c r="P351" i="45" s="1"/>
  <c r="F351" i="45"/>
  <c r="I351" i="45" s="1"/>
  <c r="L351" i="45" s="1"/>
  <c r="O351" i="45" s="1"/>
  <c r="R351" i="45" s="1"/>
  <c r="T350" i="45"/>
  <c r="S350" i="45"/>
  <c r="H350" i="45"/>
  <c r="K350" i="45" s="1"/>
  <c r="N350" i="45" s="1"/>
  <c r="Q350" i="45" s="1"/>
  <c r="G350" i="45"/>
  <c r="J350" i="45" s="1"/>
  <c r="M350" i="45" s="1"/>
  <c r="P350" i="45" s="1"/>
  <c r="F350" i="45"/>
  <c r="I350" i="45" s="1"/>
  <c r="L350" i="45" s="1"/>
  <c r="O350" i="45" s="1"/>
  <c r="R350" i="45" s="1"/>
  <c r="E348" i="45"/>
  <c r="T348" i="45" s="1"/>
  <c r="D348" i="45"/>
  <c r="S348" i="45" s="1"/>
  <c r="C348" i="45"/>
  <c r="F348" i="45" s="1"/>
  <c r="I348" i="45" s="1"/>
  <c r="L348" i="45" s="1"/>
  <c r="O348" i="45" s="1"/>
  <c r="R348" i="45" s="1"/>
  <c r="T347" i="45"/>
  <c r="S347" i="45"/>
  <c r="H347" i="45"/>
  <c r="K347" i="45" s="1"/>
  <c r="N347" i="45" s="1"/>
  <c r="Q347" i="45" s="1"/>
  <c r="G347" i="45"/>
  <c r="J347" i="45" s="1"/>
  <c r="M347" i="45" s="1"/>
  <c r="P347" i="45" s="1"/>
  <c r="F347" i="45"/>
  <c r="I347" i="45" s="1"/>
  <c r="L347" i="45" s="1"/>
  <c r="O347" i="45" s="1"/>
  <c r="R347" i="45" s="1"/>
  <c r="E346" i="45"/>
  <c r="H346" i="45" s="1"/>
  <c r="K346" i="45" s="1"/>
  <c r="N346" i="45" s="1"/>
  <c r="Q346" i="45" s="1"/>
  <c r="D346" i="45"/>
  <c r="S346" i="45" s="1"/>
  <c r="C346" i="45"/>
  <c r="F346" i="45" s="1"/>
  <c r="I346" i="45" s="1"/>
  <c r="L346" i="45" s="1"/>
  <c r="O346" i="45" s="1"/>
  <c r="R346" i="45" s="1"/>
  <c r="T345" i="45"/>
  <c r="S345" i="45"/>
  <c r="H345" i="45"/>
  <c r="K345" i="45" s="1"/>
  <c r="N345" i="45" s="1"/>
  <c r="Q345" i="45" s="1"/>
  <c r="G345" i="45"/>
  <c r="J345" i="45" s="1"/>
  <c r="M345" i="45" s="1"/>
  <c r="P345" i="45" s="1"/>
  <c r="F345" i="45"/>
  <c r="I345" i="45" s="1"/>
  <c r="L345" i="45" s="1"/>
  <c r="O345" i="45" s="1"/>
  <c r="R345" i="45" s="1"/>
  <c r="T344" i="45"/>
  <c r="S344" i="45"/>
  <c r="H344" i="45"/>
  <c r="K344" i="45" s="1"/>
  <c r="N344" i="45" s="1"/>
  <c r="Q344" i="45" s="1"/>
  <c r="G344" i="45"/>
  <c r="J344" i="45" s="1"/>
  <c r="M344" i="45" s="1"/>
  <c r="P344" i="45" s="1"/>
  <c r="F344" i="45"/>
  <c r="I344" i="45" s="1"/>
  <c r="L344" i="45" s="1"/>
  <c r="O344" i="45" s="1"/>
  <c r="R344" i="45" s="1"/>
  <c r="E342" i="45"/>
  <c r="T342" i="45" s="1"/>
  <c r="D342" i="45"/>
  <c r="S342" i="45" s="1"/>
  <c r="C342" i="45"/>
  <c r="F342" i="45" s="1"/>
  <c r="I342" i="45" s="1"/>
  <c r="L342" i="45" s="1"/>
  <c r="O342" i="45" s="1"/>
  <c r="R342" i="45" s="1"/>
  <c r="T341" i="45"/>
  <c r="S341" i="45"/>
  <c r="H341" i="45"/>
  <c r="K341" i="45" s="1"/>
  <c r="N341" i="45" s="1"/>
  <c r="Q341" i="45" s="1"/>
  <c r="G341" i="45"/>
  <c r="J341" i="45" s="1"/>
  <c r="M341" i="45" s="1"/>
  <c r="P341" i="45" s="1"/>
  <c r="F341" i="45"/>
  <c r="I341" i="45" s="1"/>
  <c r="L341" i="45" s="1"/>
  <c r="O341" i="45" s="1"/>
  <c r="R341" i="45" s="1"/>
  <c r="E340" i="45"/>
  <c r="T340" i="45" s="1"/>
  <c r="D340" i="45"/>
  <c r="G340" i="45" s="1"/>
  <c r="J340" i="45" s="1"/>
  <c r="M340" i="45" s="1"/>
  <c r="P340" i="45" s="1"/>
  <c r="C340" i="45"/>
  <c r="F340" i="45" s="1"/>
  <c r="I340" i="45" s="1"/>
  <c r="L340" i="45" s="1"/>
  <c r="O340" i="45" s="1"/>
  <c r="R340" i="45" s="1"/>
  <c r="T339" i="45"/>
  <c r="S339" i="45"/>
  <c r="H339" i="45"/>
  <c r="K339" i="45" s="1"/>
  <c r="N339" i="45" s="1"/>
  <c r="Q339" i="45" s="1"/>
  <c r="G339" i="45"/>
  <c r="J339" i="45" s="1"/>
  <c r="M339" i="45" s="1"/>
  <c r="P339" i="45" s="1"/>
  <c r="F339" i="45"/>
  <c r="I339" i="45" s="1"/>
  <c r="L339" i="45" s="1"/>
  <c r="O339" i="45" s="1"/>
  <c r="R339" i="45" s="1"/>
  <c r="T338" i="45"/>
  <c r="S338" i="45"/>
  <c r="H338" i="45"/>
  <c r="K338" i="45" s="1"/>
  <c r="N338" i="45" s="1"/>
  <c r="Q338" i="45" s="1"/>
  <c r="G338" i="45"/>
  <c r="J338" i="45" s="1"/>
  <c r="M338" i="45" s="1"/>
  <c r="P338" i="45" s="1"/>
  <c r="F338" i="45"/>
  <c r="I338" i="45" s="1"/>
  <c r="L338" i="45" s="1"/>
  <c r="O338" i="45" s="1"/>
  <c r="R338" i="45" s="1"/>
  <c r="E335" i="45"/>
  <c r="I331" i="45" s="1"/>
  <c r="D335" i="45"/>
  <c r="C335" i="45"/>
  <c r="E333" i="45"/>
  <c r="T333" i="45" s="1"/>
  <c r="D333" i="45"/>
  <c r="G333" i="45" s="1"/>
  <c r="J333" i="45" s="1"/>
  <c r="M333" i="45" s="1"/>
  <c r="P333" i="45" s="1"/>
  <c r="C333" i="45"/>
  <c r="F333" i="45" s="1"/>
  <c r="I333" i="45" s="1"/>
  <c r="L333" i="45" s="1"/>
  <c r="O333" i="45" s="1"/>
  <c r="R333" i="45" s="1"/>
  <c r="E332" i="45"/>
  <c r="H332" i="45" s="1"/>
  <c r="K332" i="45" s="1"/>
  <c r="N332" i="45" s="1"/>
  <c r="Q332" i="45" s="1"/>
  <c r="D332" i="45"/>
  <c r="K331" i="45" s="1"/>
  <c r="C332" i="45"/>
  <c r="F332" i="45" s="1"/>
  <c r="I332" i="45" s="1"/>
  <c r="L332" i="45" s="1"/>
  <c r="O332" i="45" s="1"/>
  <c r="R332" i="45" s="1"/>
  <c r="E330" i="45"/>
  <c r="T330" i="45" s="1"/>
  <c r="D330" i="45"/>
  <c r="S330" i="45" s="1"/>
  <c r="C330" i="45"/>
  <c r="F330" i="45" s="1"/>
  <c r="I330" i="45" s="1"/>
  <c r="L330" i="45" s="1"/>
  <c r="O330" i="45" s="1"/>
  <c r="R330" i="45" s="1"/>
  <c r="T329" i="45"/>
  <c r="S329" i="45"/>
  <c r="H329" i="45"/>
  <c r="K329" i="45" s="1"/>
  <c r="N329" i="45" s="1"/>
  <c r="Q329" i="45" s="1"/>
  <c r="G329" i="45"/>
  <c r="J329" i="45" s="1"/>
  <c r="M329" i="45" s="1"/>
  <c r="P329" i="45" s="1"/>
  <c r="F329" i="45"/>
  <c r="I329" i="45" s="1"/>
  <c r="L329" i="45" s="1"/>
  <c r="O329" i="45" s="1"/>
  <c r="R329" i="45" s="1"/>
  <c r="E328" i="45"/>
  <c r="H328" i="45" s="1"/>
  <c r="K328" i="45" s="1"/>
  <c r="N328" i="45" s="1"/>
  <c r="Q328" i="45" s="1"/>
  <c r="D328" i="45"/>
  <c r="S328" i="45" s="1"/>
  <c r="C328" i="45"/>
  <c r="F328" i="45" s="1"/>
  <c r="I328" i="45" s="1"/>
  <c r="L328" i="45" s="1"/>
  <c r="O328" i="45" s="1"/>
  <c r="R328" i="45" s="1"/>
  <c r="T327" i="45"/>
  <c r="S327" i="45"/>
  <c r="H327" i="45"/>
  <c r="K327" i="45" s="1"/>
  <c r="N327" i="45" s="1"/>
  <c r="Q327" i="45" s="1"/>
  <c r="G327" i="45"/>
  <c r="J327" i="45" s="1"/>
  <c r="M327" i="45" s="1"/>
  <c r="P327" i="45" s="1"/>
  <c r="F327" i="45"/>
  <c r="I327" i="45" s="1"/>
  <c r="L327" i="45" s="1"/>
  <c r="O327" i="45" s="1"/>
  <c r="R327" i="45" s="1"/>
  <c r="T326" i="45"/>
  <c r="S326" i="45"/>
  <c r="H326" i="45"/>
  <c r="K326" i="45" s="1"/>
  <c r="N326" i="45" s="1"/>
  <c r="Q326" i="45" s="1"/>
  <c r="G326" i="45"/>
  <c r="J326" i="45" s="1"/>
  <c r="M326" i="45" s="1"/>
  <c r="P326" i="45" s="1"/>
  <c r="F326" i="45"/>
  <c r="I326" i="45" s="1"/>
  <c r="L326" i="45" s="1"/>
  <c r="O326" i="45" s="1"/>
  <c r="R326" i="45" s="1"/>
  <c r="T324" i="45"/>
  <c r="E324" i="45"/>
  <c r="H324" i="45" s="1"/>
  <c r="K324" i="45" s="1"/>
  <c r="N324" i="45" s="1"/>
  <c r="Q324" i="45" s="1"/>
  <c r="D324" i="45"/>
  <c r="S324" i="45" s="1"/>
  <c r="C324" i="45"/>
  <c r="F324" i="45" s="1"/>
  <c r="I324" i="45" s="1"/>
  <c r="L324" i="45" s="1"/>
  <c r="O324" i="45" s="1"/>
  <c r="R324" i="45" s="1"/>
  <c r="T323" i="45"/>
  <c r="S323" i="45"/>
  <c r="H323" i="45"/>
  <c r="K323" i="45" s="1"/>
  <c r="N323" i="45" s="1"/>
  <c r="Q323" i="45" s="1"/>
  <c r="G323" i="45"/>
  <c r="J323" i="45" s="1"/>
  <c r="M323" i="45" s="1"/>
  <c r="P323" i="45" s="1"/>
  <c r="F323" i="45"/>
  <c r="I323" i="45" s="1"/>
  <c r="L323" i="45" s="1"/>
  <c r="O323" i="45" s="1"/>
  <c r="R323" i="45" s="1"/>
  <c r="E322" i="45"/>
  <c r="D322" i="45"/>
  <c r="G322" i="45" s="1"/>
  <c r="J322" i="45" s="1"/>
  <c r="M322" i="45" s="1"/>
  <c r="P322" i="45" s="1"/>
  <c r="C322" i="45"/>
  <c r="F322" i="45" s="1"/>
  <c r="I322" i="45" s="1"/>
  <c r="L322" i="45" s="1"/>
  <c r="O322" i="45" s="1"/>
  <c r="R322" i="45" s="1"/>
  <c r="T321" i="45"/>
  <c r="S321" i="45"/>
  <c r="H321" i="45"/>
  <c r="K321" i="45" s="1"/>
  <c r="N321" i="45" s="1"/>
  <c r="Q321" i="45" s="1"/>
  <c r="G321" i="45"/>
  <c r="J321" i="45" s="1"/>
  <c r="M321" i="45" s="1"/>
  <c r="P321" i="45" s="1"/>
  <c r="F321" i="45"/>
  <c r="I321" i="45" s="1"/>
  <c r="L321" i="45" s="1"/>
  <c r="O321" i="45" s="1"/>
  <c r="R321" i="45" s="1"/>
  <c r="T320" i="45"/>
  <c r="S320" i="45"/>
  <c r="H320" i="45"/>
  <c r="K320" i="45" s="1"/>
  <c r="N320" i="45" s="1"/>
  <c r="Q320" i="45" s="1"/>
  <c r="G320" i="45"/>
  <c r="J320" i="45" s="1"/>
  <c r="M320" i="45" s="1"/>
  <c r="P320" i="45" s="1"/>
  <c r="F320" i="45"/>
  <c r="I320" i="45" s="1"/>
  <c r="L320" i="45" s="1"/>
  <c r="O320" i="45" s="1"/>
  <c r="R320" i="45" s="1"/>
  <c r="E317" i="45"/>
  <c r="D317" i="45"/>
  <c r="C317" i="45"/>
  <c r="E315" i="45"/>
  <c r="D315" i="45"/>
  <c r="G315" i="45" s="1"/>
  <c r="J315" i="45" s="1"/>
  <c r="M315" i="45" s="1"/>
  <c r="P315" i="45" s="1"/>
  <c r="C315" i="45"/>
  <c r="F315" i="45" s="1"/>
  <c r="I315" i="45" s="1"/>
  <c r="L315" i="45" s="1"/>
  <c r="O315" i="45" s="1"/>
  <c r="R315" i="45" s="1"/>
  <c r="E314" i="45"/>
  <c r="H314" i="45" s="1"/>
  <c r="K314" i="45" s="1"/>
  <c r="N314" i="45" s="1"/>
  <c r="Q314" i="45" s="1"/>
  <c r="D314" i="45"/>
  <c r="S314" i="45" s="1"/>
  <c r="C314" i="45"/>
  <c r="F314" i="45" s="1"/>
  <c r="I314" i="45" s="1"/>
  <c r="L314" i="45" s="1"/>
  <c r="O314" i="45" s="1"/>
  <c r="R314" i="45" s="1"/>
  <c r="T312" i="45"/>
  <c r="F312" i="45"/>
  <c r="I312" i="45" s="1"/>
  <c r="L312" i="45" s="1"/>
  <c r="O312" i="45" s="1"/>
  <c r="R312" i="45" s="1"/>
  <c r="E312" i="45"/>
  <c r="H312" i="45" s="1"/>
  <c r="K312" i="45" s="1"/>
  <c r="N312" i="45" s="1"/>
  <c r="Q312" i="45" s="1"/>
  <c r="D312" i="45"/>
  <c r="S312" i="45" s="1"/>
  <c r="C312" i="45"/>
  <c r="T311" i="45"/>
  <c r="S311" i="45"/>
  <c r="H311" i="45"/>
  <c r="K311" i="45" s="1"/>
  <c r="N311" i="45" s="1"/>
  <c r="Q311" i="45" s="1"/>
  <c r="G311" i="45"/>
  <c r="J311" i="45" s="1"/>
  <c r="M311" i="45" s="1"/>
  <c r="P311" i="45" s="1"/>
  <c r="F311" i="45"/>
  <c r="I311" i="45" s="1"/>
  <c r="L311" i="45" s="1"/>
  <c r="O311" i="45" s="1"/>
  <c r="R311" i="45" s="1"/>
  <c r="E310" i="45"/>
  <c r="D310" i="45"/>
  <c r="S310" i="45" s="1"/>
  <c r="C310" i="45"/>
  <c r="F310" i="45" s="1"/>
  <c r="I310" i="45" s="1"/>
  <c r="L310" i="45" s="1"/>
  <c r="O310" i="45" s="1"/>
  <c r="R310" i="45" s="1"/>
  <c r="T309" i="45"/>
  <c r="S309" i="45"/>
  <c r="H309" i="45"/>
  <c r="K309" i="45" s="1"/>
  <c r="N309" i="45" s="1"/>
  <c r="Q309" i="45" s="1"/>
  <c r="G309" i="45"/>
  <c r="J309" i="45" s="1"/>
  <c r="M309" i="45" s="1"/>
  <c r="P309" i="45" s="1"/>
  <c r="F309" i="45"/>
  <c r="I309" i="45" s="1"/>
  <c r="L309" i="45" s="1"/>
  <c r="O309" i="45" s="1"/>
  <c r="R309" i="45" s="1"/>
  <c r="T308" i="45"/>
  <c r="S308" i="45"/>
  <c r="H308" i="45"/>
  <c r="K308" i="45" s="1"/>
  <c r="N308" i="45" s="1"/>
  <c r="Q308" i="45" s="1"/>
  <c r="G308" i="45"/>
  <c r="J308" i="45" s="1"/>
  <c r="M308" i="45" s="1"/>
  <c r="P308" i="45" s="1"/>
  <c r="F308" i="45"/>
  <c r="I308" i="45" s="1"/>
  <c r="L308" i="45" s="1"/>
  <c r="O308" i="45" s="1"/>
  <c r="R308" i="45" s="1"/>
  <c r="E305" i="45"/>
  <c r="I301" i="45" s="1"/>
  <c r="D305" i="45"/>
  <c r="S305" i="45" s="1"/>
  <c r="C305" i="45"/>
  <c r="G301" i="45" s="1"/>
  <c r="E303" i="45"/>
  <c r="T303" i="45" s="1"/>
  <c r="D303" i="45"/>
  <c r="S303" i="45" s="1"/>
  <c r="C303" i="45"/>
  <c r="F303" i="45" s="1"/>
  <c r="I303" i="45" s="1"/>
  <c r="L303" i="45" s="1"/>
  <c r="O303" i="45" s="1"/>
  <c r="R303" i="45" s="1"/>
  <c r="E302" i="45"/>
  <c r="D302" i="45"/>
  <c r="S302" i="45" s="1"/>
  <c r="C302" i="45"/>
  <c r="F302" i="45" s="1"/>
  <c r="I302" i="45" s="1"/>
  <c r="L302" i="45" s="1"/>
  <c r="O302" i="45" s="1"/>
  <c r="R302" i="45" s="1"/>
  <c r="H301" i="45"/>
  <c r="S300" i="45"/>
  <c r="E300" i="45"/>
  <c r="T300" i="45" s="1"/>
  <c r="D300" i="45"/>
  <c r="G300" i="45" s="1"/>
  <c r="J300" i="45" s="1"/>
  <c r="M300" i="45" s="1"/>
  <c r="P300" i="45" s="1"/>
  <c r="C300" i="45"/>
  <c r="F300" i="45" s="1"/>
  <c r="I300" i="45" s="1"/>
  <c r="L300" i="45" s="1"/>
  <c r="O300" i="45" s="1"/>
  <c r="R300" i="45" s="1"/>
  <c r="T299" i="45"/>
  <c r="S299" i="45"/>
  <c r="H299" i="45"/>
  <c r="K299" i="45" s="1"/>
  <c r="N299" i="45" s="1"/>
  <c r="Q299" i="45" s="1"/>
  <c r="G299" i="45"/>
  <c r="J299" i="45" s="1"/>
  <c r="M299" i="45" s="1"/>
  <c r="P299" i="45" s="1"/>
  <c r="F299" i="45"/>
  <c r="I299" i="45" s="1"/>
  <c r="L299" i="45" s="1"/>
  <c r="O299" i="45" s="1"/>
  <c r="R299" i="45" s="1"/>
  <c r="E298" i="45"/>
  <c r="T298" i="45" s="1"/>
  <c r="D298" i="45"/>
  <c r="C298" i="45"/>
  <c r="F298" i="45" s="1"/>
  <c r="I298" i="45" s="1"/>
  <c r="L298" i="45" s="1"/>
  <c r="O298" i="45" s="1"/>
  <c r="R298" i="45" s="1"/>
  <c r="T296" i="45"/>
  <c r="S296" i="45"/>
  <c r="H296" i="45"/>
  <c r="K296" i="45" s="1"/>
  <c r="N296" i="45" s="1"/>
  <c r="Q296" i="45" s="1"/>
  <c r="G296" i="45"/>
  <c r="J296" i="45" s="1"/>
  <c r="M296" i="45" s="1"/>
  <c r="P296" i="45" s="1"/>
  <c r="F296" i="45"/>
  <c r="I296" i="45" s="1"/>
  <c r="L296" i="45" s="1"/>
  <c r="O296" i="45" s="1"/>
  <c r="R296" i="45" s="1"/>
  <c r="E294" i="45"/>
  <c r="H294" i="45" s="1"/>
  <c r="K294" i="45" s="1"/>
  <c r="N294" i="45" s="1"/>
  <c r="Q294" i="45" s="1"/>
  <c r="E293" i="45"/>
  <c r="D293" i="45"/>
  <c r="C293" i="45"/>
  <c r="G289" i="45" s="1"/>
  <c r="E290" i="45"/>
  <c r="H290" i="45" s="1"/>
  <c r="K290" i="45" s="1"/>
  <c r="N290" i="45" s="1"/>
  <c r="Q290" i="45" s="1"/>
  <c r="D290" i="45"/>
  <c r="S290" i="45" s="1"/>
  <c r="C290" i="45"/>
  <c r="F290" i="45" s="1"/>
  <c r="I290" i="45" s="1"/>
  <c r="L290" i="45" s="1"/>
  <c r="O290" i="45" s="1"/>
  <c r="R290" i="45" s="1"/>
  <c r="E288" i="45"/>
  <c r="H288" i="45" s="1"/>
  <c r="K288" i="45" s="1"/>
  <c r="N288" i="45" s="1"/>
  <c r="Q288" i="45" s="1"/>
  <c r="D288" i="45"/>
  <c r="S288" i="45" s="1"/>
  <c r="C288" i="45"/>
  <c r="F288" i="45" s="1"/>
  <c r="I288" i="45" s="1"/>
  <c r="L288" i="45" s="1"/>
  <c r="O288" i="45" s="1"/>
  <c r="R288" i="45" s="1"/>
  <c r="T287" i="45"/>
  <c r="S287" i="45"/>
  <c r="H287" i="45"/>
  <c r="K287" i="45" s="1"/>
  <c r="N287" i="45" s="1"/>
  <c r="Q287" i="45" s="1"/>
  <c r="G287" i="45"/>
  <c r="J287" i="45" s="1"/>
  <c r="M287" i="45" s="1"/>
  <c r="P287" i="45" s="1"/>
  <c r="F287" i="45"/>
  <c r="I287" i="45" s="1"/>
  <c r="L287" i="45" s="1"/>
  <c r="O287" i="45" s="1"/>
  <c r="R287" i="45" s="1"/>
  <c r="E286" i="45"/>
  <c r="H286" i="45" s="1"/>
  <c r="K286" i="45" s="1"/>
  <c r="N286" i="45" s="1"/>
  <c r="Q286" i="45" s="1"/>
  <c r="D286" i="45"/>
  <c r="S286" i="45" s="1"/>
  <c r="C286" i="45"/>
  <c r="F286" i="45" s="1"/>
  <c r="I286" i="45" s="1"/>
  <c r="L286" i="45" s="1"/>
  <c r="O286" i="45" s="1"/>
  <c r="R286" i="45" s="1"/>
  <c r="T285" i="45"/>
  <c r="S285" i="45"/>
  <c r="H285" i="45"/>
  <c r="K285" i="45" s="1"/>
  <c r="N285" i="45" s="1"/>
  <c r="Q285" i="45" s="1"/>
  <c r="G285" i="45"/>
  <c r="J285" i="45" s="1"/>
  <c r="M285" i="45" s="1"/>
  <c r="P285" i="45" s="1"/>
  <c r="F285" i="45"/>
  <c r="I285" i="45" s="1"/>
  <c r="L285" i="45" s="1"/>
  <c r="O285" i="45" s="1"/>
  <c r="R285" i="45" s="1"/>
  <c r="T284" i="45"/>
  <c r="S284" i="45"/>
  <c r="H284" i="45"/>
  <c r="K284" i="45" s="1"/>
  <c r="N284" i="45" s="1"/>
  <c r="Q284" i="45" s="1"/>
  <c r="G284" i="45"/>
  <c r="J284" i="45" s="1"/>
  <c r="M284" i="45" s="1"/>
  <c r="P284" i="45" s="1"/>
  <c r="F284" i="45"/>
  <c r="I284" i="45" s="1"/>
  <c r="L284" i="45" s="1"/>
  <c r="O284" i="45" s="1"/>
  <c r="R284" i="45" s="1"/>
  <c r="E282" i="45"/>
  <c r="H282" i="45" s="1"/>
  <c r="K282" i="45" s="1"/>
  <c r="N282" i="45" s="1"/>
  <c r="Q282" i="45" s="1"/>
  <c r="E281" i="45"/>
  <c r="D281" i="45"/>
  <c r="S281" i="45" s="1"/>
  <c r="C281" i="45"/>
  <c r="E279" i="45"/>
  <c r="T279" i="45" s="1"/>
  <c r="D279" i="45"/>
  <c r="S279" i="45" s="1"/>
  <c r="C279" i="45"/>
  <c r="F279" i="45" s="1"/>
  <c r="I279" i="45" s="1"/>
  <c r="L279" i="45" s="1"/>
  <c r="O279" i="45" s="1"/>
  <c r="R279" i="45" s="1"/>
  <c r="E278" i="45"/>
  <c r="D278" i="45"/>
  <c r="C278" i="45"/>
  <c r="H277" i="45"/>
  <c r="E276" i="45"/>
  <c r="T276" i="45" s="1"/>
  <c r="D276" i="45"/>
  <c r="G276" i="45" s="1"/>
  <c r="J276" i="45" s="1"/>
  <c r="M276" i="45" s="1"/>
  <c r="P276" i="45" s="1"/>
  <c r="C276" i="45"/>
  <c r="T275" i="45"/>
  <c r="S275" i="45"/>
  <c r="H275" i="45"/>
  <c r="K275" i="45" s="1"/>
  <c r="N275" i="45" s="1"/>
  <c r="Q275" i="45" s="1"/>
  <c r="G275" i="45"/>
  <c r="J275" i="45" s="1"/>
  <c r="M275" i="45" s="1"/>
  <c r="P275" i="45" s="1"/>
  <c r="T274" i="45"/>
  <c r="S274" i="45"/>
  <c r="T273" i="45"/>
  <c r="S273" i="45"/>
  <c r="H273" i="45"/>
  <c r="K273" i="45" s="1"/>
  <c r="N273" i="45" s="1"/>
  <c r="Q273" i="45" s="1"/>
  <c r="G273" i="45"/>
  <c r="J273" i="45" s="1"/>
  <c r="M273" i="45" s="1"/>
  <c r="P273" i="45" s="1"/>
  <c r="F273" i="45"/>
  <c r="I273" i="45" s="1"/>
  <c r="L273" i="45" s="1"/>
  <c r="O273" i="45" s="1"/>
  <c r="R273" i="45" s="1"/>
  <c r="T272" i="45"/>
  <c r="S272" i="45"/>
  <c r="H272" i="45"/>
  <c r="K272" i="45" s="1"/>
  <c r="N272" i="45" s="1"/>
  <c r="Q272" i="45" s="1"/>
  <c r="G272" i="45"/>
  <c r="J272" i="45" s="1"/>
  <c r="M272" i="45" s="1"/>
  <c r="P272" i="45" s="1"/>
  <c r="F272" i="45"/>
  <c r="I272" i="45" s="1"/>
  <c r="L272" i="45" s="1"/>
  <c r="O272" i="45" s="1"/>
  <c r="R272" i="45" s="1"/>
  <c r="E270" i="45"/>
  <c r="T270" i="45" s="1"/>
  <c r="D270" i="45"/>
  <c r="G270" i="45" s="1"/>
  <c r="J270" i="45" s="1"/>
  <c r="M270" i="45" s="1"/>
  <c r="P270" i="45" s="1"/>
  <c r="C270" i="45"/>
  <c r="F270" i="45" s="1"/>
  <c r="I270" i="45" s="1"/>
  <c r="L270" i="45" s="1"/>
  <c r="O270" i="45" s="1"/>
  <c r="R270" i="45" s="1"/>
  <c r="T269" i="45"/>
  <c r="S269" i="45"/>
  <c r="H269" i="45"/>
  <c r="K269" i="45" s="1"/>
  <c r="N269" i="45" s="1"/>
  <c r="Q269" i="45" s="1"/>
  <c r="G269" i="45"/>
  <c r="J269" i="45" s="1"/>
  <c r="M269" i="45" s="1"/>
  <c r="P269" i="45" s="1"/>
  <c r="F269" i="45"/>
  <c r="I269" i="45" s="1"/>
  <c r="L269" i="45" s="1"/>
  <c r="O269" i="45" s="1"/>
  <c r="R269" i="45" s="1"/>
  <c r="E268" i="45"/>
  <c r="H268" i="45" s="1"/>
  <c r="K268" i="45" s="1"/>
  <c r="N268" i="45" s="1"/>
  <c r="Q268" i="45" s="1"/>
  <c r="D268" i="45"/>
  <c r="S268" i="45" s="1"/>
  <c r="C268" i="45"/>
  <c r="F268" i="45" s="1"/>
  <c r="I268" i="45" s="1"/>
  <c r="L268" i="45" s="1"/>
  <c r="O268" i="45" s="1"/>
  <c r="R268" i="45" s="1"/>
  <c r="T267" i="45"/>
  <c r="S267" i="45"/>
  <c r="H267" i="45"/>
  <c r="K267" i="45" s="1"/>
  <c r="N267" i="45" s="1"/>
  <c r="Q267" i="45" s="1"/>
  <c r="G267" i="45"/>
  <c r="J267" i="45" s="1"/>
  <c r="M267" i="45" s="1"/>
  <c r="P267" i="45" s="1"/>
  <c r="F267" i="45"/>
  <c r="I267" i="45" s="1"/>
  <c r="L267" i="45" s="1"/>
  <c r="O267" i="45" s="1"/>
  <c r="R267" i="45" s="1"/>
  <c r="T266" i="45"/>
  <c r="S266" i="45"/>
  <c r="H266" i="45"/>
  <c r="K266" i="45" s="1"/>
  <c r="N266" i="45" s="1"/>
  <c r="Q266" i="45" s="1"/>
  <c r="G266" i="45"/>
  <c r="J266" i="45" s="1"/>
  <c r="M266" i="45" s="1"/>
  <c r="P266" i="45" s="1"/>
  <c r="F266" i="45"/>
  <c r="I266" i="45" s="1"/>
  <c r="L266" i="45" s="1"/>
  <c r="O266" i="45" s="1"/>
  <c r="R266" i="45" s="1"/>
  <c r="E263" i="45"/>
  <c r="T263" i="45" s="1"/>
  <c r="D263" i="45"/>
  <c r="E261" i="45"/>
  <c r="T261" i="45" s="1"/>
  <c r="D261" i="45"/>
  <c r="G261" i="45" s="1"/>
  <c r="J261" i="45" s="1"/>
  <c r="M261" i="45" s="1"/>
  <c r="P261" i="45" s="1"/>
  <c r="C261" i="45"/>
  <c r="F261" i="45" s="1"/>
  <c r="I261" i="45" s="1"/>
  <c r="L261" i="45" s="1"/>
  <c r="O261" i="45" s="1"/>
  <c r="R261" i="45" s="1"/>
  <c r="E260" i="45"/>
  <c r="H260" i="45" s="1"/>
  <c r="K260" i="45" s="1"/>
  <c r="N260" i="45" s="1"/>
  <c r="Q260" i="45" s="1"/>
  <c r="D260" i="45"/>
  <c r="K259" i="45" s="1"/>
  <c r="C260" i="45"/>
  <c r="F260" i="45" s="1"/>
  <c r="I260" i="45" s="1"/>
  <c r="L260" i="45" s="1"/>
  <c r="O260" i="45" s="1"/>
  <c r="R260" i="45" s="1"/>
  <c r="O259" i="45"/>
  <c r="H259" i="45"/>
  <c r="T258" i="45"/>
  <c r="E258" i="45"/>
  <c r="H258" i="45" s="1"/>
  <c r="K258" i="45" s="1"/>
  <c r="N258" i="45" s="1"/>
  <c r="Q258" i="45" s="1"/>
  <c r="D258" i="45"/>
  <c r="S258" i="45" s="1"/>
  <c r="C258" i="45"/>
  <c r="F258" i="45" s="1"/>
  <c r="I258" i="45" s="1"/>
  <c r="L258" i="45" s="1"/>
  <c r="O258" i="45" s="1"/>
  <c r="R258" i="45" s="1"/>
  <c r="T257" i="45"/>
  <c r="S257" i="45"/>
  <c r="H257" i="45"/>
  <c r="K257" i="45" s="1"/>
  <c r="N257" i="45" s="1"/>
  <c r="Q257" i="45" s="1"/>
  <c r="G257" i="45"/>
  <c r="J257" i="45" s="1"/>
  <c r="M257" i="45" s="1"/>
  <c r="P257" i="45" s="1"/>
  <c r="F257" i="45"/>
  <c r="I257" i="45" s="1"/>
  <c r="L257" i="45" s="1"/>
  <c r="O257" i="45" s="1"/>
  <c r="R257" i="45" s="1"/>
  <c r="E256" i="45"/>
  <c r="T256" i="45" s="1"/>
  <c r="D256" i="45"/>
  <c r="G256" i="45" s="1"/>
  <c r="J256" i="45" s="1"/>
  <c r="M256" i="45" s="1"/>
  <c r="P256" i="45" s="1"/>
  <c r="C256" i="45"/>
  <c r="F256" i="45" s="1"/>
  <c r="I256" i="45" s="1"/>
  <c r="L256" i="45" s="1"/>
  <c r="O256" i="45" s="1"/>
  <c r="R256" i="45" s="1"/>
  <c r="T255" i="45"/>
  <c r="S255" i="45"/>
  <c r="H255" i="45"/>
  <c r="K255" i="45" s="1"/>
  <c r="N255" i="45" s="1"/>
  <c r="Q255" i="45" s="1"/>
  <c r="G255" i="45"/>
  <c r="J255" i="45" s="1"/>
  <c r="M255" i="45" s="1"/>
  <c r="P255" i="45" s="1"/>
  <c r="F255" i="45"/>
  <c r="I255" i="45" s="1"/>
  <c r="L255" i="45" s="1"/>
  <c r="O255" i="45" s="1"/>
  <c r="R255" i="45" s="1"/>
  <c r="T254" i="45"/>
  <c r="S254" i="45"/>
  <c r="H254" i="45"/>
  <c r="K254" i="45" s="1"/>
  <c r="N254" i="45" s="1"/>
  <c r="Q254" i="45" s="1"/>
  <c r="G254" i="45"/>
  <c r="J254" i="45" s="1"/>
  <c r="M254" i="45" s="1"/>
  <c r="P254" i="45" s="1"/>
  <c r="F254" i="45"/>
  <c r="I254" i="45" s="1"/>
  <c r="L254" i="45" s="1"/>
  <c r="O254" i="45" s="1"/>
  <c r="R254" i="45" s="1"/>
  <c r="T252" i="45"/>
  <c r="E252" i="45"/>
  <c r="H252" i="45" s="1"/>
  <c r="K252" i="45" s="1"/>
  <c r="N252" i="45" s="1"/>
  <c r="Q252" i="45" s="1"/>
  <c r="D252" i="45"/>
  <c r="S252" i="45" s="1"/>
  <c r="C252" i="45"/>
  <c r="F252" i="45" s="1"/>
  <c r="I252" i="45" s="1"/>
  <c r="L252" i="45" s="1"/>
  <c r="O252" i="45" s="1"/>
  <c r="R252" i="45" s="1"/>
  <c r="T251" i="45"/>
  <c r="S251" i="45"/>
  <c r="H251" i="45"/>
  <c r="K251" i="45" s="1"/>
  <c r="N251" i="45" s="1"/>
  <c r="Q251" i="45" s="1"/>
  <c r="G251" i="45"/>
  <c r="J251" i="45" s="1"/>
  <c r="M251" i="45" s="1"/>
  <c r="P251" i="45" s="1"/>
  <c r="F251" i="45"/>
  <c r="I251" i="45" s="1"/>
  <c r="L251" i="45" s="1"/>
  <c r="O251" i="45" s="1"/>
  <c r="R251" i="45" s="1"/>
  <c r="E250" i="45"/>
  <c r="T250" i="45" s="1"/>
  <c r="D250" i="45"/>
  <c r="S250" i="45" s="1"/>
  <c r="C250" i="45"/>
  <c r="F250" i="45" s="1"/>
  <c r="I250" i="45" s="1"/>
  <c r="L250" i="45" s="1"/>
  <c r="O250" i="45" s="1"/>
  <c r="R250" i="45" s="1"/>
  <c r="T249" i="45"/>
  <c r="S249" i="45"/>
  <c r="H249" i="45"/>
  <c r="K249" i="45" s="1"/>
  <c r="N249" i="45" s="1"/>
  <c r="Q249" i="45" s="1"/>
  <c r="G249" i="45"/>
  <c r="J249" i="45" s="1"/>
  <c r="M249" i="45" s="1"/>
  <c r="P249" i="45" s="1"/>
  <c r="F249" i="45"/>
  <c r="I249" i="45" s="1"/>
  <c r="L249" i="45" s="1"/>
  <c r="O249" i="45" s="1"/>
  <c r="R249" i="45" s="1"/>
  <c r="T248" i="45"/>
  <c r="S248" i="45"/>
  <c r="H248" i="45"/>
  <c r="K248" i="45" s="1"/>
  <c r="N248" i="45" s="1"/>
  <c r="Q248" i="45" s="1"/>
  <c r="G248" i="45"/>
  <c r="J248" i="45" s="1"/>
  <c r="M248" i="45" s="1"/>
  <c r="P248" i="45" s="1"/>
  <c r="F248" i="45"/>
  <c r="I248" i="45" s="1"/>
  <c r="L248" i="45" s="1"/>
  <c r="O248" i="45" s="1"/>
  <c r="R248" i="45" s="1"/>
  <c r="D246" i="45"/>
  <c r="E245" i="45"/>
  <c r="H245" i="45" s="1"/>
  <c r="K245" i="45" s="1"/>
  <c r="N245" i="45" s="1"/>
  <c r="Q245" i="45" s="1"/>
  <c r="D245" i="45"/>
  <c r="S245" i="45" s="1"/>
  <c r="C245" i="45"/>
  <c r="E243" i="45"/>
  <c r="H243" i="45" s="1"/>
  <c r="K243" i="45" s="1"/>
  <c r="N243" i="45" s="1"/>
  <c r="Q243" i="45" s="1"/>
  <c r="D243" i="45"/>
  <c r="S243" i="45" s="1"/>
  <c r="C243" i="45"/>
  <c r="F243" i="45" s="1"/>
  <c r="I243" i="45" s="1"/>
  <c r="L243" i="45" s="1"/>
  <c r="O243" i="45" s="1"/>
  <c r="R243" i="45" s="1"/>
  <c r="E242" i="45"/>
  <c r="L241" i="45" s="1"/>
  <c r="D242" i="45"/>
  <c r="C242" i="45"/>
  <c r="F242" i="45" s="1"/>
  <c r="I242" i="45" s="1"/>
  <c r="L242" i="45" s="1"/>
  <c r="O242" i="45" s="1"/>
  <c r="R242" i="45" s="1"/>
  <c r="E240" i="45"/>
  <c r="T240" i="45" s="1"/>
  <c r="D240" i="45"/>
  <c r="G240" i="45" s="1"/>
  <c r="J240" i="45" s="1"/>
  <c r="M240" i="45" s="1"/>
  <c r="P240" i="45" s="1"/>
  <c r="C240" i="45"/>
  <c r="F240" i="45" s="1"/>
  <c r="I240" i="45" s="1"/>
  <c r="L240" i="45" s="1"/>
  <c r="O240" i="45" s="1"/>
  <c r="R240" i="45" s="1"/>
  <c r="T239" i="45"/>
  <c r="S239" i="45"/>
  <c r="H239" i="45"/>
  <c r="K239" i="45" s="1"/>
  <c r="N239" i="45" s="1"/>
  <c r="Q239" i="45" s="1"/>
  <c r="G239" i="45"/>
  <c r="J239" i="45" s="1"/>
  <c r="M239" i="45" s="1"/>
  <c r="P239" i="45" s="1"/>
  <c r="F239" i="45"/>
  <c r="I239" i="45" s="1"/>
  <c r="L239" i="45" s="1"/>
  <c r="O239" i="45" s="1"/>
  <c r="R239" i="45" s="1"/>
  <c r="E238" i="45"/>
  <c r="H238" i="45" s="1"/>
  <c r="K238" i="45" s="1"/>
  <c r="N238" i="45" s="1"/>
  <c r="Q238" i="45" s="1"/>
  <c r="D238" i="45"/>
  <c r="S238" i="45" s="1"/>
  <c r="C238" i="45"/>
  <c r="F238" i="45" s="1"/>
  <c r="I238" i="45" s="1"/>
  <c r="L238" i="45" s="1"/>
  <c r="O238" i="45" s="1"/>
  <c r="R238" i="45" s="1"/>
  <c r="T237" i="45"/>
  <c r="S237" i="45"/>
  <c r="H237" i="45"/>
  <c r="K237" i="45" s="1"/>
  <c r="N237" i="45" s="1"/>
  <c r="Q237" i="45" s="1"/>
  <c r="G237" i="45"/>
  <c r="J237" i="45" s="1"/>
  <c r="M237" i="45" s="1"/>
  <c r="P237" i="45" s="1"/>
  <c r="F237" i="45"/>
  <c r="I237" i="45" s="1"/>
  <c r="L237" i="45" s="1"/>
  <c r="O237" i="45" s="1"/>
  <c r="R237" i="45" s="1"/>
  <c r="T236" i="45"/>
  <c r="S236" i="45"/>
  <c r="H236" i="45"/>
  <c r="K236" i="45" s="1"/>
  <c r="N236" i="45" s="1"/>
  <c r="Q236" i="45" s="1"/>
  <c r="G236" i="45"/>
  <c r="J236" i="45" s="1"/>
  <c r="M236" i="45" s="1"/>
  <c r="P236" i="45" s="1"/>
  <c r="F236" i="45"/>
  <c r="I236" i="45" s="1"/>
  <c r="L236" i="45" s="1"/>
  <c r="O236" i="45" s="1"/>
  <c r="R236" i="45" s="1"/>
  <c r="E234" i="45"/>
  <c r="T234" i="45" s="1"/>
  <c r="D234" i="45"/>
  <c r="G234" i="45" s="1"/>
  <c r="J234" i="45" s="1"/>
  <c r="M234" i="45" s="1"/>
  <c r="P234" i="45" s="1"/>
  <c r="C234" i="45"/>
  <c r="F234" i="45" s="1"/>
  <c r="I234" i="45" s="1"/>
  <c r="L234" i="45" s="1"/>
  <c r="O234" i="45" s="1"/>
  <c r="R234" i="45" s="1"/>
  <c r="T233" i="45"/>
  <c r="S233" i="45"/>
  <c r="H233" i="45"/>
  <c r="K233" i="45" s="1"/>
  <c r="N233" i="45" s="1"/>
  <c r="Q233" i="45" s="1"/>
  <c r="G233" i="45"/>
  <c r="J233" i="45" s="1"/>
  <c r="M233" i="45" s="1"/>
  <c r="P233" i="45" s="1"/>
  <c r="F233" i="45"/>
  <c r="I233" i="45" s="1"/>
  <c r="L233" i="45" s="1"/>
  <c r="O233" i="45" s="1"/>
  <c r="R233" i="45" s="1"/>
  <c r="E232" i="45"/>
  <c r="T232" i="45" s="1"/>
  <c r="D232" i="45"/>
  <c r="S232" i="45" s="1"/>
  <c r="C232" i="45"/>
  <c r="F232" i="45" s="1"/>
  <c r="I232" i="45" s="1"/>
  <c r="L232" i="45" s="1"/>
  <c r="O232" i="45" s="1"/>
  <c r="R232" i="45" s="1"/>
  <c r="T231" i="45"/>
  <c r="S231" i="45"/>
  <c r="H231" i="45"/>
  <c r="K231" i="45" s="1"/>
  <c r="N231" i="45" s="1"/>
  <c r="Q231" i="45" s="1"/>
  <c r="G231" i="45"/>
  <c r="J231" i="45" s="1"/>
  <c r="M231" i="45" s="1"/>
  <c r="P231" i="45" s="1"/>
  <c r="F231" i="45"/>
  <c r="I231" i="45" s="1"/>
  <c r="L231" i="45" s="1"/>
  <c r="O231" i="45" s="1"/>
  <c r="R231" i="45" s="1"/>
  <c r="T230" i="45"/>
  <c r="S230" i="45"/>
  <c r="H230" i="45"/>
  <c r="K230" i="45" s="1"/>
  <c r="N230" i="45" s="1"/>
  <c r="Q230" i="45" s="1"/>
  <c r="G230" i="45"/>
  <c r="J230" i="45" s="1"/>
  <c r="M230" i="45" s="1"/>
  <c r="P230" i="45" s="1"/>
  <c r="F230" i="45"/>
  <c r="I230" i="45" s="1"/>
  <c r="L230" i="45" s="1"/>
  <c r="O230" i="45" s="1"/>
  <c r="R230" i="45" s="1"/>
  <c r="D228" i="45"/>
  <c r="G228" i="45" s="1"/>
  <c r="J228" i="45" s="1"/>
  <c r="M228" i="45" s="1"/>
  <c r="P228" i="45" s="1"/>
  <c r="E227" i="45"/>
  <c r="T227" i="45" s="1"/>
  <c r="D227" i="45"/>
  <c r="S227" i="45" s="1"/>
  <c r="C227" i="45"/>
  <c r="F227" i="45" s="1"/>
  <c r="I227" i="45" s="1"/>
  <c r="L227" i="45" s="1"/>
  <c r="O227" i="45" s="1"/>
  <c r="R227" i="45" s="1"/>
  <c r="E225" i="45"/>
  <c r="T225" i="45" s="1"/>
  <c r="D225" i="45"/>
  <c r="G225" i="45" s="1"/>
  <c r="J225" i="45" s="1"/>
  <c r="M225" i="45" s="1"/>
  <c r="P225" i="45" s="1"/>
  <c r="C225" i="45"/>
  <c r="F225" i="45" s="1"/>
  <c r="I225" i="45" s="1"/>
  <c r="L225" i="45" s="1"/>
  <c r="O225" i="45" s="1"/>
  <c r="R225" i="45" s="1"/>
  <c r="E224" i="45"/>
  <c r="D224" i="45"/>
  <c r="C224" i="45"/>
  <c r="E222" i="45"/>
  <c r="H222" i="45" s="1"/>
  <c r="K222" i="45" s="1"/>
  <c r="N222" i="45" s="1"/>
  <c r="Q222" i="45" s="1"/>
  <c r="D222" i="45"/>
  <c r="S222" i="45" s="1"/>
  <c r="C222" i="45"/>
  <c r="F222" i="45" s="1"/>
  <c r="I222" i="45" s="1"/>
  <c r="L222" i="45" s="1"/>
  <c r="O222" i="45" s="1"/>
  <c r="R222" i="45" s="1"/>
  <c r="T221" i="45"/>
  <c r="S221" i="45"/>
  <c r="H221" i="45"/>
  <c r="K221" i="45" s="1"/>
  <c r="N221" i="45" s="1"/>
  <c r="Q221" i="45" s="1"/>
  <c r="G221" i="45"/>
  <c r="J221" i="45" s="1"/>
  <c r="M221" i="45" s="1"/>
  <c r="P221" i="45" s="1"/>
  <c r="F221" i="45"/>
  <c r="I221" i="45" s="1"/>
  <c r="L221" i="45" s="1"/>
  <c r="O221" i="45" s="1"/>
  <c r="R221" i="45" s="1"/>
  <c r="E220" i="45"/>
  <c r="H220" i="45" s="1"/>
  <c r="K220" i="45" s="1"/>
  <c r="N220" i="45" s="1"/>
  <c r="Q220" i="45" s="1"/>
  <c r="D220" i="45"/>
  <c r="S220" i="45" s="1"/>
  <c r="C220" i="45"/>
  <c r="F220" i="45" s="1"/>
  <c r="I220" i="45" s="1"/>
  <c r="L220" i="45" s="1"/>
  <c r="O220" i="45" s="1"/>
  <c r="R220" i="45" s="1"/>
  <c r="T219" i="45"/>
  <c r="S219" i="45"/>
  <c r="H219" i="45"/>
  <c r="K219" i="45" s="1"/>
  <c r="N219" i="45" s="1"/>
  <c r="Q219" i="45" s="1"/>
  <c r="G219" i="45"/>
  <c r="J219" i="45" s="1"/>
  <c r="M219" i="45" s="1"/>
  <c r="P219" i="45" s="1"/>
  <c r="F219" i="45"/>
  <c r="I219" i="45" s="1"/>
  <c r="L219" i="45" s="1"/>
  <c r="O219" i="45" s="1"/>
  <c r="R219" i="45" s="1"/>
  <c r="T218" i="45"/>
  <c r="S218" i="45"/>
  <c r="H218" i="45"/>
  <c r="K218" i="45" s="1"/>
  <c r="N218" i="45" s="1"/>
  <c r="Q218" i="45" s="1"/>
  <c r="G218" i="45"/>
  <c r="J218" i="45" s="1"/>
  <c r="M218" i="45" s="1"/>
  <c r="P218" i="45" s="1"/>
  <c r="F218" i="45"/>
  <c r="I218" i="45" s="1"/>
  <c r="L218" i="45" s="1"/>
  <c r="O218" i="45" s="1"/>
  <c r="R218" i="45" s="1"/>
  <c r="E215" i="45"/>
  <c r="D215" i="45"/>
  <c r="S215" i="45" s="1"/>
  <c r="C215" i="45"/>
  <c r="E213" i="45"/>
  <c r="T213" i="45" s="1"/>
  <c r="D213" i="45"/>
  <c r="S213" i="45" s="1"/>
  <c r="C213" i="45"/>
  <c r="F213" i="45" s="1"/>
  <c r="I213" i="45" s="1"/>
  <c r="L213" i="45" s="1"/>
  <c r="O213" i="45" s="1"/>
  <c r="R213" i="45" s="1"/>
  <c r="E212" i="45"/>
  <c r="L211" i="45" s="1"/>
  <c r="D212" i="45"/>
  <c r="C212" i="45"/>
  <c r="G211" i="45"/>
  <c r="E210" i="45"/>
  <c r="T210" i="45" s="1"/>
  <c r="D210" i="45"/>
  <c r="G210" i="45" s="1"/>
  <c r="J210" i="45" s="1"/>
  <c r="M210" i="45" s="1"/>
  <c r="P210" i="45" s="1"/>
  <c r="C210" i="45"/>
  <c r="F210" i="45" s="1"/>
  <c r="I210" i="45" s="1"/>
  <c r="L210" i="45" s="1"/>
  <c r="O210" i="45" s="1"/>
  <c r="R210" i="45" s="1"/>
  <c r="T209" i="45"/>
  <c r="S209" i="45"/>
  <c r="H209" i="45"/>
  <c r="K209" i="45" s="1"/>
  <c r="N209" i="45" s="1"/>
  <c r="Q209" i="45" s="1"/>
  <c r="G209" i="45"/>
  <c r="J209" i="45" s="1"/>
  <c r="M209" i="45" s="1"/>
  <c r="P209" i="45" s="1"/>
  <c r="F209" i="45"/>
  <c r="I209" i="45" s="1"/>
  <c r="L209" i="45" s="1"/>
  <c r="O209" i="45" s="1"/>
  <c r="R209" i="45" s="1"/>
  <c r="E208" i="45"/>
  <c r="T208" i="45" s="1"/>
  <c r="D208" i="45"/>
  <c r="S208" i="45" s="1"/>
  <c r="C208" i="45"/>
  <c r="F208" i="45" s="1"/>
  <c r="I208" i="45" s="1"/>
  <c r="L208" i="45" s="1"/>
  <c r="O208" i="45" s="1"/>
  <c r="R208" i="45" s="1"/>
  <c r="T207" i="45"/>
  <c r="S207" i="45"/>
  <c r="H207" i="45"/>
  <c r="K207" i="45" s="1"/>
  <c r="N207" i="45" s="1"/>
  <c r="Q207" i="45" s="1"/>
  <c r="G207" i="45"/>
  <c r="J207" i="45" s="1"/>
  <c r="M207" i="45" s="1"/>
  <c r="P207" i="45" s="1"/>
  <c r="F207" i="45"/>
  <c r="I207" i="45" s="1"/>
  <c r="L207" i="45" s="1"/>
  <c r="O207" i="45" s="1"/>
  <c r="R207" i="45" s="1"/>
  <c r="T206" i="45"/>
  <c r="S206" i="45"/>
  <c r="H206" i="45"/>
  <c r="K206" i="45" s="1"/>
  <c r="N206" i="45" s="1"/>
  <c r="Q206" i="45" s="1"/>
  <c r="G206" i="45"/>
  <c r="J206" i="45" s="1"/>
  <c r="M206" i="45" s="1"/>
  <c r="P206" i="45" s="1"/>
  <c r="F206" i="45"/>
  <c r="I206" i="45" s="1"/>
  <c r="L206" i="45" s="1"/>
  <c r="O206" i="45" s="1"/>
  <c r="R206" i="45" s="1"/>
  <c r="E204" i="45"/>
  <c r="E203" i="45"/>
  <c r="T203" i="45" s="1"/>
  <c r="D203" i="45"/>
  <c r="S203" i="45" s="1"/>
  <c r="C203" i="45"/>
  <c r="F203" i="45" s="1"/>
  <c r="I203" i="45" s="1"/>
  <c r="L203" i="45" s="1"/>
  <c r="O203" i="45" s="1"/>
  <c r="R203" i="45" s="1"/>
  <c r="E201" i="45"/>
  <c r="T201" i="45" s="1"/>
  <c r="D201" i="45"/>
  <c r="G201" i="45" s="1"/>
  <c r="J201" i="45" s="1"/>
  <c r="M201" i="45" s="1"/>
  <c r="P201" i="45" s="1"/>
  <c r="C201" i="45"/>
  <c r="F201" i="45" s="1"/>
  <c r="I201" i="45" s="1"/>
  <c r="L201" i="45" s="1"/>
  <c r="O201" i="45" s="1"/>
  <c r="R201" i="45" s="1"/>
  <c r="E200" i="45"/>
  <c r="D200" i="45"/>
  <c r="C200" i="45"/>
  <c r="N199" i="45"/>
  <c r="E198" i="45"/>
  <c r="T198" i="45" s="1"/>
  <c r="D198" i="45"/>
  <c r="S198" i="45" s="1"/>
  <c r="C198" i="45"/>
  <c r="F198" i="45" s="1"/>
  <c r="I198" i="45" s="1"/>
  <c r="L198" i="45" s="1"/>
  <c r="O198" i="45" s="1"/>
  <c r="R198" i="45" s="1"/>
  <c r="T197" i="45"/>
  <c r="S197" i="45"/>
  <c r="H197" i="45"/>
  <c r="K197" i="45" s="1"/>
  <c r="N197" i="45" s="1"/>
  <c r="Q197" i="45" s="1"/>
  <c r="G197" i="45"/>
  <c r="J197" i="45" s="1"/>
  <c r="M197" i="45" s="1"/>
  <c r="P197" i="45" s="1"/>
  <c r="F197" i="45"/>
  <c r="I197" i="45" s="1"/>
  <c r="L197" i="45" s="1"/>
  <c r="O197" i="45" s="1"/>
  <c r="R197" i="45" s="1"/>
  <c r="H196" i="45"/>
  <c r="K196" i="45" s="1"/>
  <c r="N196" i="45" s="1"/>
  <c r="Q196" i="45" s="1"/>
  <c r="S196" i="45"/>
  <c r="F196" i="45"/>
  <c r="I196" i="45" s="1"/>
  <c r="L196" i="45" s="1"/>
  <c r="O196" i="45" s="1"/>
  <c r="R196" i="45" s="1"/>
  <c r="T195" i="45"/>
  <c r="S195" i="45"/>
  <c r="H195" i="45"/>
  <c r="K195" i="45" s="1"/>
  <c r="N195" i="45" s="1"/>
  <c r="Q195" i="45" s="1"/>
  <c r="G195" i="45"/>
  <c r="J195" i="45" s="1"/>
  <c r="M195" i="45" s="1"/>
  <c r="P195" i="45" s="1"/>
  <c r="F195" i="45"/>
  <c r="I195" i="45" s="1"/>
  <c r="L195" i="45" s="1"/>
  <c r="O195" i="45" s="1"/>
  <c r="R195" i="45" s="1"/>
  <c r="T194" i="45"/>
  <c r="S194" i="45"/>
  <c r="H194" i="45"/>
  <c r="K194" i="45" s="1"/>
  <c r="N194" i="45" s="1"/>
  <c r="Q194" i="45" s="1"/>
  <c r="G194" i="45"/>
  <c r="J194" i="45" s="1"/>
  <c r="M194" i="45" s="1"/>
  <c r="P194" i="45" s="1"/>
  <c r="F194" i="45"/>
  <c r="I194" i="45" s="1"/>
  <c r="L194" i="45" s="1"/>
  <c r="O194" i="45" s="1"/>
  <c r="R194" i="45" s="1"/>
  <c r="E191" i="45"/>
  <c r="D191" i="45"/>
  <c r="C191" i="45"/>
  <c r="E189" i="45"/>
  <c r="D189" i="45"/>
  <c r="G189" i="45" s="1"/>
  <c r="J189" i="45" s="1"/>
  <c r="M189" i="45" s="1"/>
  <c r="P189" i="45" s="1"/>
  <c r="C189" i="45"/>
  <c r="E188" i="45"/>
  <c r="T188" i="45" s="1"/>
  <c r="D188" i="45"/>
  <c r="S188" i="45" s="1"/>
  <c r="C188" i="45"/>
  <c r="F188" i="45" s="1"/>
  <c r="I188" i="45" s="1"/>
  <c r="L188" i="45" s="1"/>
  <c r="O188" i="45" s="1"/>
  <c r="R188" i="45" s="1"/>
  <c r="E186" i="45"/>
  <c r="H186" i="45" s="1"/>
  <c r="K186" i="45" s="1"/>
  <c r="N186" i="45" s="1"/>
  <c r="Q186" i="45" s="1"/>
  <c r="D186" i="45"/>
  <c r="S186" i="45" s="1"/>
  <c r="C186" i="45"/>
  <c r="F186" i="45" s="1"/>
  <c r="I186" i="45" s="1"/>
  <c r="L186" i="45" s="1"/>
  <c r="O186" i="45" s="1"/>
  <c r="R186" i="45" s="1"/>
  <c r="T185" i="45"/>
  <c r="S185" i="45"/>
  <c r="H185" i="45"/>
  <c r="K185" i="45" s="1"/>
  <c r="N185" i="45" s="1"/>
  <c r="Q185" i="45" s="1"/>
  <c r="G185" i="45"/>
  <c r="J185" i="45" s="1"/>
  <c r="M185" i="45" s="1"/>
  <c r="P185" i="45" s="1"/>
  <c r="F185" i="45"/>
  <c r="I185" i="45" s="1"/>
  <c r="L185" i="45" s="1"/>
  <c r="O185" i="45" s="1"/>
  <c r="R185" i="45" s="1"/>
  <c r="G184" i="45"/>
  <c r="J184" i="45" s="1"/>
  <c r="M184" i="45" s="1"/>
  <c r="P184" i="45" s="1"/>
  <c r="F184" i="45"/>
  <c r="I184" i="45" s="1"/>
  <c r="L184" i="45" s="1"/>
  <c r="O184" i="45" s="1"/>
  <c r="R184" i="45" s="1"/>
  <c r="T183" i="45"/>
  <c r="S183" i="45"/>
  <c r="H183" i="45"/>
  <c r="K183" i="45" s="1"/>
  <c r="N183" i="45" s="1"/>
  <c r="Q183" i="45" s="1"/>
  <c r="G183" i="45"/>
  <c r="J183" i="45" s="1"/>
  <c r="M183" i="45" s="1"/>
  <c r="P183" i="45" s="1"/>
  <c r="F183" i="45"/>
  <c r="I183" i="45" s="1"/>
  <c r="L183" i="45" s="1"/>
  <c r="O183" i="45" s="1"/>
  <c r="R183" i="45" s="1"/>
  <c r="T182" i="45"/>
  <c r="S182" i="45"/>
  <c r="H182" i="45"/>
  <c r="K182" i="45" s="1"/>
  <c r="N182" i="45" s="1"/>
  <c r="Q182" i="45" s="1"/>
  <c r="G182" i="45"/>
  <c r="J182" i="45" s="1"/>
  <c r="M182" i="45" s="1"/>
  <c r="P182" i="45" s="1"/>
  <c r="F182" i="45"/>
  <c r="I182" i="45" s="1"/>
  <c r="L182" i="45" s="1"/>
  <c r="O182" i="45" s="1"/>
  <c r="R182" i="45" s="1"/>
  <c r="E180" i="45"/>
  <c r="H180" i="45" s="1"/>
  <c r="K180" i="45" s="1"/>
  <c r="N180" i="45" s="1"/>
  <c r="Q180" i="45" s="1"/>
  <c r="D180" i="45"/>
  <c r="S180" i="45" s="1"/>
  <c r="C180" i="45"/>
  <c r="F180" i="45" s="1"/>
  <c r="I180" i="45" s="1"/>
  <c r="L180" i="45" s="1"/>
  <c r="O180" i="45" s="1"/>
  <c r="R180" i="45" s="1"/>
  <c r="T179" i="45"/>
  <c r="S179" i="45"/>
  <c r="H179" i="45"/>
  <c r="K179" i="45" s="1"/>
  <c r="N179" i="45" s="1"/>
  <c r="Q179" i="45" s="1"/>
  <c r="G179" i="45"/>
  <c r="J179" i="45" s="1"/>
  <c r="M179" i="45" s="1"/>
  <c r="P179" i="45" s="1"/>
  <c r="F179" i="45"/>
  <c r="I179" i="45" s="1"/>
  <c r="L179" i="45" s="1"/>
  <c r="O179" i="45" s="1"/>
  <c r="R179" i="45" s="1"/>
  <c r="E178" i="45"/>
  <c r="T178" i="45" s="1"/>
  <c r="D178" i="45"/>
  <c r="C178" i="45"/>
  <c r="F178" i="45" s="1"/>
  <c r="I178" i="45" s="1"/>
  <c r="L178" i="45" s="1"/>
  <c r="O178" i="45" s="1"/>
  <c r="R178" i="45" s="1"/>
  <c r="T177" i="45"/>
  <c r="S177" i="45"/>
  <c r="H177" i="45"/>
  <c r="K177" i="45" s="1"/>
  <c r="N177" i="45" s="1"/>
  <c r="Q177" i="45" s="1"/>
  <c r="G177" i="45"/>
  <c r="J177" i="45" s="1"/>
  <c r="M177" i="45" s="1"/>
  <c r="P177" i="45" s="1"/>
  <c r="F177" i="45"/>
  <c r="I177" i="45" s="1"/>
  <c r="L177" i="45" s="1"/>
  <c r="O177" i="45" s="1"/>
  <c r="R177" i="45" s="1"/>
  <c r="T176" i="45"/>
  <c r="S176" i="45"/>
  <c r="H176" i="45"/>
  <c r="K176" i="45" s="1"/>
  <c r="N176" i="45" s="1"/>
  <c r="Q176" i="45" s="1"/>
  <c r="G176" i="45"/>
  <c r="J176" i="45" s="1"/>
  <c r="M176" i="45" s="1"/>
  <c r="P176" i="45" s="1"/>
  <c r="F176" i="45"/>
  <c r="I176" i="45" s="1"/>
  <c r="L176" i="45" s="1"/>
  <c r="O176" i="45" s="1"/>
  <c r="R176" i="45" s="1"/>
  <c r="E173" i="45"/>
  <c r="I169" i="45" s="1"/>
  <c r="D173" i="45"/>
  <c r="H169" i="45" s="1"/>
  <c r="C173" i="45"/>
  <c r="F173" i="45" s="1"/>
  <c r="I173" i="45" s="1"/>
  <c r="L173" i="45" s="1"/>
  <c r="O173" i="45" s="1"/>
  <c r="R173" i="45" s="1"/>
  <c r="E171" i="45"/>
  <c r="T171" i="45" s="1"/>
  <c r="D171" i="45"/>
  <c r="N169" i="45" s="1"/>
  <c r="C171" i="45"/>
  <c r="F171" i="45" s="1"/>
  <c r="I171" i="45" s="1"/>
  <c r="L171" i="45" s="1"/>
  <c r="O171" i="45" s="1"/>
  <c r="R171" i="45" s="1"/>
  <c r="E170" i="45"/>
  <c r="D170" i="45"/>
  <c r="C170" i="45"/>
  <c r="O169" i="45"/>
  <c r="J169" i="45"/>
  <c r="E168" i="45"/>
  <c r="T168" i="45" s="1"/>
  <c r="D168" i="45"/>
  <c r="G168" i="45" s="1"/>
  <c r="J168" i="45" s="1"/>
  <c r="M168" i="45" s="1"/>
  <c r="P168" i="45" s="1"/>
  <c r="C168" i="45"/>
  <c r="F168" i="45" s="1"/>
  <c r="I168" i="45" s="1"/>
  <c r="L168" i="45" s="1"/>
  <c r="O168" i="45" s="1"/>
  <c r="R168" i="45" s="1"/>
  <c r="T167" i="45"/>
  <c r="S167" i="45"/>
  <c r="H167" i="45"/>
  <c r="K167" i="45" s="1"/>
  <c r="N167" i="45" s="1"/>
  <c r="Q167" i="45" s="1"/>
  <c r="G167" i="45"/>
  <c r="J167" i="45" s="1"/>
  <c r="M167" i="45" s="1"/>
  <c r="P167" i="45" s="1"/>
  <c r="F167" i="45"/>
  <c r="I167" i="45" s="1"/>
  <c r="L167" i="45" s="1"/>
  <c r="O167" i="45" s="1"/>
  <c r="R167" i="45" s="1"/>
  <c r="E166" i="45"/>
  <c r="T166" i="45" s="1"/>
  <c r="D166" i="45"/>
  <c r="C166" i="45"/>
  <c r="F166" i="45" s="1"/>
  <c r="I166" i="45" s="1"/>
  <c r="L166" i="45" s="1"/>
  <c r="O166" i="45" s="1"/>
  <c r="R166" i="45" s="1"/>
  <c r="T165" i="45"/>
  <c r="S165" i="45"/>
  <c r="H165" i="45"/>
  <c r="K165" i="45" s="1"/>
  <c r="N165" i="45" s="1"/>
  <c r="Q165" i="45" s="1"/>
  <c r="G165" i="45"/>
  <c r="J165" i="45" s="1"/>
  <c r="M165" i="45" s="1"/>
  <c r="P165" i="45" s="1"/>
  <c r="F165" i="45"/>
  <c r="I165" i="45" s="1"/>
  <c r="L165" i="45" s="1"/>
  <c r="O165" i="45" s="1"/>
  <c r="R165" i="45" s="1"/>
  <c r="T164" i="45"/>
  <c r="S164" i="45"/>
  <c r="H164" i="45"/>
  <c r="K164" i="45" s="1"/>
  <c r="N164" i="45" s="1"/>
  <c r="Q164" i="45" s="1"/>
  <c r="G164" i="45"/>
  <c r="J164" i="45" s="1"/>
  <c r="M164" i="45" s="1"/>
  <c r="P164" i="45" s="1"/>
  <c r="F164" i="45"/>
  <c r="I164" i="45" s="1"/>
  <c r="L164" i="45" s="1"/>
  <c r="O164" i="45" s="1"/>
  <c r="R164" i="45" s="1"/>
  <c r="E162" i="45"/>
  <c r="T162" i="45" s="1"/>
  <c r="D162" i="45"/>
  <c r="G162" i="45" s="1"/>
  <c r="J162" i="45" s="1"/>
  <c r="M162" i="45" s="1"/>
  <c r="P162" i="45" s="1"/>
  <c r="C162" i="45"/>
  <c r="F162" i="45" s="1"/>
  <c r="I162" i="45" s="1"/>
  <c r="L162" i="45" s="1"/>
  <c r="O162" i="45" s="1"/>
  <c r="R162" i="45" s="1"/>
  <c r="T161" i="45"/>
  <c r="S161" i="45"/>
  <c r="H161" i="45"/>
  <c r="K161" i="45" s="1"/>
  <c r="N161" i="45" s="1"/>
  <c r="Q161" i="45" s="1"/>
  <c r="G161" i="45"/>
  <c r="J161" i="45" s="1"/>
  <c r="M161" i="45" s="1"/>
  <c r="P161" i="45" s="1"/>
  <c r="F161" i="45"/>
  <c r="I161" i="45" s="1"/>
  <c r="L161" i="45" s="1"/>
  <c r="O161" i="45" s="1"/>
  <c r="R161" i="45" s="1"/>
  <c r="E160" i="45"/>
  <c r="T160" i="45" s="1"/>
  <c r="D160" i="45"/>
  <c r="S160" i="45" s="1"/>
  <c r="C160" i="45"/>
  <c r="F160" i="45" s="1"/>
  <c r="I160" i="45" s="1"/>
  <c r="L160" i="45" s="1"/>
  <c r="O160" i="45" s="1"/>
  <c r="R160" i="45" s="1"/>
  <c r="T159" i="45"/>
  <c r="S159" i="45"/>
  <c r="H159" i="45"/>
  <c r="K159" i="45" s="1"/>
  <c r="N159" i="45" s="1"/>
  <c r="Q159" i="45" s="1"/>
  <c r="G159" i="45"/>
  <c r="J159" i="45" s="1"/>
  <c r="M159" i="45" s="1"/>
  <c r="P159" i="45" s="1"/>
  <c r="F159" i="45"/>
  <c r="I159" i="45" s="1"/>
  <c r="L159" i="45" s="1"/>
  <c r="O159" i="45" s="1"/>
  <c r="R159" i="45" s="1"/>
  <c r="T158" i="45"/>
  <c r="S158" i="45"/>
  <c r="H158" i="45"/>
  <c r="K158" i="45" s="1"/>
  <c r="N158" i="45" s="1"/>
  <c r="Q158" i="45" s="1"/>
  <c r="G158" i="45"/>
  <c r="J158" i="45" s="1"/>
  <c r="M158" i="45" s="1"/>
  <c r="P158" i="45" s="1"/>
  <c r="F158" i="45"/>
  <c r="I158" i="45" s="1"/>
  <c r="L158" i="45" s="1"/>
  <c r="O158" i="45" s="1"/>
  <c r="R158" i="45" s="1"/>
  <c r="E156" i="45"/>
  <c r="T156" i="45" s="1"/>
  <c r="D156" i="45"/>
  <c r="S156" i="45" s="1"/>
  <c r="C156" i="45"/>
  <c r="T155" i="45"/>
  <c r="S155" i="45"/>
  <c r="H155" i="45"/>
  <c r="K155" i="45" s="1"/>
  <c r="N155" i="45" s="1"/>
  <c r="Q155" i="45" s="1"/>
  <c r="G155" i="45"/>
  <c r="J155" i="45" s="1"/>
  <c r="M155" i="45" s="1"/>
  <c r="P155" i="45" s="1"/>
  <c r="H154" i="45"/>
  <c r="K154" i="45" s="1"/>
  <c r="N154" i="45" s="1"/>
  <c r="Q154" i="45" s="1"/>
  <c r="S154" i="45"/>
  <c r="T153" i="45"/>
  <c r="S153" i="45"/>
  <c r="H153" i="45"/>
  <c r="K153" i="45" s="1"/>
  <c r="N153" i="45" s="1"/>
  <c r="Q153" i="45" s="1"/>
  <c r="G153" i="45"/>
  <c r="J153" i="45" s="1"/>
  <c r="M153" i="45" s="1"/>
  <c r="P153" i="45" s="1"/>
  <c r="F153" i="45"/>
  <c r="I153" i="45" s="1"/>
  <c r="L153" i="45" s="1"/>
  <c r="O153" i="45" s="1"/>
  <c r="R153" i="45" s="1"/>
  <c r="T152" i="45"/>
  <c r="S152" i="45"/>
  <c r="H152" i="45"/>
  <c r="K152" i="45" s="1"/>
  <c r="N152" i="45" s="1"/>
  <c r="Q152" i="45" s="1"/>
  <c r="G152" i="45"/>
  <c r="J152" i="45" s="1"/>
  <c r="M152" i="45" s="1"/>
  <c r="P152" i="45" s="1"/>
  <c r="F152" i="45"/>
  <c r="I152" i="45" s="1"/>
  <c r="L152" i="45" s="1"/>
  <c r="O152" i="45" s="1"/>
  <c r="R152" i="45" s="1"/>
  <c r="D150" i="45"/>
  <c r="G150" i="45" s="1"/>
  <c r="J150" i="45" s="1"/>
  <c r="M150" i="45" s="1"/>
  <c r="P150" i="45" s="1"/>
  <c r="E149" i="45"/>
  <c r="D149" i="45"/>
  <c r="E147" i="45"/>
  <c r="H147" i="45" s="1"/>
  <c r="K147" i="45" s="1"/>
  <c r="N147" i="45" s="1"/>
  <c r="Q147" i="45" s="1"/>
  <c r="D147" i="45"/>
  <c r="S147" i="45" s="1"/>
  <c r="C147" i="45"/>
  <c r="F147" i="45" s="1"/>
  <c r="I147" i="45" s="1"/>
  <c r="L147" i="45" s="1"/>
  <c r="O147" i="45" s="1"/>
  <c r="R147" i="45" s="1"/>
  <c r="E146" i="45"/>
  <c r="L145" i="45" s="1"/>
  <c r="D146" i="45"/>
  <c r="C146" i="45"/>
  <c r="O145" i="45"/>
  <c r="M145" i="45"/>
  <c r="E144" i="45"/>
  <c r="T144" i="45" s="1"/>
  <c r="D144" i="45"/>
  <c r="G144" i="45" s="1"/>
  <c r="J144" i="45" s="1"/>
  <c r="M144" i="45" s="1"/>
  <c r="P144" i="45" s="1"/>
  <c r="C144" i="45"/>
  <c r="F144" i="45" s="1"/>
  <c r="I144" i="45" s="1"/>
  <c r="L144" i="45" s="1"/>
  <c r="O144" i="45" s="1"/>
  <c r="R144" i="45" s="1"/>
  <c r="T143" i="45"/>
  <c r="S143" i="45"/>
  <c r="H143" i="45"/>
  <c r="K143" i="45" s="1"/>
  <c r="N143" i="45" s="1"/>
  <c r="Q143" i="45" s="1"/>
  <c r="G143" i="45"/>
  <c r="J143" i="45" s="1"/>
  <c r="M143" i="45" s="1"/>
  <c r="P143" i="45" s="1"/>
  <c r="F143" i="45"/>
  <c r="I143" i="45" s="1"/>
  <c r="L143" i="45" s="1"/>
  <c r="O143" i="45" s="1"/>
  <c r="R143" i="45" s="1"/>
  <c r="E142" i="45"/>
  <c r="T142" i="45" s="1"/>
  <c r="D142" i="45"/>
  <c r="G142" i="45" s="1"/>
  <c r="J142" i="45" s="1"/>
  <c r="M142" i="45" s="1"/>
  <c r="P142" i="45" s="1"/>
  <c r="C142" i="45"/>
  <c r="F142" i="45" s="1"/>
  <c r="I142" i="45" s="1"/>
  <c r="L142" i="45" s="1"/>
  <c r="O142" i="45" s="1"/>
  <c r="R142" i="45" s="1"/>
  <c r="T141" i="45"/>
  <c r="S141" i="45"/>
  <c r="H141" i="45"/>
  <c r="K141" i="45" s="1"/>
  <c r="N141" i="45" s="1"/>
  <c r="Q141" i="45" s="1"/>
  <c r="G141" i="45"/>
  <c r="J141" i="45" s="1"/>
  <c r="M141" i="45" s="1"/>
  <c r="P141" i="45" s="1"/>
  <c r="F141" i="45"/>
  <c r="I141" i="45" s="1"/>
  <c r="L141" i="45" s="1"/>
  <c r="O141" i="45" s="1"/>
  <c r="R141" i="45" s="1"/>
  <c r="T140" i="45"/>
  <c r="S140" i="45"/>
  <c r="H140" i="45"/>
  <c r="K140" i="45" s="1"/>
  <c r="N140" i="45" s="1"/>
  <c r="Q140" i="45" s="1"/>
  <c r="G140" i="45"/>
  <c r="J140" i="45" s="1"/>
  <c r="M140" i="45" s="1"/>
  <c r="P140" i="45" s="1"/>
  <c r="F140" i="45"/>
  <c r="I140" i="45" s="1"/>
  <c r="L140" i="45" s="1"/>
  <c r="O140" i="45" s="1"/>
  <c r="R140" i="45" s="1"/>
  <c r="E138" i="45"/>
  <c r="H138" i="45" s="1"/>
  <c r="K138" i="45" s="1"/>
  <c r="N138" i="45" s="1"/>
  <c r="Q138" i="45" s="1"/>
  <c r="D138" i="45"/>
  <c r="S138" i="45" s="1"/>
  <c r="C138" i="45"/>
  <c r="F138" i="45" s="1"/>
  <c r="I138" i="45" s="1"/>
  <c r="L138" i="45" s="1"/>
  <c r="O138" i="45" s="1"/>
  <c r="R138" i="45" s="1"/>
  <c r="T137" i="45"/>
  <c r="S137" i="45"/>
  <c r="H137" i="45"/>
  <c r="K137" i="45" s="1"/>
  <c r="N137" i="45" s="1"/>
  <c r="Q137" i="45" s="1"/>
  <c r="G137" i="45"/>
  <c r="J137" i="45" s="1"/>
  <c r="M137" i="45" s="1"/>
  <c r="P137" i="45" s="1"/>
  <c r="F137" i="45"/>
  <c r="I137" i="45" s="1"/>
  <c r="L137" i="45" s="1"/>
  <c r="O137" i="45" s="1"/>
  <c r="R137" i="45" s="1"/>
  <c r="E136" i="45"/>
  <c r="T136" i="45" s="1"/>
  <c r="D136" i="45"/>
  <c r="G136" i="45" s="1"/>
  <c r="J136" i="45" s="1"/>
  <c r="M136" i="45" s="1"/>
  <c r="P136" i="45" s="1"/>
  <c r="C136" i="45"/>
  <c r="F136" i="45" s="1"/>
  <c r="I136" i="45" s="1"/>
  <c r="L136" i="45" s="1"/>
  <c r="O136" i="45" s="1"/>
  <c r="R136" i="45" s="1"/>
  <c r="T135" i="45"/>
  <c r="S135" i="45"/>
  <c r="H135" i="45"/>
  <c r="K135" i="45" s="1"/>
  <c r="N135" i="45" s="1"/>
  <c r="Q135" i="45" s="1"/>
  <c r="G135" i="45"/>
  <c r="J135" i="45" s="1"/>
  <c r="M135" i="45" s="1"/>
  <c r="P135" i="45" s="1"/>
  <c r="F135" i="45"/>
  <c r="I135" i="45" s="1"/>
  <c r="L135" i="45" s="1"/>
  <c r="O135" i="45" s="1"/>
  <c r="R135" i="45" s="1"/>
  <c r="T134" i="45"/>
  <c r="S134" i="45"/>
  <c r="H134" i="45"/>
  <c r="K134" i="45" s="1"/>
  <c r="N134" i="45" s="1"/>
  <c r="Q134" i="45" s="1"/>
  <c r="G134" i="45"/>
  <c r="J134" i="45" s="1"/>
  <c r="M134" i="45" s="1"/>
  <c r="P134" i="45" s="1"/>
  <c r="F134" i="45"/>
  <c r="I134" i="45" s="1"/>
  <c r="L134" i="45" s="1"/>
  <c r="O134" i="45" s="1"/>
  <c r="R134" i="45" s="1"/>
  <c r="T132" i="45"/>
  <c r="E132" i="45"/>
  <c r="H132" i="45" s="1"/>
  <c r="K132" i="45" s="1"/>
  <c r="N132" i="45" s="1"/>
  <c r="Q132" i="45" s="1"/>
  <c r="D132" i="45"/>
  <c r="S132" i="45" s="1"/>
  <c r="C132" i="45"/>
  <c r="F132" i="45" s="1"/>
  <c r="I132" i="45" s="1"/>
  <c r="L132" i="45" s="1"/>
  <c r="O132" i="45" s="1"/>
  <c r="R132" i="45" s="1"/>
  <c r="T131" i="45"/>
  <c r="S131" i="45"/>
  <c r="H131" i="45"/>
  <c r="K131" i="45" s="1"/>
  <c r="N131" i="45" s="1"/>
  <c r="Q131" i="45" s="1"/>
  <c r="G131" i="45"/>
  <c r="J131" i="45" s="1"/>
  <c r="M131" i="45" s="1"/>
  <c r="P131" i="45" s="1"/>
  <c r="F131" i="45"/>
  <c r="I131" i="45" s="1"/>
  <c r="L131" i="45" s="1"/>
  <c r="O131" i="45" s="1"/>
  <c r="R131" i="45" s="1"/>
  <c r="E130" i="45"/>
  <c r="T130" i="45" s="1"/>
  <c r="D130" i="45"/>
  <c r="S130" i="45" s="1"/>
  <c r="C130" i="45"/>
  <c r="F130" i="45" s="1"/>
  <c r="I130" i="45" s="1"/>
  <c r="L130" i="45" s="1"/>
  <c r="O130" i="45" s="1"/>
  <c r="R130" i="45" s="1"/>
  <c r="T129" i="45"/>
  <c r="S129" i="45"/>
  <c r="H129" i="45"/>
  <c r="K129" i="45" s="1"/>
  <c r="N129" i="45" s="1"/>
  <c r="Q129" i="45" s="1"/>
  <c r="G129" i="45"/>
  <c r="J129" i="45" s="1"/>
  <c r="M129" i="45" s="1"/>
  <c r="P129" i="45" s="1"/>
  <c r="F129" i="45"/>
  <c r="I129" i="45" s="1"/>
  <c r="L129" i="45" s="1"/>
  <c r="O129" i="45" s="1"/>
  <c r="R129" i="45" s="1"/>
  <c r="T128" i="45"/>
  <c r="S128" i="45"/>
  <c r="H128" i="45"/>
  <c r="K128" i="45" s="1"/>
  <c r="N128" i="45" s="1"/>
  <c r="Q128" i="45" s="1"/>
  <c r="G128" i="45"/>
  <c r="J128" i="45" s="1"/>
  <c r="M128" i="45" s="1"/>
  <c r="P128" i="45" s="1"/>
  <c r="F128" i="45"/>
  <c r="I128" i="45" s="1"/>
  <c r="L128" i="45" s="1"/>
  <c r="O128" i="45" s="1"/>
  <c r="R128" i="45" s="1"/>
  <c r="C126" i="45"/>
  <c r="E125" i="45"/>
  <c r="D125" i="45"/>
  <c r="C125" i="45"/>
  <c r="E123" i="45"/>
  <c r="T123" i="45" s="1"/>
  <c r="D123" i="45"/>
  <c r="G123" i="45" s="1"/>
  <c r="J123" i="45" s="1"/>
  <c r="M123" i="45" s="1"/>
  <c r="P123" i="45" s="1"/>
  <c r="C123" i="45"/>
  <c r="F123" i="45" s="1"/>
  <c r="I123" i="45" s="1"/>
  <c r="L123" i="45" s="1"/>
  <c r="O123" i="45" s="1"/>
  <c r="R123" i="45" s="1"/>
  <c r="E122" i="45"/>
  <c r="H122" i="45" s="1"/>
  <c r="K122" i="45" s="1"/>
  <c r="N122" i="45" s="1"/>
  <c r="Q122" i="45" s="1"/>
  <c r="D122" i="45"/>
  <c r="K121" i="45" s="1"/>
  <c r="C122" i="45"/>
  <c r="F122" i="45" s="1"/>
  <c r="I122" i="45" s="1"/>
  <c r="L122" i="45" s="1"/>
  <c r="O122" i="45" s="1"/>
  <c r="R122" i="45" s="1"/>
  <c r="O121" i="45"/>
  <c r="E120" i="45"/>
  <c r="H120" i="45" s="1"/>
  <c r="K120" i="45" s="1"/>
  <c r="N120" i="45" s="1"/>
  <c r="Q120" i="45" s="1"/>
  <c r="D120" i="45"/>
  <c r="S120" i="45" s="1"/>
  <c r="C120" i="45"/>
  <c r="F120" i="45" s="1"/>
  <c r="I120" i="45" s="1"/>
  <c r="L120" i="45" s="1"/>
  <c r="O120" i="45" s="1"/>
  <c r="R120" i="45" s="1"/>
  <c r="T119" i="45"/>
  <c r="S119" i="45"/>
  <c r="H119" i="45"/>
  <c r="K119" i="45" s="1"/>
  <c r="N119" i="45" s="1"/>
  <c r="Q119" i="45" s="1"/>
  <c r="G119" i="45"/>
  <c r="J119" i="45" s="1"/>
  <c r="M119" i="45" s="1"/>
  <c r="P119" i="45" s="1"/>
  <c r="F119" i="45"/>
  <c r="I119" i="45" s="1"/>
  <c r="L119" i="45" s="1"/>
  <c r="O119" i="45" s="1"/>
  <c r="R119" i="45" s="1"/>
  <c r="E118" i="45"/>
  <c r="T118" i="45" s="1"/>
  <c r="D118" i="45"/>
  <c r="S118" i="45" s="1"/>
  <c r="C118" i="45"/>
  <c r="F118" i="45" s="1"/>
  <c r="I118" i="45" s="1"/>
  <c r="L118" i="45" s="1"/>
  <c r="O118" i="45" s="1"/>
  <c r="R118" i="45" s="1"/>
  <c r="T117" i="45"/>
  <c r="S117" i="45"/>
  <c r="H117" i="45"/>
  <c r="K117" i="45" s="1"/>
  <c r="N117" i="45" s="1"/>
  <c r="Q117" i="45" s="1"/>
  <c r="G117" i="45"/>
  <c r="J117" i="45" s="1"/>
  <c r="M117" i="45" s="1"/>
  <c r="P117" i="45" s="1"/>
  <c r="F117" i="45"/>
  <c r="I117" i="45" s="1"/>
  <c r="L117" i="45" s="1"/>
  <c r="O117" i="45" s="1"/>
  <c r="R117" i="45" s="1"/>
  <c r="T116" i="45"/>
  <c r="S116" i="45"/>
  <c r="H116" i="45"/>
  <c r="K116" i="45" s="1"/>
  <c r="N116" i="45" s="1"/>
  <c r="Q116" i="45" s="1"/>
  <c r="G116" i="45"/>
  <c r="J116" i="45" s="1"/>
  <c r="M116" i="45" s="1"/>
  <c r="P116" i="45" s="1"/>
  <c r="F116" i="45"/>
  <c r="I116" i="45" s="1"/>
  <c r="L116" i="45" s="1"/>
  <c r="O116" i="45" s="1"/>
  <c r="R116" i="45" s="1"/>
  <c r="E114" i="45"/>
  <c r="H114" i="45" s="1"/>
  <c r="K114" i="45" s="1"/>
  <c r="N114" i="45" s="1"/>
  <c r="Q114" i="45" s="1"/>
  <c r="D114" i="45"/>
  <c r="S114" i="45" s="1"/>
  <c r="C114" i="45"/>
  <c r="F114" i="45" s="1"/>
  <c r="I114" i="45" s="1"/>
  <c r="L114" i="45" s="1"/>
  <c r="O114" i="45" s="1"/>
  <c r="R114" i="45" s="1"/>
  <c r="T113" i="45"/>
  <c r="S113" i="45"/>
  <c r="H113" i="45"/>
  <c r="K113" i="45" s="1"/>
  <c r="N113" i="45" s="1"/>
  <c r="Q113" i="45" s="1"/>
  <c r="G113" i="45"/>
  <c r="J113" i="45" s="1"/>
  <c r="M113" i="45" s="1"/>
  <c r="P113" i="45" s="1"/>
  <c r="F113" i="45"/>
  <c r="I113" i="45" s="1"/>
  <c r="L113" i="45" s="1"/>
  <c r="O113" i="45" s="1"/>
  <c r="R113" i="45" s="1"/>
  <c r="E112" i="45"/>
  <c r="T112" i="45" s="1"/>
  <c r="D112" i="45"/>
  <c r="G112" i="45" s="1"/>
  <c r="J112" i="45" s="1"/>
  <c r="M112" i="45" s="1"/>
  <c r="P112" i="45" s="1"/>
  <c r="C112" i="45"/>
  <c r="F112" i="45" s="1"/>
  <c r="I112" i="45" s="1"/>
  <c r="L112" i="45" s="1"/>
  <c r="O112" i="45" s="1"/>
  <c r="R112" i="45" s="1"/>
  <c r="T111" i="45"/>
  <c r="S111" i="45"/>
  <c r="H111" i="45"/>
  <c r="K111" i="45" s="1"/>
  <c r="N111" i="45" s="1"/>
  <c r="Q111" i="45" s="1"/>
  <c r="G111" i="45"/>
  <c r="J111" i="45" s="1"/>
  <c r="M111" i="45" s="1"/>
  <c r="P111" i="45" s="1"/>
  <c r="F111" i="45"/>
  <c r="I111" i="45" s="1"/>
  <c r="L111" i="45" s="1"/>
  <c r="O111" i="45" s="1"/>
  <c r="R111" i="45" s="1"/>
  <c r="T110" i="45"/>
  <c r="S110" i="45"/>
  <c r="H110" i="45"/>
  <c r="K110" i="45" s="1"/>
  <c r="N110" i="45" s="1"/>
  <c r="Q110" i="45" s="1"/>
  <c r="G110" i="45"/>
  <c r="J110" i="45" s="1"/>
  <c r="M110" i="45" s="1"/>
  <c r="P110" i="45" s="1"/>
  <c r="F110" i="45"/>
  <c r="I110" i="45" s="1"/>
  <c r="L110" i="45" s="1"/>
  <c r="O110" i="45" s="1"/>
  <c r="R110" i="45" s="1"/>
  <c r="E108" i="45"/>
  <c r="T108" i="45" s="1"/>
  <c r="D108" i="45"/>
  <c r="S108" i="45" s="1"/>
  <c r="C108" i="45"/>
  <c r="F108" i="45" s="1"/>
  <c r="I108" i="45" s="1"/>
  <c r="L108" i="45" s="1"/>
  <c r="O108" i="45" s="1"/>
  <c r="R108" i="45" s="1"/>
  <c r="T107" i="45"/>
  <c r="S107" i="45"/>
  <c r="H107" i="45"/>
  <c r="K107" i="45" s="1"/>
  <c r="N107" i="45" s="1"/>
  <c r="Q107" i="45" s="1"/>
  <c r="G107" i="45"/>
  <c r="J107" i="45" s="1"/>
  <c r="M107" i="45" s="1"/>
  <c r="P107" i="45" s="1"/>
  <c r="F107" i="45"/>
  <c r="I107" i="45" s="1"/>
  <c r="L107" i="45" s="1"/>
  <c r="O107" i="45" s="1"/>
  <c r="R107" i="45" s="1"/>
  <c r="E106" i="45"/>
  <c r="H106" i="45" s="1"/>
  <c r="K106" i="45" s="1"/>
  <c r="N106" i="45" s="1"/>
  <c r="Q106" i="45" s="1"/>
  <c r="D106" i="45"/>
  <c r="S106" i="45" s="1"/>
  <c r="C106" i="45"/>
  <c r="F106" i="45" s="1"/>
  <c r="I106" i="45" s="1"/>
  <c r="L106" i="45" s="1"/>
  <c r="O106" i="45" s="1"/>
  <c r="R106" i="45" s="1"/>
  <c r="T105" i="45"/>
  <c r="S105" i="45"/>
  <c r="H105" i="45"/>
  <c r="K105" i="45" s="1"/>
  <c r="N105" i="45" s="1"/>
  <c r="Q105" i="45" s="1"/>
  <c r="G105" i="45"/>
  <c r="J105" i="45" s="1"/>
  <c r="M105" i="45" s="1"/>
  <c r="P105" i="45" s="1"/>
  <c r="F105" i="45"/>
  <c r="I105" i="45" s="1"/>
  <c r="L105" i="45" s="1"/>
  <c r="O105" i="45" s="1"/>
  <c r="R105" i="45" s="1"/>
  <c r="T104" i="45"/>
  <c r="S104" i="45"/>
  <c r="H104" i="45"/>
  <c r="K104" i="45" s="1"/>
  <c r="N104" i="45" s="1"/>
  <c r="Q104" i="45" s="1"/>
  <c r="G104" i="45"/>
  <c r="J104" i="45" s="1"/>
  <c r="M104" i="45" s="1"/>
  <c r="P104" i="45" s="1"/>
  <c r="F104" i="45"/>
  <c r="I104" i="45" s="1"/>
  <c r="L104" i="45" s="1"/>
  <c r="O104" i="45" s="1"/>
  <c r="R104" i="45" s="1"/>
  <c r="E102" i="45"/>
  <c r="T102" i="45" s="1"/>
  <c r="D102" i="45"/>
  <c r="G102" i="45" s="1"/>
  <c r="J102" i="45" s="1"/>
  <c r="M102" i="45" s="1"/>
  <c r="P102" i="45" s="1"/>
  <c r="C102" i="45"/>
  <c r="F102" i="45" s="1"/>
  <c r="I102" i="45" s="1"/>
  <c r="L102" i="45" s="1"/>
  <c r="O102" i="45" s="1"/>
  <c r="R102" i="45" s="1"/>
  <c r="T101" i="45"/>
  <c r="S101" i="45"/>
  <c r="H101" i="45"/>
  <c r="K101" i="45" s="1"/>
  <c r="N101" i="45" s="1"/>
  <c r="Q101" i="45" s="1"/>
  <c r="G101" i="45"/>
  <c r="J101" i="45" s="1"/>
  <c r="M101" i="45" s="1"/>
  <c r="P101" i="45" s="1"/>
  <c r="F101" i="45"/>
  <c r="I101" i="45" s="1"/>
  <c r="L101" i="45" s="1"/>
  <c r="O101" i="45" s="1"/>
  <c r="R101" i="45" s="1"/>
  <c r="E100" i="45"/>
  <c r="T100" i="45" s="1"/>
  <c r="D100" i="45"/>
  <c r="S100" i="45" s="1"/>
  <c r="C100" i="45"/>
  <c r="F100" i="45" s="1"/>
  <c r="I100" i="45" s="1"/>
  <c r="L100" i="45" s="1"/>
  <c r="O100" i="45" s="1"/>
  <c r="R100" i="45" s="1"/>
  <c r="T99" i="45"/>
  <c r="S99" i="45"/>
  <c r="H99" i="45"/>
  <c r="K99" i="45" s="1"/>
  <c r="N99" i="45" s="1"/>
  <c r="Q99" i="45" s="1"/>
  <c r="G99" i="45"/>
  <c r="J99" i="45" s="1"/>
  <c r="M99" i="45" s="1"/>
  <c r="P99" i="45" s="1"/>
  <c r="F99" i="45"/>
  <c r="I99" i="45" s="1"/>
  <c r="L99" i="45" s="1"/>
  <c r="O99" i="45" s="1"/>
  <c r="R99" i="45" s="1"/>
  <c r="T98" i="45"/>
  <c r="S98" i="45"/>
  <c r="H98" i="45"/>
  <c r="K98" i="45" s="1"/>
  <c r="N98" i="45" s="1"/>
  <c r="Q98" i="45" s="1"/>
  <c r="G98" i="45"/>
  <c r="J98" i="45" s="1"/>
  <c r="M98" i="45" s="1"/>
  <c r="P98" i="45" s="1"/>
  <c r="F98" i="45"/>
  <c r="I98" i="45" s="1"/>
  <c r="L98" i="45" s="1"/>
  <c r="O98" i="45" s="1"/>
  <c r="R98" i="45" s="1"/>
  <c r="D96" i="45"/>
  <c r="G96" i="45" s="1"/>
  <c r="J96" i="45" s="1"/>
  <c r="M96" i="45" s="1"/>
  <c r="P96" i="45" s="1"/>
  <c r="E95" i="45"/>
  <c r="D95" i="45"/>
  <c r="C95" i="45"/>
  <c r="E93" i="45"/>
  <c r="D93" i="45"/>
  <c r="G93" i="45" s="1"/>
  <c r="J93" i="45" s="1"/>
  <c r="M93" i="45" s="1"/>
  <c r="P93" i="45" s="1"/>
  <c r="C93" i="45"/>
  <c r="F93" i="45" s="1"/>
  <c r="I93" i="45" s="1"/>
  <c r="L93" i="45" s="1"/>
  <c r="O93" i="45" s="1"/>
  <c r="R93" i="45" s="1"/>
  <c r="E92" i="45"/>
  <c r="H92" i="45" s="1"/>
  <c r="K92" i="45" s="1"/>
  <c r="N92" i="45" s="1"/>
  <c r="Q92" i="45" s="1"/>
  <c r="D92" i="45"/>
  <c r="S92" i="45" s="1"/>
  <c r="C92" i="45"/>
  <c r="F92" i="45" s="1"/>
  <c r="I92" i="45" s="1"/>
  <c r="L92" i="45" s="1"/>
  <c r="O92" i="45" s="1"/>
  <c r="R92" i="45" s="1"/>
  <c r="E90" i="45"/>
  <c r="T90" i="45" s="1"/>
  <c r="D90" i="45"/>
  <c r="G90" i="45" s="1"/>
  <c r="J90" i="45" s="1"/>
  <c r="M90" i="45" s="1"/>
  <c r="P90" i="45" s="1"/>
  <c r="C90" i="45"/>
  <c r="F90" i="45" s="1"/>
  <c r="I90" i="45" s="1"/>
  <c r="L90" i="45" s="1"/>
  <c r="O90" i="45" s="1"/>
  <c r="R90" i="45" s="1"/>
  <c r="T89" i="45"/>
  <c r="S89" i="45"/>
  <c r="H89" i="45"/>
  <c r="K89" i="45" s="1"/>
  <c r="N89" i="45" s="1"/>
  <c r="Q89" i="45" s="1"/>
  <c r="G89" i="45"/>
  <c r="J89" i="45" s="1"/>
  <c r="M89" i="45" s="1"/>
  <c r="P89" i="45" s="1"/>
  <c r="F89" i="45"/>
  <c r="I89" i="45" s="1"/>
  <c r="L89" i="45" s="1"/>
  <c r="O89" i="45" s="1"/>
  <c r="R89" i="45" s="1"/>
  <c r="E88" i="45"/>
  <c r="T88" i="45" s="1"/>
  <c r="D88" i="45"/>
  <c r="S88" i="45" s="1"/>
  <c r="C88" i="45"/>
  <c r="F88" i="45" s="1"/>
  <c r="I88" i="45" s="1"/>
  <c r="L88" i="45" s="1"/>
  <c r="O88" i="45" s="1"/>
  <c r="R88" i="45" s="1"/>
  <c r="T87" i="45"/>
  <c r="S87" i="45"/>
  <c r="H87" i="45"/>
  <c r="K87" i="45" s="1"/>
  <c r="N87" i="45" s="1"/>
  <c r="Q87" i="45" s="1"/>
  <c r="G87" i="45"/>
  <c r="J87" i="45" s="1"/>
  <c r="M87" i="45" s="1"/>
  <c r="P87" i="45" s="1"/>
  <c r="F87" i="45"/>
  <c r="I87" i="45" s="1"/>
  <c r="L87" i="45" s="1"/>
  <c r="O87" i="45" s="1"/>
  <c r="R87" i="45" s="1"/>
  <c r="T86" i="45"/>
  <c r="S86" i="45"/>
  <c r="H86" i="45"/>
  <c r="K86" i="45" s="1"/>
  <c r="N86" i="45" s="1"/>
  <c r="Q86" i="45" s="1"/>
  <c r="G86" i="45"/>
  <c r="J86" i="45" s="1"/>
  <c r="M86" i="45" s="1"/>
  <c r="P86" i="45" s="1"/>
  <c r="F86" i="45"/>
  <c r="I86" i="45" s="1"/>
  <c r="L86" i="45" s="1"/>
  <c r="O86" i="45" s="1"/>
  <c r="R86" i="45" s="1"/>
  <c r="E83" i="45"/>
  <c r="T83" i="45" s="1"/>
  <c r="D83" i="45"/>
  <c r="C83" i="45"/>
  <c r="F83" i="45" s="1"/>
  <c r="I83" i="45" s="1"/>
  <c r="L83" i="45" s="1"/>
  <c r="O83" i="45" s="1"/>
  <c r="R83" i="45" s="1"/>
  <c r="E81" i="45"/>
  <c r="T81" i="45" s="1"/>
  <c r="D81" i="45"/>
  <c r="S81" i="45" s="1"/>
  <c r="C81" i="45"/>
  <c r="F81" i="45" s="1"/>
  <c r="I81" i="45" s="1"/>
  <c r="L81" i="45" s="1"/>
  <c r="O81" i="45" s="1"/>
  <c r="R81" i="45" s="1"/>
  <c r="E80" i="45"/>
  <c r="L79" i="45" s="1"/>
  <c r="D80" i="45"/>
  <c r="C80" i="45"/>
  <c r="E78" i="45"/>
  <c r="H78" i="45" s="1"/>
  <c r="K78" i="45" s="1"/>
  <c r="N78" i="45" s="1"/>
  <c r="Q78" i="45" s="1"/>
  <c r="D78" i="45"/>
  <c r="S78" i="45" s="1"/>
  <c r="C78" i="45"/>
  <c r="F78" i="45" s="1"/>
  <c r="I78" i="45" s="1"/>
  <c r="L78" i="45" s="1"/>
  <c r="O78" i="45" s="1"/>
  <c r="R78" i="45" s="1"/>
  <c r="T77" i="45"/>
  <c r="S77" i="45"/>
  <c r="H77" i="45"/>
  <c r="K77" i="45" s="1"/>
  <c r="N77" i="45" s="1"/>
  <c r="Q77" i="45" s="1"/>
  <c r="G77" i="45"/>
  <c r="J77" i="45" s="1"/>
  <c r="M77" i="45" s="1"/>
  <c r="P77" i="45" s="1"/>
  <c r="F77" i="45"/>
  <c r="I77" i="45" s="1"/>
  <c r="L77" i="45" s="1"/>
  <c r="O77" i="45" s="1"/>
  <c r="R77" i="45" s="1"/>
  <c r="E76" i="45"/>
  <c r="H76" i="45" s="1"/>
  <c r="K76" i="45" s="1"/>
  <c r="N76" i="45" s="1"/>
  <c r="Q76" i="45" s="1"/>
  <c r="D76" i="45"/>
  <c r="S76" i="45" s="1"/>
  <c r="C76" i="45"/>
  <c r="F76" i="45" s="1"/>
  <c r="I76" i="45" s="1"/>
  <c r="L76" i="45" s="1"/>
  <c r="O76" i="45" s="1"/>
  <c r="R76" i="45" s="1"/>
  <c r="T75" i="45"/>
  <c r="S75" i="45"/>
  <c r="H75" i="45"/>
  <c r="K75" i="45" s="1"/>
  <c r="N75" i="45" s="1"/>
  <c r="Q75" i="45" s="1"/>
  <c r="G75" i="45"/>
  <c r="J75" i="45" s="1"/>
  <c r="M75" i="45" s="1"/>
  <c r="P75" i="45" s="1"/>
  <c r="F75" i="45"/>
  <c r="I75" i="45" s="1"/>
  <c r="L75" i="45" s="1"/>
  <c r="O75" i="45" s="1"/>
  <c r="R75" i="45" s="1"/>
  <c r="T74" i="45"/>
  <c r="S74" i="45"/>
  <c r="H74" i="45"/>
  <c r="K74" i="45" s="1"/>
  <c r="N74" i="45" s="1"/>
  <c r="Q74" i="45" s="1"/>
  <c r="G74" i="45"/>
  <c r="J74" i="45" s="1"/>
  <c r="M74" i="45" s="1"/>
  <c r="P74" i="45" s="1"/>
  <c r="F74" i="45"/>
  <c r="I74" i="45" s="1"/>
  <c r="L74" i="45" s="1"/>
  <c r="O74" i="45" s="1"/>
  <c r="R74" i="45" s="1"/>
  <c r="E71" i="45"/>
  <c r="D71" i="45"/>
  <c r="C71" i="45"/>
  <c r="E69" i="45"/>
  <c r="D69" i="45"/>
  <c r="G69" i="45" s="1"/>
  <c r="J69" i="45" s="1"/>
  <c r="M69" i="45" s="1"/>
  <c r="P69" i="45" s="1"/>
  <c r="C69" i="45"/>
  <c r="F69" i="45" s="1"/>
  <c r="I69" i="45" s="1"/>
  <c r="L69" i="45" s="1"/>
  <c r="O69" i="45" s="1"/>
  <c r="R69" i="45" s="1"/>
  <c r="E68" i="45"/>
  <c r="H68" i="45" s="1"/>
  <c r="K68" i="45" s="1"/>
  <c r="N68" i="45" s="1"/>
  <c r="Q68" i="45" s="1"/>
  <c r="D68" i="45"/>
  <c r="S68" i="45" s="1"/>
  <c r="C68" i="45"/>
  <c r="J67" i="45" s="1"/>
  <c r="E66" i="45"/>
  <c r="H66" i="45" s="1"/>
  <c r="K66" i="45" s="1"/>
  <c r="N66" i="45" s="1"/>
  <c r="Q66" i="45" s="1"/>
  <c r="D66" i="45"/>
  <c r="S66" i="45" s="1"/>
  <c r="C66" i="45"/>
  <c r="F66" i="45" s="1"/>
  <c r="I66" i="45" s="1"/>
  <c r="L66" i="45" s="1"/>
  <c r="O66" i="45" s="1"/>
  <c r="R66" i="45" s="1"/>
  <c r="T65" i="45"/>
  <c r="S65" i="45"/>
  <c r="H65" i="45"/>
  <c r="K65" i="45" s="1"/>
  <c r="N65" i="45" s="1"/>
  <c r="Q65" i="45" s="1"/>
  <c r="G65" i="45"/>
  <c r="J65" i="45" s="1"/>
  <c r="M65" i="45" s="1"/>
  <c r="P65" i="45" s="1"/>
  <c r="F65" i="45"/>
  <c r="I65" i="45" s="1"/>
  <c r="L65" i="45" s="1"/>
  <c r="O65" i="45" s="1"/>
  <c r="R65" i="45" s="1"/>
  <c r="E64" i="45"/>
  <c r="T64" i="45" s="1"/>
  <c r="D64" i="45"/>
  <c r="G64" i="45" s="1"/>
  <c r="J64" i="45" s="1"/>
  <c r="M64" i="45" s="1"/>
  <c r="P64" i="45" s="1"/>
  <c r="C64" i="45"/>
  <c r="F64" i="45" s="1"/>
  <c r="I64" i="45" s="1"/>
  <c r="L64" i="45" s="1"/>
  <c r="O64" i="45" s="1"/>
  <c r="R64" i="45" s="1"/>
  <c r="T63" i="45"/>
  <c r="S63" i="45"/>
  <c r="H63" i="45"/>
  <c r="K63" i="45" s="1"/>
  <c r="N63" i="45" s="1"/>
  <c r="Q63" i="45" s="1"/>
  <c r="G63" i="45"/>
  <c r="J63" i="45" s="1"/>
  <c r="M63" i="45" s="1"/>
  <c r="P63" i="45" s="1"/>
  <c r="F63" i="45"/>
  <c r="I63" i="45" s="1"/>
  <c r="L63" i="45" s="1"/>
  <c r="O63" i="45" s="1"/>
  <c r="R63" i="45" s="1"/>
  <c r="T62" i="45"/>
  <c r="S62" i="45"/>
  <c r="H62" i="45"/>
  <c r="K62" i="45" s="1"/>
  <c r="N62" i="45" s="1"/>
  <c r="Q62" i="45" s="1"/>
  <c r="G62" i="45"/>
  <c r="J62" i="45" s="1"/>
  <c r="M62" i="45" s="1"/>
  <c r="P62" i="45" s="1"/>
  <c r="F62" i="45"/>
  <c r="I62" i="45" s="1"/>
  <c r="L62" i="45" s="1"/>
  <c r="O62" i="45" s="1"/>
  <c r="R62" i="45" s="1"/>
  <c r="E59" i="45"/>
  <c r="D59" i="45"/>
  <c r="G59" i="45" s="1"/>
  <c r="J59" i="45" s="1"/>
  <c r="M59" i="45" s="1"/>
  <c r="P59" i="45" s="1"/>
  <c r="C59" i="45"/>
  <c r="E57" i="45"/>
  <c r="T57" i="45" s="1"/>
  <c r="D57" i="45"/>
  <c r="S57" i="45" s="1"/>
  <c r="C57" i="45"/>
  <c r="F57" i="45" s="1"/>
  <c r="I57" i="45" s="1"/>
  <c r="L57" i="45" s="1"/>
  <c r="O57" i="45" s="1"/>
  <c r="R57" i="45" s="1"/>
  <c r="E56" i="45"/>
  <c r="D56" i="45"/>
  <c r="S56" i="45" s="1"/>
  <c r="C56" i="45"/>
  <c r="E54" i="45"/>
  <c r="T54" i="45" s="1"/>
  <c r="D54" i="45"/>
  <c r="S54" i="45" s="1"/>
  <c r="C54" i="45"/>
  <c r="F54" i="45" s="1"/>
  <c r="I54" i="45" s="1"/>
  <c r="L54" i="45" s="1"/>
  <c r="O54" i="45" s="1"/>
  <c r="R54" i="45" s="1"/>
  <c r="T53" i="45"/>
  <c r="S53" i="45"/>
  <c r="H53" i="45"/>
  <c r="K53" i="45" s="1"/>
  <c r="N53" i="45" s="1"/>
  <c r="Q53" i="45" s="1"/>
  <c r="G53" i="45"/>
  <c r="J53" i="45" s="1"/>
  <c r="M53" i="45" s="1"/>
  <c r="P53" i="45" s="1"/>
  <c r="F53" i="45"/>
  <c r="I53" i="45" s="1"/>
  <c r="L53" i="45" s="1"/>
  <c r="O53" i="45" s="1"/>
  <c r="R53" i="45" s="1"/>
  <c r="E52" i="45"/>
  <c r="T52" i="45" s="1"/>
  <c r="T51" i="45"/>
  <c r="H51" i="45"/>
  <c r="K51" i="45" s="1"/>
  <c r="N51" i="45" s="1"/>
  <c r="Q51" i="45" s="1"/>
  <c r="D51" i="45"/>
  <c r="D52" i="45" s="1"/>
  <c r="C51" i="45"/>
  <c r="T50" i="45"/>
  <c r="S50" i="45"/>
  <c r="H50" i="45"/>
  <c r="K50" i="45" s="1"/>
  <c r="N50" i="45" s="1"/>
  <c r="Q50" i="45" s="1"/>
  <c r="G50" i="45"/>
  <c r="J50" i="45" s="1"/>
  <c r="M50" i="45" s="1"/>
  <c r="P50" i="45" s="1"/>
  <c r="F50" i="45"/>
  <c r="I50" i="45" s="1"/>
  <c r="L50" i="45" s="1"/>
  <c r="O50" i="45" s="1"/>
  <c r="R50" i="45" s="1"/>
  <c r="E48" i="45"/>
  <c r="H48" i="45" s="1"/>
  <c r="K48" i="45" s="1"/>
  <c r="N48" i="45" s="1"/>
  <c r="Q48" i="45" s="1"/>
  <c r="D48" i="45"/>
  <c r="S48" i="45" s="1"/>
  <c r="C48" i="45"/>
  <c r="F48" i="45" s="1"/>
  <c r="I48" i="45" s="1"/>
  <c r="L48" i="45" s="1"/>
  <c r="O48" i="45" s="1"/>
  <c r="R48" i="45" s="1"/>
  <c r="T47" i="45"/>
  <c r="S47" i="45"/>
  <c r="H47" i="45"/>
  <c r="K47" i="45" s="1"/>
  <c r="N47" i="45" s="1"/>
  <c r="Q47" i="45" s="1"/>
  <c r="G47" i="45"/>
  <c r="J47" i="45" s="1"/>
  <c r="M47" i="45" s="1"/>
  <c r="P47" i="45" s="1"/>
  <c r="F47" i="45"/>
  <c r="I47" i="45" s="1"/>
  <c r="L47" i="45" s="1"/>
  <c r="O47" i="45" s="1"/>
  <c r="R47" i="45" s="1"/>
  <c r="E46" i="45"/>
  <c r="T46" i="45" s="1"/>
  <c r="D46" i="45"/>
  <c r="S46" i="45" s="1"/>
  <c r="C46" i="45"/>
  <c r="F46" i="45" s="1"/>
  <c r="I46" i="45" s="1"/>
  <c r="L46" i="45" s="1"/>
  <c r="O46" i="45" s="1"/>
  <c r="R46" i="45" s="1"/>
  <c r="T45" i="45"/>
  <c r="S45" i="45"/>
  <c r="H45" i="45"/>
  <c r="K45" i="45" s="1"/>
  <c r="N45" i="45" s="1"/>
  <c r="Q45" i="45" s="1"/>
  <c r="G45" i="45"/>
  <c r="J45" i="45" s="1"/>
  <c r="M45" i="45" s="1"/>
  <c r="P45" i="45" s="1"/>
  <c r="F45" i="45"/>
  <c r="I45" i="45" s="1"/>
  <c r="L45" i="45" s="1"/>
  <c r="O45" i="45" s="1"/>
  <c r="R45" i="45" s="1"/>
  <c r="T44" i="45"/>
  <c r="S44" i="45"/>
  <c r="H44" i="45"/>
  <c r="K44" i="45" s="1"/>
  <c r="N44" i="45" s="1"/>
  <c r="Q44" i="45" s="1"/>
  <c r="G44" i="45"/>
  <c r="J44" i="45" s="1"/>
  <c r="M44" i="45" s="1"/>
  <c r="P44" i="45" s="1"/>
  <c r="F44" i="45"/>
  <c r="I44" i="45" s="1"/>
  <c r="L44" i="45" s="1"/>
  <c r="O44" i="45" s="1"/>
  <c r="R44" i="45" s="1"/>
  <c r="E42" i="45"/>
  <c r="H42" i="45" s="1"/>
  <c r="K42" i="45" s="1"/>
  <c r="N42" i="45" s="1"/>
  <c r="Q42" i="45" s="1"/>
  <c r="D42" i="45"/>
  <c r="S42" i="45" s="1"/>
  <c r="C42" i="45"/>
  <c r="F42" i="45" s="1"/>
  <c r="I42" i="45" s="1"/>
  <c r="L42" i="45" s="1"/>
  <c r="O42" i="45" s="1"/>
  <c r="R42" i="45" s="1"/>
  <c r="T41" i="45"/>
  <c r="S41" i="45"/>
  <c r="H41" i="45"/>
  <c r="K41" i="45" s="1"/>
  <c r="N41" i="45" s="1"/>
  <c r="Q41" i="45" s="1"/>
  <c r="G41" i="45"/>
  <c r="J41" i="45" s="1"/>
  <c r="M41" i="45" s="1"/>
  <c r="P41" i="45" s="1"/>
  <c r="F41" i="45"/>
  <c r="I41" i="45" s="1"/>
  <c r="L41" i="45" s="1"/>
  <c r="O41" i="45" s="1"/>
  <c r="R41" i="45" s="1"/>
  <c r="E40" i="45"/>
  <c r="T40" i="45" s="1"/>
  <c r="D40" i="45"/>
  <c r="G40" i="45" s="1"/>
  <c r="J40" i="45" s="1"/>
  <c r="M40" i="45" s="1"/>
  <c r="P40" i="45" s="1"/>
  <c r="C40" i="45"/>
  <c r="F40" i="45" s="1"/>
  <c r="I40" i="45" s="1"/>
  <c r="L40" i="45" s="1"/>
  <c r="O40" i="45" s="1"/>
  <c r="R40" i="45" s="1"/>
  <c r="T39" i="45"/>
  <c r="S39" i="45"/>
  <c r="H39" i="45"/>
  <c r="K39" i="45" s="1"/>
  <c r="N39" i="45" s="1"/>
  <c r="Q39" i="45" s="1"/>
  <c r="G39" i="45"/>
  <c r="J39" i="45" s="1"/>
  <c r="M39" i="45" s="1"/>
  <c r="P39" i="45" s="1"/>
  <c r="F39" i="45"/>
  <c r="I39" i="45" s="1"/>
  <c r="L39" i="45" s="1"/>
  <c r="O39" i="45" s="1"/>
  <c r="R39" i="45" s="1"/>
  <c r="T38" i="45"/>
  <c r="S38" i="45"/>
  <c r="H38" i="45"/>
  <c r="K38" i="45" s="1"/>
  <c r="N38" i="45" s="1"/>
  <c r="Q38" i="45" s="1"/>
  <c r="G38" i="45"/>
  <c r="J38" i="45" s="1"/>
  <c r="M38" i="45" s="1"/>
  <c r="P38" i="45" s="1"/>
  <c r="F38" i="45"/>
  <c r="I38" i="45" s="1"/>
  <c r="L38" i="45" s="1"/>
  <c r="O38" i="45" s="1"/>
  <c r="R38" i="45" s="1"/>
  <c r="E35" i="45"/>
  <c r="D35" i="45"/>
  <c r="H31" i="45" s="1"/>
  <c r="E33" i="45"/>
  <c r="T33" i="45" s="1"/>
  <c r="E32" i="45"/>
  <c r="L31" i="45" s="1"/>
  <c r="D32" i="45"/>
  <c r="G32" i="45" s="1"/>
  <c r="J32" i="45" s="1"/>
  <c r="M32" i="45" s="1"/>
  <c r="P32" i="45" s="1"/>
  <c r="C32" i="45"/>
  <c r="F32" i="45" s="1"/>
  <c r="I32" i="45" s="1"/>
  <c r="L32" i="45" s="1"/>
  <c r="O32" i="45" s="1"/>
  <c r="R32" i="45" s="1"/>
  <c r="E30" i="45"/>
  <c r="T30" i="45" s="1"/>
  <c r="D30" i="45"/>
  <c r="G30" i="45" s="1"/>
  <c r="J30" i="45" s="1"/>
  <c r="M30" i="45" s="1"/>
  <c r="P30" i="45" s="1"/>
  <c r="C30" i="45"/>
  <c r="T29" i="45"/>
  <c r="S29" i="45"/>
  <c r="H29" i="45"/>
  <c r="K29" i="45" s="1"/>
  <c r="N29" i="45" s="1"/>
  <c r="Q29" i="45" s="1"/>
  <c r="G29" i="45"/>
  <c r="J29" i="45" s="1"/>
  <c r="M29" i="45" s="1"/>
  <c r="P29" i="45" s="1"/>
  <c r="T27" i="45"/>
  <c r="S27" i="45"/>
  <c r="H27" i="45"/>
  <c r="K27" i="45" s="1"/>
  <c r="N27" i="45" s="1"/>
  <c r="Q27" i="45" s="1"/>
  <c r="G27" i="45"/>
  <c r="J27" i="45" s="1"/>
  <c r="M27" i="45" s="1"/>
  <c r="P27" i="45" s="1"/>
  <c r="F27" i="45"/>
  <c r="I27" i="45" s="1"/>
  <c r="L27" i="45" s="1"/>
  <c r="O27" i="45" s="1"/>
  <c r="R27" i="45" s="1"/>
  <c r="E28" i="45"/>
  <c r="T28" i="45" s="1"/>
  <c r="D28" i="45"/>
  <c r="F26" i="45"/>
  <c r="I26" i="45" s="1"/>
  <c r="L26" i="45" s="1"/>
  <c r="O26" i="45" s="1"/>
  <c r="R26" i="45" s="1"/>
  <c r="T24" i="45"/>
  <c r="E24" i="45"/>
  <c r="H24" i="45" s="1"/>
  <c r="K24" i="45" s="1"/>
  <c r="N24" i="45" s="1"/>
  <c r="Q24" i="45" s="1"/>
  <c r="D24" i="45"/>
  <c r="S24" i="45" s="1"/>
  <c r="C24" i="45"/>
  <c r="F24" i="45" s="1"/>
  <c r="I24" i="45" s="1"/>
  <c r="L24" i="45" s="1"/>
  <c r="O24" i="45" s="1"/>
  <c r="R24" i="45" s="1"/>
  <c r="T23" i="45"/>
  <c r="S23" i="45"/>
  <c r="H23" i="45"/>
  <c r="K23" i="45" s="1"/>
  <c r="N23" i="45" s="1"/>
  <c r="Q23" i="45" s="1"/>
  <c r="G23" i="45"/>
  <c r="J23" i="45" s="1"/>
  <c r="M23" i="45" s="1"/>
  <c r="P23" i="45" s="1"/>
  <c r="F23" i="45"/>
  <c r="I23" i="45" s="1"/>
  <c r="L23" i="45" s="1"/>
  <c r="O23" i="45" s="1"/>
  <c r="R23" i="45" s="1"/>
  <c r="E22" i="45"/>
  <c r="T22" i="45" s="1"/>
  <c r="D22" i="45"/>
  <c r="G22" i="45" s="1"/>
  <c r="J22" i="45" s="1"/>
  <c r="M22" i="45" s="1"/>
  <c r="P22" i="45" s="1"/>
  <c r="C22" i="45"/>
  <c r="F22" i="45" s="1"/>
  <c r="I22" i="45" s="1"/>
  <c r="L22" i="45" s="1"/>
  <c r="O22" i="45" s="1"/>
  <c r="R22" i="45" s="1"/>
  <c r="T21" i="45"/>
  <c r="S21" i="45"/>
  <c r="H21" i="45"/>
  <c r="K21" i="45" s="1"/>
  <c r="N21" i="45" s="1"/>
  <c r="Q21" i="45" s="1"/>
  <c r="G21" i="45"/>
  <c r="J21" i="45" s="1"/>
  <c r="M21" i="45" s="1"/>
  <c r="P21" i="45" s="1"/>
  <c r="F21" i="45"/>
  <c r="I21" i="45" s="1"/>
  <c r="L21" i="45" s="1"/>
  <c r="O21" i="45" s="1"/>
  <c r="R21" i="45" s="1"/>
  <c r="T20" i="45"/>
  <c r="S20" i="45"/>
  <c r="H20" i="45"/>
  <c r="K20" i="45" s="1"/>
  <c r="N20" i="45" s="1"/>
  <c r="Q20" i="45" s="1"/>
  <c r="G20" i="45"/>
  <c r="J20" i="45" s="1"/>
  <c r="M20" i="45" s="1"/>
  <c r="P20" i="45" s="1"/>
  <c r="F20" i="45"/>
  <c r="I20" i="45" s="1"/>
  <c r="L20" i="45" s="1"/>
  <c r="O20" i="45" s="1"/>
  <c r="R20" i="45" s="1"/>
  <c r="E18" i="45"/>
  <c r="T18" i="45" s="1"/>
  <c r="D18" i="45"/>
  <c r="S18" i="45" s="1"/>
  <c r="C18" i="45"/>
  <c r="F18" i="45" s="1"/>
  <c r="I18" i="45" s="1"/>
  <c r="L18" i="45" s="1"/>
  <c r="O18" i="45" s="1"/>
  <c r="R18" i="45" s="1"/>
  <c r="T17" i="45"/>
  <c r="S17" i="45"/>
  <c r="H17" i="45"/>
  <c r="K17" i="45" s="1"/>
  <c r="N17" i="45" s="1"/>
  <c r="Q17" i="45" s="1"/>
  <c r="G17" i="45"/>
  <c r="J17" i="45" s="1"/>
  <c r="M17" i="45" s="1"/>
  <c r="P17" i="45" s="1"/>
  <c r="I17" i="45"/>
  <c r="L17" i="45" s="1"/>
  <c r="O17" i="45" s="1"/>
  <c r="R17" i="45" s="1"/>
  <c r="T16" i="45"/>
  <c r="S16" i="45"/>
  <c r="F16" i="45"/>
  <c r="I16" i="45" s="1"/>
  <c r="L16" i="45" s="1"/>
  <c r="O16" i="45" s="1"/>
  <c r="R16" i="45" s="1"/>
  <c r="T15" i="45"/>
  <c r="S15" i="45"/>
  <c r="H15" i="45"/>
  <c r="K15" i="45" s="1"/>
  <c r="N15" i="45" s="1"/>
  <c r="Q15" i="45" s="1"/>
  <c r="G15" i="45"/>
  <c r="J15" i="45" s="1"/>
  <c r="M15" i="45" s="1"/>
  <c r="P15" i="45" s="1"/>
  <c r="F15" i="45"/>
  <c r="I15" i="45" s="1"/>
  <c r="L15" i="45" s="1"/>
  <c r="O15" i="45" s="1"/>
  <c r="R15" i="45" s="1"/>
  <c r="T14" i="45"/>
  <c r="S14" i="45"/>
  <c r="H14" i="45"/>
  <c r="K14" i="45" s="1"/>
  <c r="N14" i="45" s="1"/>
  <c r="Q14" i="45" s="1"/>
  <c r="G14" i="45"/>
  <c r="J14" i="45" s="1"/>
  <c r="M14" i="45" s="1"/>
  <c r="P14" i="45" s="1"/>
  <c r="F14" i="45"/>
  <c r="I14" i="45" s="1"/>
  <c r="L14" i="45" s="1"/>
  <c r="O14" i="45" s="1"/>
  <c r="R14" i="45" s="1"/>
  <c r="A12" i="45"/>
  <c r="A468" i="45" s="1"/>
  <c r="A11" i="45"/>
  <c r="A10" i="45"/>
  <c r="A478" i="45" s="1"/>
  <c r="H9" i="45"/>
  <c r="K9" i="45" s="1"/>
  <c r="N9" i="45" s="1"/>
  <c r="Q9" i="45" s="1"/>
  <c r="N7" i="45"/>
  <c r="F9" i="45"/>
  <c r="I9" i="45" s="1"/>
  <c r="L9" i="45" s="1"/>
  <c r="O9" i="45" s="1"/>
  <c r="R9" i="45" s="1"/>
  <c r="A9" i="45"/>
  <c r="A477" i="45" s="1"/>
  <c r="F8" i="45"/>
  <c r="I8" i="45" s="1"/>
  <c r="L8" i="45" s="1"/>
  <c r="O8" i="45" s="1"/>
  <c r="R8" i="45" s="1"/>
  <c r="A8" i="45"/>
  <c r="A476" i="45" s="1"/>
  <c r="A3" i="45"/>
  <c r="A1" i="45"/>
  <c r="H210" i="241"/>
  <c r="G210" i="241"/>
  <c r="F210" i="241"/>
  <c r="E210" i="241"/>
  <c r="D210" i="241"/>
  <c r="C210" i="241"/>
  <c r="B210" i="241"/>
  <c r="F168" i="194"/>
  <c r="E474" i="45" s="1"/>
  <c r="E168" i="194"/>
  <c r="D474" i="45" s="1"/>
  <c r="D168" i="194"/>
  <c r="C474" i="45" s="1"/>
  <c r="C167" i="194"/>
  <c r="B167" i="194"/>
  <c r="C166" i="194"/>
  <c r="B166" i="194"/>
  <c r="F163" i="194"/>
  <c r="E462" i="45" s="1"/>
  <c r="E163" i="194"/>
  <c r="D462" i="45" s="1"/>
  <c r="G462" i="45" s="1"/>
  <c r="J462" i="45" s="1"/>
  <c r="M462" i="45" s="1"/>
  <c r="P462" i="45" s="1"/>
  <c r="D163" i="194"/>
  <c r="C462" i="45" s="1"/>
  <c r="F462" i="45" s="1"/>
  <c r="I462" i="45" s="1"/>
  <c r="L462" i="45" s="1"/>
  <c r="O462" i="45" s="1"/>
  <c r="R462" i="45" s="1"/>
  <c r="C162" i="194"/>
  <c r="B162" i="194"/>
  <c r="C161" i="194"/>
  <c r="B161" i="194"/>
  <c r="F158" i="194"/>
  <c r="E450" i="45" s="1"/>
  <c r="E158" i="194"/>
  <c r="D450" i="45" s="1"/>
  <c r="D158" i="194"/>
  <c r="C450" i="45" s="1"/>
  <c r="C157" i="194"/>
  <c r="B157" i="194"/>
  <c r="C156" i="194"/>
  <c r="B156" i="194"/>
  <c r="F153" i="194"/>
  <c r="E432" i="45" s="1"/>
  <c r="H432" i="45" s="1"/>
  <c r="K432" i="45" s="1"/>
  <c r="N432" i="45" s="1"/>
  <c r="Q432" i="45" s="1"/>
  <c r="E153" i="194"/>
  <c r="D432" i="45" s="1"/>
  <c r="G432" i="45" s="1"/>
  <c r="J432" i="45" s="1"/>
  <c r="M432" i="45" s="1"/>
  <c r="P432" i="45" s="1"/>
  <c r="D153" i="194"/>
  <c r="C432" i="45" s="1"/>
  <c r="C152" i="194"/>
  <c r="B152" i="194"/>
  <c r="F148" i="194"/>
  <c r="E420" i="45" s="1"/>
  <c r="E148" i="194"/>
  <c r="D420" i="45" s="1"/>
  <c r="G420" i="45" s="1"/>
  <c r="J420" i="45" s="1"/>
  <c r="M420" i="45" s="1"/>
  <c r="P420" i="45" s="1"/>
  <c r="D148" i="194"/>
  <c r="C420" i="45" s="1"/>
  <c r="C147" i="194"/>
  <c r="B147" i="194"/>
  <c r="C146" i="194"/>
  <c r="B146" i="194"/>
  <c r="F143" i="194"/>
  <c r="E408" i="45" s="1"/>
  <c r="H408" i="45" s="1"/>
  <c r="K408" i="45" s="1"/>
  <c r="N408" i="45" s="1"/>
  <c r="Q408" i="45" s="1"/>
  <c r="E143" i="194"/>
  <c r="D408" i="45" s="1"/>
  <c r="G408" i="45" s="1"/>
  <c r="J408" i="45" s="1"/>
  <c r="M408" i="45" s="1"/>
  <c r="P408" i="45" s="1"/>
  <c r="D143" i="194"/>
  <c r="C408" i="45" s="1"/>
  <c r="F408" i="45" s="1"/>
  <c r="I408" i="45" s="1"/>
  <c r="L408" i="45" s="1"/>
  <c r="O408" i="45" s="1"/>
  <c r="R408" i="45" s="1"/>
  <c r="C142" i="194"/>
  <c r="B142" i="194"/>
  <c r="C141" i="194"/>
  <c r="B141" i="194"/>
  <c r="F138" i="194"/>
  <c r="E396" i="45" s="1"/>
  <c r="H396" i="45" s="1"/>
  <c r="K396" i="45" s="1"/>
  <c r="N396" i="45" s="1"/>
  <c r="Q396" i="45" s="1"/>
  <c r="E138" i="194"/>
  <c r="D396" i="45" s="1"/>
  <c r="D138" i="194"/>
  <c r="C396" i="45" s="1"/>
  <c r="C137" i="194"/>
  <c r="B137" i="194"/>
  <c r="C136" i="194"/>
  <c r="B136" i="194"/>
  <c r="F133" i="194"/>
  <c r="E372" i="45" s="1"/>
  <c r="H372" i="45" s="1"/>
  <c r="K372" i="45" s="1"/>
  <c r="N372" i="45" s="1"/>
  <c r="Q372" i="45" s="1"/>
  <c r="E133" i="194"/>
  <c r="D372" i="45" s="1"/>
  <c r="G372" i="45" s="1"/>
  <c r="J372" i="45" s="1"/>
  <c r="M372" i="45" s="1"/>
  <c r="P372" i="45" s="1"/>
  <c r="D133" i="194"/>
  <c r="C372" i="45" s="1"/>
  <c r="F372" i="45" s="1"/>
  <c r="I372" i="45" s="1"/>
  <c r="L372" i="45" s="1"/>
  <c r="O372" i="45" s="1"/>
  <c r="R372" i="45" s="1"/>
  <c r="C132" i="194"/>
  <c r="B132" i="194"/>
  <c r="F127" i="194"/>
  <c r="E360" i="45" s="1"/>
  <c r="H360" i="45" s="1"/>
  <c r="K360" i="45" s="1"/>
  <c r="N360" i="45" s="1"/>
  <c r="Q360" i="45" s="1"/>
  <c r="E127" i="194"/>
  <c r="D360" i="45" s="1"/>
  <c r="G360" i="45" s="1"/>
  <c r="J360" i="45" s="1"/>
  <c r="M360" i="45" s="1"/>
  <c r="P360" i="45" s="1"/>
  <c r="D127" i="194"/>
  <c r="C126" i="194"/>
  <c r="B126" i="194"/>
  <c r="F121" i="194"/>
  <c r="E336" i="45" s="1"/>
  <c r="H336" i="45" s="1"/>
  <c r="K336" i="45" s="1"/>
  <c r="N336" i="45" s="1"/>
  <c r="Q336" i="45" s="1"/>
  <c r="E121" i="194"/>
  <c r="D336" i="45" s="1"/>
  <c r="G336" i="45" s="1"/>
  <c r="J336" i="45" s="1"/>
  <c r="M336" i="45" s="1"/>
  <c r="P336" i="45" s="1"/>
  <c r="D121" i="194"/>
  <c r="C336" i="45" s="1"/>
  <c r="C120" i="194"/>
  <c r="B120" i="194"/>
  <c r="F115" i="194"/>
  <c r="E318" i="45" s="1"/>
  <c r="H318" i="45" s="1"/>
  <c r="K318" i="45" s="1"/>
  <c r="N318" i="45" s="1"/>
  <c r="Q318" i="45" s="1"/>
  <c r="E115" i="194"/>
  <c r="D318" i="45" s="1"/>
  <c r="G318" i="45" s="1"/>
  <c r="J318" i="45" s="1"/>
  <c r="M318" i="45" s="1"/>
  <c r="P318" i="45" s="1"/>
  <c r="D115" i="194"/>
  <c r="C318" i="45" s="1"/>
  <c r="C114" i="194"/>
  <c r="B114" i="194"/>
  <c r="F110" i="194"/>
  <c r="E306" i="45" s="1"/>
  <c r="H306" i="45" s="1"/>
  <c r="K306" i="45" s="1"/>
  <c r="N306" i="45" s="1"/>
  <c r="Q306" i="45" s="1"/>
  <c r="E110" i="194"/>
  <c r="D306" i="45" s="1"/>
  <c r="D110" i="194"/>
  <c r="C306" i="45" s="1"/>
  <c r="C109" i="194"/>
  <c r="B109" i="194"/>
  <c r="C108" i="194"/>
  <c r="B108" i="194"/>
  <c r="F105" i="194"/>
  <c r="E105" i="194"/>
  <c r="D294" i="45" s="1"/>
  <c r="G294" i="45" s="1"/>
  <c r="J294" i="45" s="1"/>
  <c r="M294" i="45" s="1"/>
  <c r="P294" i="45" s="1"/>
  <c r="D105" i="194"/>
  <c r="C294" i="45" s="1"/>
  <c r="C104" i="194"/>
  <c r="B104" i="194"/>
  <c r="C103" i="194"/>
  <c r="B103" i="194"/>
  <c r="F100" i="194"/>
  <c r="E100" i="194"/>
  <c r="D282" i="45" s="1"/>
  <c r="D100" i="194"/>
  <c r="C282" i="45" s="1"/>
  <c r="C99" i="194"/>
  <c r="B99" i="194"/>
  <c r="C98" i="194"/>
  <c r="B98" i="194"/>
  <c r="F95" i="194"/>
  <c r="E264" i="45" s="1"/>
  <c r="H264" i="45" s="1"/>
  <c r="K264" i="45" s="1"/>
  <c r="N264" i="45" s="1"/>
  <c r="Q264" i="45" s="1"/>
  <c r="E95" i="194"/>
  <c r="D264" i="45" s="1"/>
  <c r="G264" i="45" s="1"/>
  <c r="J264" i="45" s="1"/>
  <c r="M264" i="45" s="1"/>
  <c r="P264" i="45" s="1"/>
  <c r="D95" i="194"/>
  <c r="C264" i="45" s="1"/>
  <c r="C94" i="194"/>
  <c r="B94" i="194"/>
  <c r="F90" i="194"/>
  <c r="E246" i="45" s="1"/>
  <c r="H246" i="45" s="1"/>
  <c r="K246" i="45" s="1"/>
  <c r="N246" i="45" s="1"/>
  <c r="Q246" i="45" s="1"/>
  <c r="E90" i="194"/>
  <c r="D90" i="194"/>
  <c r="C246" i="45" s="1"/>
  <c r="C89" i="194"/>
  <c r="B89" i="194"/>
  <c r="F85" i="194"/>
  <c r="E228" i="45" s="1"/>
  <c r="E85" i="194"/>
  <c r="D85" i="194"/>
  <c r="C228" i="45" s="1"/>
  <c r="C84" i="194"/>
  <c r="B84" i="194"/>
  <c r="F80" i="194"/>
  <c r="E216" i="45" s="1"/>
  <c r="H216" i="45" s="1"/>
  <c r="K216" i="45" s="1"/>
  <c r="N216" i="45" s="1"/>
  <c r="Q216" i="45" s="1"/>
  <c r="E80" i="194"/>
  <c r="D216" i="45" s="1"/>
  <c r="D80" i="194"/>
  <c r="C216" i="45" s="1"/>
  <c r="C79" i="194"/>
  <c r="B79" i="194"/>
  <c r="C78" i="194"/>
  <c r="B78" i="194"/>
  <c r="F75" i="194"/>
  <c r="E75" i="194"/>
  <c r="D204" i="45" s="1"/>
  <c r="G204" i="45" s="1"/>
  <c r="J204" i="45" s="1"/>
  <c r="M204" i="45" s="1"/>
  <c r="P204" i="45" s="1"/>
  <c r="D75" i="194"/>
  <c r="C204" i="45" s="1"/>
  <c r="C74" i="194"/>
  <c r="B74" i="194"/>
  <c r="C73" i="194"/>
  <c r="B73" i="194"/>
  <c r="F70" i="194"/>
  <c r="E192" i="45" s="1"/>
  <c r="H192" i="45" s="1"/>
  <c r="K192" i="45" s="1"/>
  <c r="N192" i="45" s="1"/>
  <c r="Q192" i="45" s="1"/>
  <c r="E70" i="194"/>
  <c r="D192" i="45" s="1"/>
  <c r="G192" i="45" s="1"/>
  <c r="J192" i="45" s="1"/>
  <c r="M192" i="45" s="1"/>
  <c r="P192" i="45" s="1"/>
  <c r="D70" i="194"/>
  <c r="C192" i="45" s="1"/>
  <c r="C69" i="194"/>
  <c r="B69" i="194"/>
  <c r="C68" i="194"/>
  <c r="B68" i="194"/>
  <c r="F65" i="194"/>
  <c r="E174" i="45" s="1"/>
  <c r="H174" i="45" s="1"/>
  <c r="K174" i="45" s="1"/>
  <c r="N174" i="45" s="1"/>
  <c r="Q174" i="45" s="1"/>
  <c r="E65" i="194"/>
  <c r="D174" i="45" s="1"/>
  <c r="D65" i="194"/>
  <c r="C174" i="45" s="1"/>
  <c r="C64" i="194"/>
  <c r="B64" i="194"/>
  <c r="F59" i="194"/>
  <c r="E150" i="45" s="1"/>
  <c r="H150" i="45" s="1"/>
  <c r="K150" i="45" s="1"/>
  <c r="N150" i="45" s="1"/>
  <c r="Q150" i="45" s="1"/>
  <c r="E59" i="194"/>
  <c r="D59" i="194"/>
  <c r="C150" i="45" s="1"/>
  <c r="C58" i="194"/>
  <c r="B58" i="194"/>
  <c r="F53" i="194"/>
  <c r="E126" i="45" s="1"/>
  <c r="H126" i="45" s="1"/>
  <c r="K126" i="45" s="1"/>
  <c r="N126" i="45" s="1"/>
  <c r="Q126" i="45" s="1"/>
  <c r="E53" i="194"/>
  <c r="D126" i="45" s="1"/>
  <c r="G126" i="45" s="1"/>
  <c r="J126" i="45" s="1"/>
  <c r="M126" i="45" s="1"/>
  <c r="P126" i="45" s="1"/>
  <c r="D53" i="194"/>
  <c r="C52" i="194"/>
  <c r="B52" i="194"/>
  <c r="F45" i="194"/>
  <c r="E96" i="45" s="1"/>
  <c r="H96" i="45" s="1"/>
  <c r="K96" i="45" s="1"/>
  <c r="N96" i="45" s="1"/>
  <c r="Q96" i="45" s="1"/>
  <c r="E45" i="194"/>
  <c r="D45" i="194"/>
  <c r="C96" i="45" s="1"/>
  <c r="C44" i="194"/>
  <c r="B44" i="194"/>
  <c r="F37" i="194"/>
  <c r="E84" i="45" s="1"/>
  <c r="E37" i="194"/>
  <c r="D84" i="45" s="1"/>
  <c r="G84" i="45" s="1"/>
  <c r="J84" i="45" s="1"/>
  <c r="M84" i="45" s="1"/>
  <c r="P84" i="45" s="1"/>
  <c r="D37" i="194"/>
  <c r="C84" i="45" s="1"/>
  <c r="C36" i="194"/>
  <c r="B36" i="194"/>
  <c r="F32" i="194"/>
  <c r="E72" i="45" s="1"/>
  <c r="H72" i="45" s="1"/>
  <c r="K72" i="45" s="1"/>
  <c r="N72" i="45" s="1"/>
  <c r="Q72" i="45" s="1"/>
  <c r="E32" i="194"/>
  <c r="D72" i="45" s="1"/>
  <c r="G72" i="45" s="1"/>
  <c r="J72" i="45" s="1"/>
  <c r="M72" i="45" s="1"/>
  <c r="P72" i="45" s="1"/>
  <c r="D32" i="194"/>
  <c r="C72" i="45" s="1"/>
  <c r="C31" i="194"/>
  <c r="B31" i="194"/>
  <c r="C30" i="194"/>
  <c r="B30" i="194"/>
  <c r="F27" i="194"/>
  <c r="E60" i="45" s="1"/>
  <c r="H60" i="45" s="1"/>
  <c r="K60" i="45" s="1"/>
  <c r="N60" i="45" s="1"/>
  <c r="Q60" i="45" s="1"/>
  <c r="E27" i="194"/>
  <c r="D60" i="45" s="1"/>
  <c r="D27" i="194"/>
  <c r="C60" i="45" s="1"/>
  <c r="C26" i="194"/>
  <c r="B26" i="194"/>
  <c r="C25" i="194"/>
  <c r="B25" i="194"/>
  <c r="F22" i="194"/>
  <c r="E36" i="45" s="1"/>
  <c r="H36" i="45" s="1"/>
  <c r="K36" i="45" s="1"/>
  <c r="N36" i="45" s="1"/>
  <c r="Q36" i="45" s="1"/>
  <c r="E22" i="194"/>
  <c r="D36" i="45" s="1"/>
  <c r="G36" i="45" s="1"/>
  <c r="J36" i="45" s="1"/>
  <c r="M36" i="45" s="1"/>
  <c r="P36" i="45" s="1"/>
  <c r="D22" i="194"/>
  <c r="C36" i="45" s="1"/>
  <c r="F36" i="45" s="1"/>
  <c r="I36" i="45" s="1"/>
  <c r="L36" i="45" s="1"/>
  <c r="O36" i="45" s="1"/>
  <c r="R36" i="45" s="1"/>
  <c r="C21" i="194"/>
  <c r="B21" i="194"/>
  <c r="F15" i="194"/>
  <c r="E15" i="194"/>
  <c r="E170" i="194" s="1"/>
  <c r="D15" i="194"/>
  <c r="C14" i="194"/>
  <c r="B14" i="194"/>
  <c r="C13" i="194"/>
  <c r="B13" i="194"/>
  <c r="D7" i="194"/>
  <c r="E7" i="194" s="1"/>
  <c r="F7" i="194" s="1"/>
  <c r="A3" i="194"/>
  <c r="A1" i="194"/>
  <c r="A170" i="193"/>
  <c r="F168" i="193"/>
  <c r="E168" i="193"/>
  <c r="D168" i="193"/>
  <c r="C167" i="193"/>
  <c r="B167" i="193"/>
  <c r="C166" i="193"/>
  <c r="B166" i="193"/>
  <c r="F163" i="193"/>
  <c r="E163" i="193"/>
  <c r="D163" i="193"/>
  <c r="C162" i="193"/>
  <c r="B162" i="193"/>
  <c r="C161" i="193"/>
  <c r="B161" i="193"/>
  <c r="F158" i="193"/>
  <c r="E158" i="193"/>
  <c r="D158" i="193"/>
  <c r="C157" i="193"/>
  <c r="B157" i="193"/>
  <c r="C156" i="193"/>
  <c r="B156" i="193"/>
  <c r="F153" i="193"/>
  <c r="E153" i="193"/>
  <c r="D153" i="193"/>
  <c r="C152" i="193"/>
  <c r="B152" i="193"/>
  <c r="F148" i="193"/>
  <c r="E148" i="193"/>
  <c r="D148" i="193"/>
  <c r="C147" i="193"/>
  <c r="B147" i="193"/>
  <c r="C146" i="193"/>
  <c r="B146" i="193"/>
  <c r="F143" i="193"/>
  <c r="E143" i="193"/>
  <c r="D143" i="193"/>
  <c r="C142" i="193"/>
  <c r="B142" i="193"/>
  <c r="C141" i="193"/>
  <c r="B141" i="193"/>
  <c r="F138" i="193"/>
  <c r="E138" i="193"/>
  <c r="D138" i="193"/>
  <c r="C137" i="193"/>
  <c r="B137" i="193"/>
  <c r="C136" i="193"/>
  <c r="B136" i="193"/>
  <c r="F133" i="193"/>
  <c r="E133" i="193"/>
  <c r="D133" i="193"/>
  <c r="C132" i="193"/>
  <c r="B132" i="193"/>
  <c r="F127" i="193"/>
  <c r="E127" i="193"/>
  <c r="D127" i="193"/>
  <c r="C126" i="193"/>
  <c r="B126" i="193"/>
  <c r="D121" i="193"/>
  <c r="C120" i="193"/>
  <c r="B120" i="193"/>
  <c r="F115" i="193"/>
  <c r="E115" i="193"/>
  <c r="D115" i="193"/>
  <c r="C114" i="193"/>
  <c r="B114" i="193"/>
  <c r="F110" i="193"/>
  <c r="E110" i="193"/>
  <c r="D110" i="193"/>
  <c r="C109" i="193"/>
  <c r="B109" i="193"/>
  <c r="C108" i="193"/>
  <c r="B108" i="193"/>
  <c r="F105" i="193"/>
  <c r="E105" i="193"/>
  <c r="D105" i="193"/>
  <c r="C104" i="193"/>
  <c r="B104" i="193"/>
  <c r="C103" i="193"/>
  <c r="B103" i="193"/>
  <c r="F100" i="193"/>
  <c r="E100" i="193"/>
  <c r="D100" i="193"/>
  <c r="C99" i="193"/>
  <c r="B99" i="193"/>
  <c r="C98" i="193"/>
  <c r="B98" i="193"/>
  <c r="F95" i="193"/>
  <c r="E95" i="193"/>
  <c r="D95" i="193"/>
  <c r="C94" i="193"/>
  <c r="B94" i="193"/>
  <c r="F90" i="193"/>
  <c r="E90" i="193"/>
  <c r="D90" i="193"/>
  <c r="C89" i="193"/>
  <c r="B89" i="193"/>
  <c r="F85" i="193"/>
  <c r="E85" i="193"/>
  <c r="D85" i="193"/>
  <c r="C84" i="193"/>
  <c r="B84" i="193"/>
  <c r="F80" i="193"/>
  <c r="E80" i="193"/>
  <c r="D80" i="193"/>
  <c r="C79" i="193"/>
  <c r="B79" i="193"/>
  <c r="C78" i="193"/>
  <c r="B78" i="193"/>
  <c r="F75" i="193"/>
  <c r="E75" i="193"/>
  <c r="D75" i="193"/>
  <c r="C74" i="193"/>
  <c r="B74" i="193"/>
  <c r="C73" i="193"/>
  <c r="B73" i="193"/>
  <c r="F70" i="193"/>
  <c r="E70" i="193"/>
  <c r="D70" i="193"/>
  <c r="C69" i="193"/>
  <c r="B69" i="193"/>
  <c r="C68" i="193"/>
  <c r="B68" i="193"/>
  <c r="F65" i="193"/>
  <c r="E65" i="193"/>
  <c r="D65" i="193"/>
  <c r="C64" i="193"/>
  <c r="B64" i="193"/>
  <c r="F59" i="193"/>
  <c r="E59" i="193"/>
  <c r="D59" i="193"/>
  <c r="C58" i="193"/>
  <c r="B58" i="193"/>
  <c r="F53" i="193"/>
  <c r="E53" i="193"/>
  <c r="D53" i="193"/>
  <c r="C52" i="193"/>
  <c r="B52" i="193"/>
  <c r="F45" i="193"/>
  <c r="E45" i="193"/>
  <c r="D45" i="193"/>
  <c r="C44" i="193"/>
  <c r="B44" i="193"/>
  <c r="F37" i="193"/>
  <c r="E37" i="193"/>
  <c r="D37" i="193"/>
  <c r="B36" i="193"/>
  <c r="F32" i="193"/>
  <c r="E32" i="193"/>
  <c r="D32" i="193"/>
  <c r="C31" i="193"/>
  <c r="B31" i="193"/>
  <c r="C30" i="193"/>
  <c r="B30" i="193"/>
  <c r="F27" i="193"/>
  <c r="F170" i="193" s="1"/>
  <c r="E27" i="193"/>
  <c r="D27" i="193"/>
  <c r="C26" i="193"/>
  <c r="B26" i="193"/>
  <c r="C25" i="193"/>
  <c r="B25" i="193"/>
  <c r="F22" i="193"/>
  <c r="E22" i="193"/>
  <c r="D22" i="193"/>
  <c r="C21" i="193"/>
  <c r="B21" i="193"/>
  <c r="F15" i="193"/>
  <c r="E15" i="193"/>
  <c r="E170" i="193" s="1"/>
  <c r="D15" i="193"/>
  <c r="D170" i="193" s="1"/>
  <c r="O103" i="192" s="1"/>
  <c r="C14" i="193"/>
  <c r="B14" i="193"/>
  <c r="C13" i="193"/>
  <c r="B13" i="193"/>
  <c r="D7" i="193"/>
  <c r="E7" i="193" s="1"/>
  <c r="A3" i="193"/>
  <c r="A1" i="193"/>
  <c r="G7" i="188"/>
  <c r="E7" i="188"/>
  <c r="C7" i="188"/>
  <c r="F28" i="191"/>
  <c r="I28" i="191" s="1"/>
  <c r="L28" i="191" s="1"/>
  <c r="F27" i="191"/>
  <c r="I27" i="191" s="1"/>
  <c r="L27" i="191" s="1"/>
  <c r="F26" i="191"/>
  <c r="I26" i="191" s="1"/>
  <c r="L26" i="191" s="1"/>
  <c r="F25" i="191"/>
  <c r="I25" i="191" s="1"/>
  <c r="L25" i="191" s="1"/>
  <c r="F24" i="191"/>
  <c r="I24" i="191" s="1"/>
  <c r="L24" i="191" s="1"/>
  <c r="F23" i="191"/>
  <c r="I23" i="191" s="1"/>
  <c r="L23" i="191" s="1"/>
  <c r="F22" i="191"/>
  <c r="I22" i="191" s="1"/>
  <c r="L22" i="191" s="1"/>
  <c r="F21" i="191"/>
  <c r="I21" i="191" s="1"/>
  <c r="L21" i="191" s="1"/>
  <c r="F20" i="191"/>
  <c r="I20" i="191" s="1"/>
  <c r="L20" i="191" s="1"/>
  <c r="F19" i="191"/>
  <c r="I19" i="191" s="1"/>
  <c r="L19" i="191" s="1"/>
  <c r="F18" i="191"/>
  <c r="I18" i="191" s="1"/>
  <c r="L18" i="191" s="1"/>
  <c r="F17" i="191"/>
  <c r="I17" i="191" s="1"/>
  <c r="L17" i="191" s="1"/>
  <c r="F16" i="191"/>
  <c r="I16" i="191" s="1"/>
  <c r="L16" i="191" s="1"/>
  <c r="F15" i="191"/>
  <c r="I15" i="191" s="1"/>
  <c r="L15" i="191" s="1"/>
  <c r="F14" i="191"/>
  <c r="I14" i="191" s="1"/>
  <c r="L14" i="191" s="1"/>
  <c r="F13" i="191"/>
  <c r="I13" i="191" s="1"/>
  <c r="L13" i="191" s="1"/>
  <c r="F12" i="191"/>
  <c r="I12" i="191" s="1"/>
  <c r="L12" i="191" s="1"/>
  <c r="F11" i="191"/>
  <c r="I11" i="191" s="1"/>
  <c r="L11" i="191" s="1"/>
  <c r="F10" i="191"/>
  <c r="I10" i="191" s="1"/>
  <c r="L10" i="191" s="1"/>
  <c r="F9" i="191"/>
  <c r="I9" i="191" s="1"/>
  <c r="L9" i="191" s="1"/>
  <c r="F8" i="191"/>
  <c r="H7" i="191"/>
  <c r="C6" i="188" s="1"/>
  <c r="F7" i="191"/>
  <c r="I7" i="191" s="1"/>
  <c r="E7" i="191"/>
  <c r="C7" i="191"/>
  <c r="B7" i="191"/>
  <c r="A7" i="191"/>
  <c r="N6" i="191"/>
  <c r="K6" i="191"/>
  <c r="H6" i="191"/>
  <c r="E6" i="191"/>
  <c r="C6" i="191"/>
  <c r="E5" i="191"/>
  <c r="B5" i="188" s="1"/>
  <c r="C5" i="191"/>
  <c r="A3" i="191"/>
  <c r="A1" i="191"/>
  <c r="F105" i="98"/>
  <c r="E105" i="98"/>
  <c r="A100" i="98"/>
  <c r="A99" i="98"/>
  <c r="A98" i="98"/>
  <c r="F97" i="98"/>
  <c r="E97" i="98"/>
  <c r="D97" i="98"/>
  <c r="D101" i="192" s="1"/>
  <c r="D92" i="2" s="1"/>
  <c r="A97" i="98"/>
  <c r="A96" i="98"/>
  <c r="A95" i="98"/>
  <c r="F94" i="98"/>
  <c r="F98" i="192" s="1"/>
  <c r="F89" i="2" s="1"/>
  <c r="E94" i="98"/>
  <c r="E98" i="192" s="1"/>
  <c r="E89" i="2" s="1"/>
  <c r="D94" i="98"/>
  <c r="D98" i="192" s="1"/>
  <c r="D89" i="2" s="1"/>
  <c r="A94" i="98"/>
  <c r="A93" i="98"/>
  <c r="A92" i="98"/>
  <c r="A91" i="98"/>
  <c r="F90" i="98"/>
  <c r="F88" i="98" s="1"/>
  <c r="E90" i="98"/>
  <c r="K180" i="60" s="1"/>
  <c r="D90" i="98"/>
  <c r="D94" i="192" s="1"/>
  <c r="D85" i="2" s="1"/>
  <c r="A90" i="98"/>
  <c r="A89" i="98"/>
  <c r="D88" i="98"/>
  <c r="D92" i="192" s="1"/>
  <c r="D83" i="2" s="1"/>
  <c r="A88" i="98"/>
  <c r="A87" i="98"/>
  <c r="A86" i="98"/>
  <c r="A85" i="98"/>
  <c r="A84" i="98"/>
  <c r="A83" i="98"/>
  <c r="A82" i="98"/>
  <c r="A81" i="98"/>
  <c r="A80" i="98"/>
  <c r="A78" i="98"/>
  <c r="A77" i="98"/>
  <c r="A76" i="98"/>
  <c r="A75" i="98"/>
  <c r="A74" i="98"/>
  <c r="F73" i="98"/>
  <c r="F77" i="192" s="1"/>
  <c r="F68" i="2" s="1"/>
  <c r="E73" i="98"/>
  <c r="E77" i="192" s="1"/>
  <c r="E68" i="2" s="1"/>
  <c r="D73" i="98"/>
  <c r="D77" i="192" s="1"/>
  <c r="D68" i="2" s="1"/>
  <c r="A73" i="98"/>
  <c r="A72" i="98"/>
  <c r="A71" i="98"/>
  <c r="A70" i="98"/>
  <c r="A69" i="98"/>
  <c r="A68" i="98"/>
  <c r="A67" i="98"/>
  <c r="A66" i="98"/>
  <c r="A65" i="98"/>
  <c r="A64" i="98"/>
  <c r="A63" i="98"/>
  <c r="A62" i="98"/>
  <c r="A61" i="98"/>
  <c r="A60" i="98"/>
  <c r="F59" i="98"/>
  <c r="F50" i="234" s="1"/>
  <c r="AM50" i="234" s="1"/>
  <c r="E59" i="98"/>
  <c r="E60" i="192" s="1"/>
  <c r="E54" i="2" s="1"/>
  <c r="D59" i="98"/>
  <c r="D50" i="234" s="1"/>
  <c r="AK50" i="234" s="1"/>
  <c r="A59" i="98"/>
  <c r="A58" i="98"/>
  <c r="A57" i="98"/>
  <c r="A56" i="98"/>
  <c r="A55" i="98"/>
  <c r="A54" i="98"/>
  <c r="A53" i="98"/>
  <c r="A52" i="98"/>
  <c r="A51" i="98"/>
  <c r="A50" i="98"/>
  <c r="A49" i="98"/>
  <c r="A48" i="98"/>
  <c r="A47" i="98"/>
  <c r="A46" i="98"/>
  <c r="F45" i="98"/>
  <c r="E45" i="98"/>
  <c r="E36" i="234" s="1"/>
  <c r="AL36" i="234" s="1"/>
  <c r="D45" i="98"/>
  <c r="D36" i="234" s="1"/>
  <c r="AK36" i="234" s="1"/>
  <c r="A45" i="98"/>
  <c r="A41" i="98"/>
  <c r="A40" i="98"/>
  <c r="A39" i="98"/>
  <c r="F38" i="98"/>
  <c r="F32" i="234" s="1"/>
  <c r="AM32" i="234" s="1"/>
  <c r="E38" i="98"/>
  <c r="E32" i="234" s="1"/>
  <c r="AL32" i="234" s="1"/>
  <c r="D38" i="98"/>
  <c r="D32" i="234" s="1"/>
  <c r="AK32" i="234" s="1"/>
  <c r="A38" i="98"/>
  <c r="A37" i="98"/>
  <c r="A36" i="98"/>
  <c r="A35" i="98"/>
  <c r="F34" i="98"/>
  <c r="E34" i="98"/>
  <c r="E28" i="234" s="1"/>
  <c r="AL28" i="234" s="1"/>
  <c r="D34" i="98"/>
  <c r="D28" i="234" s="1"/>
  <c r="AK28" i="234" s="1"/>
  <c r="A34" i="98"/>
  <c r="A33" i="98"/>
  <c r="A32" i="98"/>
  <c r="A31" i="98"/>
  <c r="A30" i="98"/>
  <c r="F23" i="234"/>
  <c r="AM23" i="234" s="1"/>
  <c r="E29" i="98"/>
  <c r="E23" i="234" s="1"/>
  <c r="AL23" i="234" s="1"/>
  <c r="D29" i="98"/>
  <c r="A29" i="98"/>
  <c r="A28" i="98"/>
  <c r="A27" i="98"/>
  <c r="A26" i="98"/>
  <c r="A25" i="98"/>
  <c r="A24" i="98"/>
  <c r="A23" i="98"/>
  <c r="F22" i="192"/>
  <c r="F20" i="2" s="1"/>
  <c r="E22" i="98"/>
  <c r="E22" i="192" s="1"/>
  <c r="E20" i="2" s="1"/>
  <c r="D22" i="98"/>
  <c r="D22" i="192" s="1"/>
  <c r="D20" i="2" s="1"/>
  <c r="A22" i="98"/>
  <c r="A21" i="98"/>
  <c r="A20" i="98"/>
  <c r="A19" i="98"/>
  <c r="A18" i="98"/>
  <c r="A17" i="98"/>
  <c r="A16" i="98"/>
  <c r="A15" i="98"/>
  <c r="A14" i="98"/>
  <c r="A13" i="98"/>
  <c r="A12" i="98"/>
  <c r="A11" i="98"/>
  <c r="F10" i="234"/>
  <c r="AM10" i="234" s="1"/>
  <c r="E10" i="98"/>
  <c r="E10" i="192" s="1"/>
  <c r="E8" i="2" s="1"/>
  <c r="D10" i="98"/>
  <c r="D10" i="234" s="1"/>
  <c r="AK10" i="234" s="1"/>
  <c r="A10" i="98"/>
  <c r="A9" i="98"/>
  <c r="A8" i="98"/>
  <c r="A7" i="98"/>
  <c r="F6" i="98"/>
  <c r="E6" i="98"/>
  <c r="C6" i="98"/>
  <c r="A6" i="98"/>
  <c r="F5" i="98"/>
  <c r="A3" i="98"/>
  <c r="A1" i="98"/>
  <c r="A177" i="232"/>
  <c r="F175" i="232"/>
  <c r="H175" i="232" s="1"/>
  <c r="E175" i="232"/>
  <c r="G175" i="232" s="1"/>
  <c r="D175" i="232"/>
  <c r="H174" i="232"/>
  <c r="G174" i="232"/>
  <c r="C174" i="232"/>
  <c r="B174" i="232"/>
  <c r="H173" i="232"/>
  <c r="G173" i="232"/>
  <c r="C173" i="232"/>
  <c r="B173" i="232"/>
  <c r="H172" i="232"/>
  <c r="G172" i="232"/>
  <c r="H171" i="232"/>
  <c r="G171" i="232"/>
  <c r="G170" i="232"/>
  <c r="F170" i="232"/>
  <c r="H170" i="232" s="1"/>
  <c r="E170" i="232"/>
  <c r="D170" i="232"/>
  <c r="H169" i="232"/>
  <c r="G169" i="232"/>
  <c r="C169" i="232"/>
  <c r="B169" i="232"/>
  <c r="H168" i="232"/>
  <c r="G168" i="232"/>
  <c r="C168" i="232"/>
  <c r="B168" i="232"/>
  <c r="H167" i="232"/>
  <c r="G167" i="232"/>
  <c r="H166" i="232"/>
  <c r="G166" i="232"/>
  <c r="H165" i="232"/>
  <c r="G165" i="232"/>
  <c r="F165" i="232"/>
  <c r="E165" i="232"/>
  <c r="D165" i="232"/>
  <c r="H164" i="232"/>
  <c r="G164" i="232"/>
  <c r="C164" i="232"/>
  <c r="B164" i="232"/>
  <c r="H163" i="232"/>
  <c r="G163" i="232"/>
  <c r="C163" i="232"/>
  <c r="B163" i="232"/>
  <c r="H162" i="232"/>
  <c r="G162" i="232"/>
  <c r="H161" i="232"/>
  <c r="G161" i="232"/>
  <c r="H160" i="232"/>
  <c r="G160" i="232"/>
  <c r="F160" i="232"/>
  <c r="E160" i="232"/>
  <c r="D160" i="232"/>
  <c r="H159" i="232"/>
  <c r="G159" i="232"/>
  <c r="C159" i="232"/>
  <c r="B159" i="232"/>
  <c r="H158" i="232"/>
  <c r="G158" i="232"/>
  <c r="H157" i="232"/>
  <c r="G157" i="232"/>
  <c r="H156" i="232"/>
  <c r="G156" i="232"/>
  <c r="H155" i="232"/>
  <c r="G155" i="232"/>
  <c r="F155" i="232"/>
  <c r="E155" i="232"/>
  <c r="D155" i="232"/>
  <c r="H154" i="232"/>
  <c r="G154" i="232"/>
  <c r="C154" i="232"/>
  <c r="B154" i="232"/>
  <c r="H153" i="232"/>
  <c r="G153" i="232"/>
  <c r="C153" i="232"/>
  <c r="B153" i="232"/>
  <c r="H152" i="232"/>
  <c r="G152" i="232"/>
  <c r="H151" i="232"/>
  <c r="G151" i="232"/>
  <c r="H150" i="232"/>
  <c r="G150" i="232"/>
  <c r="F150" i="232"/>
  <c r="E150" i="232"/>
  <c r="D150" i="232"/>
  <c r="H149" i="232"/>
  <c r="G149" i="232"/>
  <c r="C149" i="232"/>
  <c r="B149" i="232"/>
  <c r="H148" i="232"/>
  <c r="G148" i="232"/>
  <c r="C148" i="232"/>
  <c r="B148" i="232"/>
  <c r="H147" i="232"/>
  <c r="G147" i="232"/>
  <c r="H146" i="232"/>
  <c r="G146" i="232"/>
  <c r="H144" i="232"/>
  <c r="F144" i="232"/>
  <c r="E144" i="232"/>
  <c r="G144" i="232" s="1"/>
  <c r="D144" i="232"/>
  <c r="H143" i="232"/>
  <c r="G143" i="232"/>
  <c r="C143" i="232"/>
  <c r="B143" i="232"/>
  <c r="H142" i="232"/>
  <c r="G142" i="232"/>
  <c r="C142" i="232"/>
  <c r="B142" i="232"/>
  <c r="H141" i="232"/>
  <c r="G141" i="232"/>
  <c r="H140" i="232"/>
  <c r="G140" i="232"/>
  <c r="F139" i="232"/>
  <c r="F25" i="233" s="1"/>
  <c r="E139" i="232"/>
  <c r="E25" i="233" s="1"/>
  <c r="D139" i="232"/>
  <c r="D25" i="233" s="1"/>
  <c r="C138" i="232"/>
  <c r="B138" i="232"/>
  <c r="H137" i="232"/>
  <c r="G137" i="232"/>
  <c r="H136" i="232"/>
  <c r="G136" i="232"/>
  <c r="H135" i="232"/>
  <c r="G135" i="232"/>
  <c r="H134" i="232"/>
  <c r="G134" i="232"/>
  <c r="F133" i="232"/>
  <c r="F24" i="233" s="1"/>
  <c r="E133" i="232"/>
  <c r="E24" i="233" s="1"/>
  <c r="D133" i="232"/>
  <c r="D24" i="233" s="1"/>
  <c r="C132" i="232"/>
  <c r="B132" i="232"/>
  <c r="H131" i="232"/>
  <c r="G131" i="232"/>
  <c r="H130" i="232"/>
  <c r="G130" i="232"/>
  <c r="H129" i="232"/>
  <c r="G129" i="232"/>
  <c r="F126" i="232"/>
  <c r="E59" i="239" s="1"/>
  <c r="E126" i="232"/>
  <c r="E23" i="233" s="1"/>
  <c r="D126" i="232"/>
  <c r="C59" i="239" s="1"/>
  <c r="C125" i="232"/>
  <c r="B125" i="232"/>
  <c r="H124" i="232"/>
  <c r="G124" i="232"/>
  <c r="H123" i="232"/>
  <c r="G123" i="232"/>
  <c r="H122" i="232"/>
  <c r="G122" i="232"/>
  <c r="H121" i="232"/>
  <c r="G121" i="232"/>
  <c r="F120" i="232"/>
  <c r="F22" i="233" s="1"/>
  <c r="E120" i="232"/>
  <c r="E22" i="233" s="1"/>
  <c r="D120" i="232"/>
  <c r="H119" i="232"/>
  <c r="G119" i="232"/>
  <c r="C119" i="232"/>
  <c r="B119" i="232"/>
  <c r="H118" i="232"/>
  <c r="G118" i="232"/>
  <c r="H117" i="232"/>
  <c r="G117" i="232"/>
  <c r="H116" i="232"/>
  <c r="G116" i="232"/>
  <c r="H114" i="232"/>
  <c r="F114" i="232"/>
  <c r="E114" i="232"/>
  <c r="D114" i="232"/>
  <c r="H113" i="232"/>
  <c r="G113" i="232"/>
  <c r="C113" i="232"/>
  <c r="B113" i="232"/>
  <c r="H112" i="232"/>
  <c r="G112" i="232"/>
  <c r="C112" i="232"/>
  <c r="B112" i="232"/>
  <c r="H111" i="232"/>
  <c r="G111" i="232"/>
  <c r="H110" i="232"/>
  <c r="G110" i="232"/>
  <c r="F108" i="232"/>
  <c r="E108" i="232"/>
  <c r="G108" i="232" s="1"/>
  <c r="D108" i="232"/>
  <c r="H107" i="232"/>
  <c r="G107" i="232"/>
  <c r="C107" i="232"/>
  <c r="B107" i="232"/>
  <c r="H106" i="232"/>
  <c r="G106" i="232"/>
  <c r="C106" i="232"/>
  <c r="B106" i="232"/>
  <c r="H105" i="232"/>
  <c r="G105" i="232"/>
  <c r="H104" i="232"/>
  <c r="G104" i="232"/>
  <c r="F103" i="232"/>
  <c r="E50" i="239" s="1"/>
  <c r="E103" i="232"/>
  <c r="E19" i="233" s="1"/>
  <c r="D103" i="232"/>
  <c r="D19" i="233" s="1"/>
  <c r="H102" i="232"/>
  <c r="G102" i="232"/>
  <c r="C102" i="232"/>
  <c r="B102" i="232"/>
  <c r="H101" i="232"/>
  <c r="G101" i="232"/>
  <c r="C101" i="232"/>
  <c r="B101" i="232"/>
  <c r="H100" i="232"/>
  <c r="G100" i="232"/>
  <c r="H99" i="232"/>
  <c r="G99" i="232"/>
  <c r="F98" i="232"/>
  <c r="E47" i="239" s="1"/>
  <c r="E98" i="232"/>
  <c r="E18" i="233" s="1"/>
  <c r="D98" i="232"/>
  <c r="C47" i="239" s="1"/>
  <c r="H97" i="232"/>
  <c r="G97" i="232"/>
  <c r="C97" i="232"/>
  <c r="B97" i="232"/>
  <c r="H96" i="232"/>
  <c r="G96" i="232"/>
  <c r="H95" i="232"/>
  <c r="G95" i="232"/>
  <c r="H94" i="232"/>
  <c r="G94" i="232"/>
  <c r="F93" i="232"/>
  <c r="F17" i="233" s="1"/>
  <c r="E93" i="232"/>
  <c r="D44" i="239" s="1"/>
  <c r="D93" i="232"/>
  <c r="D17" i="233" s="1"/>
  <c r="H92" i="232"/>
  <c r="G92" i="232"/>
  <c r="C92" i="232"/>
  <c r="B92" i="232"/>
  <c r="H91" i="232"/>
  <c r="G91" i="232"/>
  <c r="H90" i="232"/>
  <c r="G90" i="232"/>
  <c r="H89" i="232"/>
  <c r="G89" i="232"/>
  <c r="H87" i="232"/>
  <c r="G87" i="232"/>
  <c r="F87" i="232"/>
  <c r="E87" i="232"/>
  <c r="D87" i="232"/>
  <c r="H86" i="232"/>
  <c r="G86" i="232"/>
  <c r="C86" i="232"/>
  <c r="B86" i="232"/>
  <c r="H85" i="232"/>
  <c r="G85" i="232"/>
  <c r="H84" i="232"/>
  <c r="G84" i="232"/>
  <c r="H83" i="232"/>
  <c r="G83" i="232"/>
  <c r="G82" i="232"/>
  <c r="F82" i="232"/>
  <c r="H82" i="232" s="1"/>
  <c r="E82" i="232"/>
  <c r="D82" i="232"/>
  <c r="H81" i="232"/>
  <c r="G81" i="232"/>
  <c r="C81" i="232"/>
  <c r="B81" i="232"/>
  <c r="H80" i="232"/>
  <c r="G80" i="232"/>
  <c r="C80" i="232"/>
  <c r="B80" i="232"/>
  <c r="H79" i="232"/>
  <c r="G79" i="232"/>
  <c r="H78" i="232"/>
  <c r="G78" i="232"/>
  <c r="H77" i="232"/>
  <c r="G77" i="232"/>
  <c r="F77" i="232"/>
  <c r="E77" i="232"/>
  <c r="D77" i="232"/>
  <c r="H76" i="232"/>
  <c r="G76" i="232"/>
  <c r="C76" i="232"/>
  <c r="B76" i="232"/>
  <c r="H75" i="232"/>
  <c r="G75" i="232"/>
  <c r="C75" i="232"/>
  <c r="B75" i="232"/>
  <c r="H74" i="232"/>
  <c r="G74" i="232"/>
  <c r="H73" i="232"/>
  <c r="G73" i="232"/>
  <c r="H72" i="232"/>
  <c r="G72" i="232"/>
  <c r="F72" i="232"/>
  <c r="E72" i="232"/>
  <c r="D72" i="232"/>
  <c r="H71" i="232"/>
  <c r="G71" i="232"/>
  <c r="C71" i="232"/>
  <c r="B71" i="232"/>
  <c r="H70" i="232"/>
  <c r="G70" i="232"/>
  <c r="C70" i="232"/>
  <c r="B70" i="232"/>
  <c r="H69" i="232"/>
  <c r="G69" i="232"/>
  <c r="H68" i="232"/>
  <c r="G68" i="232"/>
  <c r="H66" i="232"/>
  <c r="F66" i="232"/>
  <c r="E66" i="232"/>
  <c r="D66" i="232"/>
  <c r="C65" i="232"/>
  <c r="B65" i="232"/>
  <c r="H64" i="232"/>
  <c r="G64" i="232"/>
  <c r="H63" i="232"/>
  <c r="G63" i="232"/>
  <c r="H62" i="232"/>
  <c r="G62" i="232"/>
  <c r="G66" i="232" s="1"/>
  <c r="H61" i="232"/>
  <c r="G61" i="232"/>
  <c r="F60" i="232"/>
  <c r="E28" i="239" s="1"/>
  <c r="E60" i="232"/>
  <c r="E11" i="233" s="1"/>
  <c r="D60" i="232"/>
  <c r="C28" i="239" s="1"/>
  <c r="C59" i="232"/>
  <c r="B59" i="232"/>
  <c r="H58" i="232"/>
  <c r="G58" i="232"/>
  <c r="H57" i="232"/>
  <c r="G57" i="232"/>
  <c r="H56" i="232"/>
  <c r="G56" i="232"/>
  <c r="H55" i="232"/>
  <c r="G55" i="232"/>
  <c r="F54" i="232"/>
  <c r="H54" i="232" s="1"/>
  <c r="E54" i="232"/>
  <c r="E10" i="233" s="1"/>
  <c r="D54" i="232"/>
  <c r="C53" i="232"/>
  <c r="B53" i="232"/>
  <c r="H50" i="232"/>
  <c r="G50" i="232"/>
  <c r="H49" i="232"/>
  <c r="G49" i="232"/>
  <c r="H48" i="232"/>
  <c r="G48" i="232"/>
  <c r="H47" i="232"/>
  <c r="G47" i="232"/>
  <c r="G46" i="232"/>
  <c r="F46" i="232"/>
  <c r="E46" i="232"/>
  <c r="D46" i="232"/>
  <c r="H43" i="232"/>
  <c r="G43" i="232"/>
  <c r="H42" i="232"/>
  <c r="G42" i="232"/>
  <c r="H41" i="232"/>
  <c r="H46" i="232" s="1"/>
  <c r="G41" i="232"/>
  <c r="H40" i="232"/>
  <c r="G40" i="232"/>
  <c r="H38" i="232"/>
  <c r="F38" i="232"/>
  <c r="E38" i="232"/>
  <c r="D38" i="232"/>
  <c r="H37" i="232"/>
  <c r="G37" i="232"/>
  <c r="C37" i="232"/>
  <c r="B37" i="232"/>
  <c r="H36" i="232"/>
  <c r="G36" i="232"/>
  <c r="H35" i="232"/>
  <c r="G35" i="232"/>
  <c r="H34" i="232"/>
  <c r="G34" i="232"/>
  <c r="G33" i="232"/>
  <c r="F33" i="232"/>
  <c r="H33" i="232" s="1"/>
  <c r="E33" i="232"/>
  <c r="D33" i="232"/>
  <c r="H32" i="232"/>
  <c r="G32" i="232"/>
  <c r="C32" i="232"/>
  <c r="B32" i="232"/>
  <c r="H31" i="232"/>
  <c r="G31" i="232"/>
  <c r="C31" i="232"/>
  <c r="B31" i="232"/>
  <c r="H30" i="232"/>
  <c r="G30" i="232"/>
  <c r="H29" i="232"/>
  <c r="G29" i="232"/>
  <c r="H28" i="232"/>
  <c r="F28" i="232"/>
  <c r="E28" i="232"/>
  <c r="D28" i="232"/>
  <c r="H27" i="232"/>
  <c r="G27" i="232"/>
  <c r="C27" i="232"/>
  <c r="B27" i="232"/>
  <c r="H26" i="232"/>
  <c r="G26" i="232"/>
  <c r="C26" i="232"/>
  <c r="B26" i="232"/>
  <c r="H25" i="232"/>
  <c r="G25" i="232"/>
  <c r="H24" i="232"/>
  <c r="G24" i="232"/>
  <c r="G22" i="232"/>
  <c r="F22" i="232"/>
  <c r="E22" i="232"/>
  <c r="D22" i="232"/>
  <c r="C21" i="232"/>
  <c r="B21" i="232"/>
  <c r="H19" i="232"/>
  <c r="G19" i="232"/>
  <c r="H18" i="232"/>
  <c r="G18" i="232"/>
  <c r="H17" i="232"/>
  <c r="G17" i="232"/>
  <c r="H16" i="232"/>
  <c r="G16" i="232"/>
  <c r="F15" i="232"/>
  <c r="E4" i="239" s="1"/>
  <c r="E15" i="232"/>
  <c r="G15" i="232" s="1"/>
  <c r="D15" i="232"/>
  <c r="D4" i="233" s="1"/>
  <c r="C14" i="232"/>
  <c r="B14" i="232"/>
  <c r="C13" i="232"/>
  <c r="B13" i="232"/>
  <c r="H11" i="232"/>
  <c r="G11" i="232"/>
  <c r="H10" i="232"/>
  <c r="G10" i="232"/>
  <c r="H9" i="232"/>
  <c r="G9" i="232"/>
  <c r="D6" i="232"/>
  <c r="E6" i="232" s="1"/>
  <c r="F6" i="232" s="1"/>
  <c r="F5" i="232"/>
  <c r="A3" i="232"/>
  <c r="A1" i="232"/>
  <c r="G180" i="60"/>
  <c r="A180" i="60"/>
  <c r="A179" i="60"/>
  <c r="O177" i="60"/>
  <c r="N177" i="60"/>
  <c r="M177" i="60"/>
  <c r="K177" i="60"/>
  <c r="J177" i="60"/>
  <c r="I177" i="60"/>
  <c r="G177" i="60"/>
  <c r="F177" i="60"/>
  <c r="E177" i="60"/>
  <c r="Q176" i="60"/>
  <c r="P176" i="60"/>
  <c r="L176" i="60"/>
  <c r="H176" i="60"/>
  <c r="D176" i="60"/>
  <c r="C176" i="60"/>
  <c r="B176" i="60"/>
  <c r="Q175" i="60"/>
  <c r="P175" i="60"/>
  <c r="L175" i="60"/>
  <c r="H175" i="60"/>
  <c r="D175" i="60"/>
  <c r="C175" i="60"/>
  <c r="B175" i="60"/>
  <c r="Q174" i="60"/>
  <c r="P174" i="60"/>
  <c r="L174" i="60"/>
  <c r="H174" i="60"/>
  <c r="D174" i="60"/>
  <c r="Q173" i="60"/>
  <c r="P173" i="60"/>
  <c r="O172" i="60"/>
  <c r="L172" i="60" s="1"/>
  <c r="N172" i="60"/>
  <c r="M172" i="60"/>
  <c r="K172" i="60"/>
  <c r="J172" i="60"/>
  <c r="I172" i="60"/>
  <c r="G172" i="60"/>
  <c r="D172" i="60" s="1"/>
  <c r="F172" i="60"/>
  <c r="E172" i="60"/>
  <c r="Q171" i="60"/>
  <c r="P171" i="60"/>
  <c r="L171" i="60"/>
  <c r="H171" i="60"/>
  <c r="D171" i="60"/>
  <c r="C171" i="60"/>
  <c r="B171" i="60"/>
  <c r="Q170" i="60"/>
  <c r="P170" i="60"/>
  <c r="L170" i="60"/>
  <c r="H170" i="60"/>
  <c r="D170" i="60"/>
  <c r="C170" i="60"/>
  <c r="B170" i="60"/>
  <c r="Q169" i="60"/>
  <c r="P169" i="60"/>
  <c r="L169" i="60"/>
  <c r="H169" i="60"/>
  <c r="D169" i="60"/>
  <c r="Q168" i="60"/>
  <c r="P168" i="60"/>
  <c r="O167" i="60"/>
  <c r="N167" i="60"/>
  <c r="M167" i="60"/>
  <c r="Q167" i="60" s="1"/>
  <c r="K167" i="60"/>
  <c r="J167" i="60"/>
  <c r="I167" i="60"/>
  <c r="G167" i="60"/>
  <c r="F167" i="60"/>
  <c r="E167" i="60"/>
  <c r="Q166" i="60"/>
  <c r="P166" i="60"/>
  <c r="L166" i="60"/>
  <c r="H166" i="60"/>
  <c r="D166" i="60"/>
  <c r="C166" i="60"/>
  <c r="B166" i="60"/>
  <c r="Q165" i="60"/>
  <c r="P165" i="60"/>
  <c r="L165" i="60"/>
  <c r="H165" i="60"/>
  <c r="D165" i="60"/>
  <c r="C165" i="60"/>
  <c r="B165" i="60"/>
  <c r="Q164" i="60"/>
  <c r="P164" i="60"/>
  <c r="L164" i="60"/>
  <c r="H164" i="60"/>
  <c r="D164" i="60"/>
  <c r="Q163" i="60"/>
  <c r="P163" i="60"/>
  <c r="O162" i="60"/>
  <c r="N162" i="60"/>
  <c r="M162" i="60"/>
  <c r="K162" i="60"/>
  <c r="J162" i="60"/>
  <c r="I162" i="60"/>
  <c r="G162" i="60"/>
  <c r="F162" i="60"/>
  <c r="E162" i="60"/>
  <c r="Q161" i="60"/>
  <c r="P161" i="60"/>
  <c r="L161" i="60"/>
  <c r="H161" i="60"/>
  <c r="D161" i="60"/>
  <c r="C161" i="60"/>
  <c r="B161" i="60"/>
  <c r="Q160" i="60"/>
  <c r="P160" i="60"/>
  <c r="L160" i="60"/>
  <c r="H160" i="60"/>
  <c r="D160" i="60"/>
  <c r="Q159" i="60"/>
  <c r="P159" i="60"/>
  <c r="L159" i="60"/>
  <c r="H159" i="60"/>
  <c r="D159" i="60"/>
  <c r="Q158" i="60"/>
  <c r="P158" i="60"/>
  <c r="O157" i="60"/>
  <c r="N157" i="60"/>
  <c r="M157" i="60"/>
  <c r="K157" i="60"/>
  <c r="J157" i="60"/>
  <c r="I157" i="60"/>
  <c r="G157" i="60"/>
  <c r="F157" i="60"/>
  <c r="E157" i="60"/>
  <c r="D157" i="60" s="1"/>
  <c r="Q156" i="60"/>
  <c r="P156" i="60"/>
  <c r="L156" i="60"/>
  <c r="H156" i="60"/>
  <c r="D156" i="60"/>
  <c r="C156" i="60"/>
  <c r="B156" i="60"/>
  <c r="Q155" i="60"/>
  <c r="P155" i="60"/>
  <c r="L155" i="60"/>
  <c r="H155" i="60"/>
  <c r="D155" i="60"/>
  <c r="C155" i="60"/>
  <c r="B155" i="60"/>
  <c r="Q154" i="60"/>
  <c r="P154" i="60"/>
  <c r="L154" i="60"/>
  <c r="H154" i="60"/>
  <c r="D154" i="60"/>
  <c r="Q153" i="60"/>
  <c r="P153" i="60"/>
  <c r="O152" i="60"/>
  <c r="N152" i="60"/>
  <c r="M152" i="60"/>
  <c r="K152" i="60"/>
  <c r="J152" i="60"/>
  <c r="I152" i="60"/>
  <c r="P152" i="60" s="1"/>
  <c r="G152" i="60"/>
  <c r="F152" i="60"/>
  <c r="E152" i="60"/>
  <c r="Q151" i="60"/>
  <c r="P151" i="60"/>
  <c r="L151" i="60"/>
  <c r="H151" i="60"/>
  <c r="D151" i="60"/>
  <c r="C151" i="60"/>
  <c r="B151" i="60"/>
  <c r="Q150" i="60"/>
  <c r="P150" i="60"/>
  <c r="L150" i="60"/>
  <c r="H150" i="60"/>
  <c r="D150" i="60"/>
  <c r="C150" i="60"/>
  <c r="B150" i="60"/>
  <c r="Q149" i="60"/>
  <c r="P149" i="60"/>
  <c r="L149" i="60"/>
  <c r="H149" i="60"/>
  <c r="D149" i="60"/>
  <c r="Q148" i="60"/>
  <c r="P148" i="60"/>
  <c r="O146" i="60"/>
  <c r="N146" i="60"/>
  <c r="M146" i="60"/>
  <c r="K146" i="60"/>
  <c r="J146" i="60"/>
  <c r="I146" i="60"/>
  <c r="G146" i="60"/>
  <c r="F146" i="60"/>
  <c r="E146" i="60"/>
  <c r="Q145" i="60"/>
  <c r="P145" i="60"/>
  <c r="L145" i="60"/>
  <c r="H145" i="60"/>
  <c r="D145" i="60"/>
  <c r="C145" i="60"/>
  <c r="B145" i="60"/>
  <c r="Q144" i="60"/>
  <c r="P144" i="60"/>
  <c r="L144" i="60"/>
  <c r="H144" i="60"/>
  <c r="D144" i="60"/>
  <c r="C144" i="60"/>
  <c r="B144" i="60"/>
  <c r="Q143" i="60"/>
  <c r="P143" i="60"/>
  <c r="L143" i="60"/>
  <c r="H143" i="60"/>
  <c r="D143" i="60"/>
  <c r="Q142" i="60"/>
  <c r="P142" i="60"/>
  <c r="O141" i="60"/>
  <c r="N141" i="60"/>
  <c r="M141" i="60"/>
  <c r="K141" i="60"/>
  <c r="J141" i="60"/>
  <c r="I141" i="60"/>
  <c r="G141" i="60"/>
  <c r="F141" i="60"/>
  <c r="E141" i="60"/>
  <c r="L140" i="60"/>
  <c r="H140" i="60"/>
  <c r="D140" i="60"/>
  <c r="C140" i="60"/>
  <c r="B140" i="60"/>
  <c r="Q139" i="60"/>
  <c r="P139" i="60"/>
  <c r="L139" i="60"/>
  <c r="H139" i="60"/>
  <c r="D139" i="60"/>
  <c r="Q138" i="60"/>
  <c r="P138" i="60"/>
  <c r="L138" i="60"/>
  <c r="H138" i="60"/>
  <c r="D138" i="60"/>
  <c r="Q137" i="60"/>
  <c r="P137" i="60"/>
  <c r="L137" i="60"/>
  <c r="H137" i="60"/>
  <c r="D137" i="60"/>
  <c r="Q136" i="60"/>
  <c r="P136" i="60"/>
  <c r="O135" i="60"/>
  <c r="N135" i="60"/>
  <c r="M135" i="60"/>
  <c r="K135" i="60"/>
  <c r="J135" i="60"/>
  <c r="I135" i="60"/>
  <c r="G135" i="60"/>
  <c r="F135" i="60"/>
  <c r="E135" i="60"/>
  <c r="L134" i="60"/>
  <c r="H134" i="60"/>
  <c r="D134" i="60"/>
  <c r="C134" i="60"/>
  <c r="B134" i="60"/>
  <c r="Q133" i="60"/>
  <c r="P133" i="60"/>
  <c r="L133" i="60"/>
  <c r="H133" i="60"/>
  <c r="D133" i="60"/>
  <c r="Q132" i="60"/>
  <c r="P132" i="60"/>
  <c r="L132" i="60"/>
  <c r="H132" i="60"/>
  <c r="D132" i="60"/>
  <c r="Q131" i="60"/>
  <c r="P131" i="60"/>
  <c r="L131" i="60"/>
  <c r="H131" i="60"/>
  <c r="D131" i="60"/>
  <c r="O128" i="60"/>
  <c r="N128" i="60"/>
  <c r="M128" i="60"/>
  <c r="K128" i="60"/>
  <c r="J128" i="60"/>
  <c r="I128" i="60"/>
  <c r="G128" i="60"/>
  <c r="F128" i="60"/>
  <c r="E128" i="60"/>
  <c r="L127" i="60"/>
  <c r="H127" i="60"/>
  <c r="D127" i="60"/>
  <c r="C127" i="60"/>
  <c r="B127" i="60"/>
  <c r="Q126" i="60"/>
  <c r="P126" i="60"/>
  <c r="L126" i="60"/>
  <c r="H126" i="60"/>
  <c r="D126" i="60"/>
  <c r="Q125" i="60"/>
  <c r="P125" i="60"/>
  <c r="L125" i="60"/>
  <c r="H125" i="60"/>
  <c r="D125" i="60"/>
  <c r="Q124" i="60"/>
  <c r="P124" i="60"/>
  <c r="L124" i="60"/>
  <c r="H124" i="60"/>
  <c r="D124" i="60"/>
  <c r="Q123" i="60"/>
  <c r="P123" i="60"/>
  <c r="O122" i="60"/>
  <c r="N122" i="60"/>
  <c r="M122" i="60"/>
  <c r="K122" i="60"/>
  <c r="J122" i="60"/>
  <c r="I122" i="60"/>
  <c r="G122" i="60"/>
  <c r="F122" i="60"/>
  <c r="E122" i="60"/>
  <c r="Q121" i="60"/>
  <c r="P121" i="60"/>
  <c r="L121" i="60"/>
  <c r="H121" i="60"/>
  <c r="D121" i="60"/>
  <c r="C121" i="60"/>
  <c r="B121" i="60"/>
  <c r="Q120" i="60"/>
  <c r="P120" i="60"/>
  <c r="L120" i="60"/>
  <c r="H120" i="60"/>
  <c r="D120" i="60"/>
  <c r="Q119" i="60"/>
  <c r="P119" i="60"/>
  <c r="L119" i="60"/>
  <c r="H119" i="60"/>
  <c r="D119" i="60"/>
  <c r="Q118" i="60"/>
  <c r="P118" i="60"/>
  <c r="O116" i="60"/>
  <c r="N116" i="60"/>
  <c r="M116" i="60"/>
  <c r="Q116" i="60" s="1"/>
  <c r="K116" i="60"/>
  <c r="J116" i="60"/>
  <c r="I116" i="60"/>
  <c r="H116" i="60" s="1"/>
  <c r="G116" i="60"/>
  <c r="F116" i="60"/>
  <c r="E116" i="60"/>
  <c r="Q115" i="60"/>
  <c r="P115" i="60"/>
  <c r="L115" i="60"/>
  <c r="H115" i="60"/>
  <c r="D115" i="60"/>
  <c r="C115" i="60"/>
  <c r="B115" i="60"/>
  <c r="Q114" i="60"/>
  <c r="P114" i="60"/>
  <c r="L114" i="60"/>
  <c r="H114" i="60"/>
  <c r="D114" i="60"/>
  <c r="C114" i="60"/>
  <c r="B114" i="60"/>
  <c r="Q113" i="60"/>
  <c r="P113" i="60"/>
  <c r="L113" i="60"/>
  <c r="H113" i="60"/>
  <c r="D113" i="60"/>
  <c r="Q112" i="60"/>
  <c r="P112" i="60"/>
  <c r="O110" i="60"/>
  <c r="N110" i="60"/>
  <c r="M110" i="60"/>
  <c r="K110" i="60"/>
  <c r="J110" i="60"/>
  <c r="I110" i="60"/>
  <c r="G110" i="60"/>
  <c r="F110" i="60"/>
  <c r="E110" i="60"/>
  <c r="Q109" i="60"/>
  <c r="P109" i="60"/>
  <c r="L109" i="60"/>
  <c r="H109" i="60"/>
  <c r="D109" i="60"/>
  <c r="C109" i="60"/>
  <c r="B109" i="60"/>
  <c r="Q108" i="60"/>
  <c r="P108" i="60"/>
  <c r="L108" i="60"/>
  <c r="H108" i="60"/>
  <c r="D108" i="60"/>
  <c r="C108" i="60"/>
  <c r="B108" i="60"/>
  <c r="Q107" i="60"/>
  <c r="P107" i="60"/>
  <c r="L107" i="60"/>
  <c r="H107" i="60"/>
  <c r="D107" i="60"/>
  <c r="Q106" i="60"/>
  <c r="P106" i="60"/>
  <c r="O105" i="60"/>
  <c r="N105" i="60"/>
  <c r="M105" i="60"/>
  <c r="K105" i="60"/>
  <c r="J105" i="60"/>
  <c r="I105" i="60"/>
  <c r="G105" i="60"/>
  <c r="F105" i="60"/>
  <c r="E105" i="60"/>
  <c r="Q104" i="60"/>
  <c r="P104" i="60"/>
  <c r="L104" i="60"/>
  <c r="H104" i="60"/>
  <c r="D104" i="60"/>
  <c r="C104" i="60"/>
  <c r="B104" i="60"/>
  <c r="Q103" i="60"/>
  <c r="P103" i="60"/>
  <c r="L103" i="60"/>
  <c r="H103" i="60"/>
  <c r="D103" i="60"/>
  <c r="C103" i="60"/>
  <c r="B103" i="60"/>
  <c r="Q102" i="60"/>
  <c r="P102" i="60"/>
  <c r="L102" i="60"/>
  <c r="H102" i="60"/>
  <c r="D102" i="60"/>
  <c r="Q101" i="60"/>
  <c r="P101" i="60"/>
  <c r="O100" i="60"/>
  <c r="N100" i="60"/>
  <c r="M100" i="60"/>
  <c r="K100" i="60"/>
  <c r="J100" i="60"/>
  <c r="I100" i="60"/>
  <c r="G100" i="60"/>
  <c r="F100" i="60"/>
  <c r="E100" i="60"/>
  <c r="D100" i="60" s="1"/>
  <c r="Q99" i="60"/>
  <c r="P99" i="60"/>
  <c r="L99" i="60"/>
  <c r="H99" i="60"/>
  <c r="D99" i="60"/>
  <c r="C99" i="60"/>
  <c r="B99" i="60"/>
  <c r="Q98" i="60"/>
  <c r="P98" i="60"/>
  <c r="L98" i="60"/>
  <c r="H98" i="60"/>
  <c r="D98" i="60"/>
  <c r="Q97" i="60"/>
  <c r="P97" i="60"/>
  <c r="L97" i="60"/>
  <c r="H97" i="60"/>
  <c r="D97" i="60"/>
  <c r="Q96" i="60"/>
  <c r="P96" i="60"/>
  <c r="O95" i="60"/>
  <c r="N95" i="60"/>
  <c r="M95" i="60"/>
  <c r="K95" i="60"/>
  <c r="I95" i="60"/>
  <c r="G95" i="60"/>
  <c r="F95" i="60"/>
  <c r="E95" i="60"/>
  <c r="D95" i="60" s="1"/>
  <c r="Q94" i="60"/>
  <c r="P94" i="60"/>
  <c r="L94" i="60"/>
  <c r="H94" i="60"/>
  <c r="D94" i="60"/>
  <c r="C94" i="60"/>
  <c r="B94" i="60"/>
  <c r="Q93" i="60"/>
  <c r="P93" i="60"/>
  <c r="L93" i="60"/>
  <c r="H93" i="60"/>
  <c r="D93" i="60"/>
  <c r="Q92" i="60"/>
  <c r="P92" i="60"/>
  <c r="L92" i="60"/>
  <c r="H92" i="60"/>
  <c r="D92" i="60"/>
  <c r="Q91" i="60"/>
  <c r="P91" i="60"/>
  <c r="O89" i="60"/>
  <c r="N89" i="60"/>
  <c r="M89" i="60"/>
  <c r="K89" i="60"/>
  <c r="J89" i="60"/>
  <c r="I89" i="60"/>
  <c r="G89" i="60"/>
  <c r="F89" i="60"/>
  <c r="E89" i="60"/>
  <c r="Q88" i="60"/>
  <c r="P88" i="60"/>
  <c r="L88" i="60"/>
  <c r="H88" i="60"/>
  <c r="D88" i="60"/>
  <c r="C88" i="60"/>
  <c r="B88" i="60"/>
  <c r="Q87" i="60"/>
  <c r="P87" i="60"/>
  <c r="L87" i="60"/>
  <c r="H87" i="60"/>
  <c r="D87" i="60"/>
  <c r="Q86" i="60"/>
  <c r="P86" i="60"/>
  <c r="L86" i="60"/>
  <c r="H86" i="60"/>
  <c r="D86" i="60"/>
  <c r="Q85" i="60"/>
  <c r="P85" i="60"/>
  <c r="O84" i="60"/>
  <c r="N84" i="60"/>
  <c r="M84" i="60"/>
  <c r="K84" i="60"/>
  <c r="J84" i="60"/>
  <c r="I84" i="60"/>
  <c r="P84" i="60" s="1"/>
  <c r="G84" i="60"/>
  <c r="F84" i="60"/>
  <c r="E84" i="60"/>
  <c r="D84" i="60" s="1"/>
  <c r="Q83" i="60"/>
  <c r="P83" i="60"/>
  <c r="L83" i="60"/>
  <c r="H83" i="60"/>
  <c r="D83" i="60"/>
  <c r="C83" i="60"/>
  <c r="B83" i="60"/>
  <c r="Q82" i="60"/>
  <c r="P82" i="60"/>
  <c r="L82" i="60"/>
  <c r="H82" i="60"/>
  <c r="D82" i="60"/>
  <c r="C82" i="60"/>
  <c r="B82" i="60"/>
  <c r="Q81" i="60"/>
  <c r="P81" i="60"/>
  <c r="L81" i="60"/>
  <c r="H81" i="60"/>
  <c r="D81" i="60"/>
  <c r="Q80" i="60"/>
  <c r="P80" i="60"/>
  <c r="O79" i="60"/>
  <c r="N79" i="60"/>
  <c r="M79" i="60"/>
  <c r="K79" i="60"/>
  <c r="J79" i="60"/>
  <c r="I79" i="60"/>
  <c r="G79" i="60"/>
  <c r="F79" i="60"/>
  <c r="E79" i="60"/>
  <c r="Q78" i="60"/>
  <c r="P78" i="60"/>
  <c r="L78" i="60"/>
  <c r="H78" i="60"/>
  <c r="D78" i="60"/>
  <c r="C78" i="60"/>
  <c r="B78" i="60"/>
  <c r="Q77" i="60"/>
  <c r="P77" i="60"/>
  <c r="L77" i="60"/>
  <c r="H77" i="60"/>
  <c r="D77" i="60"/>
  <c r="C77" i="60"/>
  <c r="B77" i="60"/>
  <c r="Q76" i="60"/>
  <c r="P76" i="60"/>
  <c r="L76" i="60"/>
  <c r="H76" i="60"/>
  <c r="D76" i="60"/>
  <c r="Q75" i="60"/>
  <c r="P75" i="60"/>
  <c r="O74" i="60"/>
  <c r="N74" i="60"/>
  <c r="M74" i="60"/>
  <c r="K74" i="60"/>
  <c r="J74" i="60"/>
  <c r="I74" i="60"/>
  <c r="G74" i="60"/>
  <c r="F74" i="60"/>
  <c r="E74" i="60"/>
  <c r="D74" i="60"/>
  <c r="Q73" i="60"/>
  <c r="P73" i="60"/>
  <c r="L73" i="60"/>
  <c r="H73" i="60"/>
  <c r="D73" i="60"/>
  <c r="C73" i="60"/>
  <c r="B73" i="60"/>
  <c r="Q72" i="60"/>
  <c r="P72" i="60"/>
  <c r="L72" i="60"/>
  <c r="H72" i="60"/>
  <c r="D72" i="60"/>
  <c r="C72" i="60"/>
  <c r="B72" i="60"/>
  <c r="Q71" i="60"/>
  <c r="P71" i="60"/>
  <c r="L71" i="60"/>
  <c r="H71" i="60"/>
  <c r="D71" i="60"/>
  <c r="Q70" i="60"/>
  <c r="P70" i="60"/>
  <c r="O68" i="60"/>
  <c r="N68" i="60"/>
  <c r="M68" i="60"/>
  <c r="L68" i="60" s="1"/>
  <c r="K68" i="60"/>
  <c r="J68" i="60"/>
  <c r="I68" i="60"/>
  <c r="H68" i="60"/>
  <c r="G68" i="60"/>
  <c r="F68" i="60"/>
  <c r="E68" i="60"/>
  <c r="D68" i="60"/>
  <c r="L67" i="60"/>
  <c r="H67" i="60"/>
  <c r="D67" i="60"/>
  <c r="C67" i="60"/>
  <c r="B67" i="60"/>
  <c r="Q66" i="60"/>
  <c r="P66" i="60"/>
  <c r="L66" i="60"/>
  <c r="H66" i="60"/>
  <c r="D66" i="60"/>
  <c r="Q65" i="60"/>
  <c r="P65" i="60"/>
  <c r="L65" i="60"/>
  <c r="H65" i="60"/>
  <c r="D65" i="60"/>
  <c r="Q64" i="60"/>
  <c r="Q68" i="60" s="1"/>
  <c r="P64" i="60"/>
  <c r="L64" i="60"/>
  <c r="H64" i="60"/>
  <c r="D64" i="60"/>
  <c r="Q63" i="60"/>
  <c r="P63" i="60"/>
  <c r="O62" i="60"/>
  <c r="N62" i="60"/>
  <c r="M62" i="60"/>
  <c r="K62" i="60"/>
  <c r="J62" i="60"/>
  <c r="I62" i="60"/>
  <c r="G62" i="60"/>
  <c r="F62" i="60"/>
  <c r="E62" i="60"/>
  <c r="L61" i="60"/>
  <c r="H61" i="60"/>
  <c r="D61" i="60"/>
  <c r="C61" i="60"/>
  <c r="B61" i="60"/>
  <c r="Q60" i="60"/>
  <c r="P60" i="60"/>
  <c r="L60" i="60"/>
  <c r="H60" i="60"/>
  <c r="D60" i="60"/>
  <c r="Q59" i="60"/>
  <c r="P59" i="60"/>
  <c r="L59" i="60"/>
  <c r="D59" i="60"/>
  <c r="Q58" i="60"/>
  <c r="P58" i="60"/>
  <c r="L58" i="60"/>
  <c r="H58" i="60"/>
  <c r="D58" i="60"/>
  <c r="Q57" i="60"/>
  <c r="P57" i="60"/>
  <c r="O56" i="60"/>
  <c r="N56" i="60"/>
  <c r="M56" i="60"/>
  <c r="K56" i="60"/>
  <c r="J56" i="60"/>
  <c r="I56" i="60"/>
  <c r="D56" i="60"/>
  <c r="L55" i="60"/>
  <c r="H55" i="60"/>
  <c r="D55" i="60"/>
  <c r="C55" i="60"/>
  <c r="B55" i="60"/>
  <c r="L54" i="60"/>
  <c r="H54" i="60"/>
  <c r="D54" i="60"/>
  <c r="L53" i="60"/>
  <c r="H53" i="60"/>
  <c r="D53" i="60"/>
  <c r="Q52" i="60"/>
  <c r="P52" i="60"/>
  <c r="L52" i="60"/>
  <c r="H52" i="60"/>
  <c r="D52" i="60"/>
  <c r="Q51" i="60"/>
  <c r="P51" i="60"/>
  <c r="L51" i="60"/>
  <c r="H51" i="60"/>
  <c r="D51" i="60"/>
  <c r="Q50" i="60"/>
  <c r="P50" i="60"/>
  <c r="L50" i="60"/>
  <c r="H50" i="60"/>
  <c r="D50" i="60"/>
  <c r="Q49" i="60"/>
  <c r="P49" i="60"/>
  <c r="O48" i="60"/>
  <c r="N48" i="60"/>
  <c r="M48" i="60"/>
  <c r="K48" i="60"/>
  <c r="J48" i="60"/>
  <c r="I48" i="60"/>
  <c r="G48" i="60"/>
  <c r="F48" i="60"/>
  <c r="E48" i="60"/>
  <c r="D48" i="60" s="1"/>
  <c r="L47" i="60"/>
  <c r="H47" i="60"/>
  <c r="D47" i="60"/>
  <c r="C47" i="60"/>
  <c r="B47" i="60"/>
  <c r="L46" i="60"/>
  <c r="H46" i="60"/>
  <c r="D46" i="60"/>
  <c r="L45" i="60"/>
  <c r="H45" i="60"/>
  <c r="D45" i="60"/>
  <c r="Q44" i="60"/>
  <c r="P44" i="60"/>
  <c r="L44" i="60"/>
  <c r="H44" i="60"/>
  <c r="D44" i="60"/>
  <c r="Q43" i="60"/>
  <c r="P43" i="60"/>
  <c r="L43" i="60"/>
  <c r="H43" i="60"/>
  <c r="D43" i="60"/>
  <c r="Q42" i="60"/>
  <c r="P42" i="60"/>
  <c r="L42" i="60"/>
  <c r="H42" i="60"/>
  <c r="D42" i="60"/>
  <c r="Q41" i="60"/>
  <c r="P41" i="60"/>
  <c r="O39" i="60"/>
  <c r="N39" i="60"/>
  <c r="M39" i="60"/>
  <c r="Q39" i="60" s="1"/>
  <c r="L39" i="60"/>
  <c r="K39" i="60"/>
  <c r="J39" i="60"/>
  <c r="I39" i="60"/>
  <c r="P39" i="60" s="1"/>
  <c r="G39" i="60"/>
  <c r="F39" i="60"/>
  <c r="E39" i="60"/>
  <c r="Q38" i="60"/>
  <c r="P38" i="60"/>
  <c r="L38" i="60"/>
  <c r="H38" i="60"/>
  <c r="D38" i="60"/>
  <c r="B38" i="60"/>
  <c r="Q37" i="60"/>
  <c r="P37" i="60"/>
  <c r="L37" i="60"/>
  <c r="H37" i="60"/>
  <c r="D37" i="60"/>
  <c r="Q36" i="60"/>
  <c r="P36" i="60"/>
  <c r="L36" i="60"/>
  <c r="H36" i="60"/>
  <c r="D36" i="60"/>
  <c r="Q35" i="60"/>
  <c r="P35" i="60"/>
  <c r="O34" i="60"/>
  <c r="N34" i="60"/>
  <c r="M34" i="60"/>
  <c r="K34" i="60"/>
  <c r="J34" i="60"/>
  <c r="I34" i="60"/>
  <c r="G34" i="60"/>
  <c r="F34" i="60"/>
  <c r="E34" i="60"/>
  <c r="Q33" i="60"/>
  <c r="P33" i="60"/>
  <c r="L33" i="60"/>
  <c r="H33" i="60"/>
  <c r="D33" i="60"/>
  <c r="C33" i="60"/>
  <c r="B33" i="60"/>
  <c r="Q32" i="60"/>
  <c r="P32" i="60"/>
  <c r="L32" i="60"/>
  <c r="H32" i="60"/>
  <c r="D32" i="60"/>
  <c r="C32" i="60"/>
  <c r="B32" i="60"/>
  <c r="Q31" i="60"/>
  <c r="P31" i="60"/>
  <c r="L31" i="60"/>
  <c r="H31" i="60"/>
  <c r="D31" i="60"/>
  <c r="Q30" i="60"/>
  <c r="P30" i="60"/>
  <c r="O29" i="60"/>
  <c r="N29" i="60"/>
  <c r="M29" i="60"/>
  <c r="K29" i="60"/>
  <c r="J29" i="60"/>
  <c r="I29" i="60"/>
  <c r="H29" i="60" s="1"/>
  <c r="G29" i="60"/>
  <c r="F29" i="60"/>
  <c r="E29" i="60"/>
  <c r="Q28" i="60"/>
  <c r="P28" i="60"/>
  <c r="L28" i="60"/>
  <c r="H28" i="60"/>
  <c r="D28" i="60"/>
  <c r="C28" i="60"/>
  <c r="B28" i="60"/>
  <c r="Q27" i="60"/>
  <c r="P27" i="60"/>
  <c r="L27" i="60"/>
  <c r="H27" i="60"/>
  <c r="D27" i="60"/>
  <c r="C27" i="60"/>
  <c r="B27" i="60"/>
  <c r="Q26" i="60"/>
  <c r="P26" i="60"/>
  <c r="L26" i="60"/>
  <c r="H26" i="60"/>
  <c r="D26" i="60"/>
  <c r="Q25" i="60"/>
  <c r="P25" i="60"/>
  <c r="O23" i="60"/>
  <c r="N23" i="60"/>
  <c r="M23" i="60"/>
  <c r="K23" i="60"/>
  <c r="J23" i="60"/>
  <c r="I23" i="60"/>
  <c r="G23" i="60"/>
  <c r="F23" i="60"/>
  <c r="E23" i="60"/>
  <c r="L22" i="60"/>
  <c r="H22" i="60"/>
  <c r="D22" i="60"/>
  <c r="C22" i="60"/>
  <c r="B22" i="60"/>
  <c r="L21" i="60"/>
  <c r="H21" i="60"/>
  <c r="D21" i="60"/>
  <c r="Q20" i="60"/>
  <c r="P20" i="60"/>
  <c r="L20" i="60"/>
  <c r="H20" i="60"/>
  <c r="D20" i="60"/>
  <c r="Q19" i="60"/>
  <c r="P19" i="60"/>
  <c r="L19" i="60"/>
  <c r="H19" i="60"/>
  <c r="D19" i="60"/>
  <c r="Q18" i="60"/>
  <c r="P18" i="60"/>
  <c r="L18" i="60"/>
  <c r="H18" i="60"/>
  <c r="D18" i="60"/>
  <c r="Q17" i="60"/>
  <c r="P17" i="60"/>
  <c r="O16" i="60"/>
  <c r="N16" i="60"/>
  <c r="N179" i="60" s="1"/>
  <c r="M16" i="60"/>
  <c r="K16" i="60"/>
  <c r="J16" i="60"/>
  <c r="I16" i="60"/>
  <c r="G16" i="60"/>
  <c r="F16" i="60"/>
  <c r="E16" i="60"/>
  <c r="L15" i="60"/>
  <c r="H15" i="60"/>
  <c r="D15" i="60"/>
  <c r="C15" i="60"/>
  <c r="B15" i="60"/>
  <c r="L14" i="60"/>
  <c r="H14" i="60"/>
  <c r="D14" i="60"/>
  <c r="C14" i="60"/>
  <c r="B14" i="60"/>
  <c r="H13" i="60"/>
  <c r="D13" i="60"/>
  <c r="Q12" i="60"/>
  <c r="P12" i="60"/>
  <c r="L12" i="60"/>
  <c r="H12" i="60"/>
  <c r="D12" i="60"/>
  <c r="Q11" i="60"/>
  <c r="P11" i="60"/>
  <c r="L11" i="60"/>
  <c r="H11" i="60"/>
  <c r="D11" i="60"/>
  <c r="Q10" i="60"/>
  <c r="P10" i="60"/>
  <c r="L10" i="60"/>
  <c r="H10" i="60"/>
  <c r="D10" i="60"/>
  <c r="K7" i="60"/>
  <c r="O7" i="60" s="1"/>
  <c r="J7" i="60"/>
  <c r="N7" i="60" s="1"/>
  <c r="I7" i="60"/>
  <c r="M7" i="60" s="1"/>
  <c r="G7" i="60"/>
  <c r="E5" i="123" s="1"/>
  <c r="I5" i="123" s="1"/>
  <c r="M5" i="123" s="1"/>
  <c r="Q5" i="123" s="1"/>
  <c r="F7" i="60"/>
  <c r="D5" i="123" s="1"/>
  <c r="H5" i="123" s="1"/>
  <c r="L5" i="123" s="1"/>
  <c r="P5" i="123" s="1"/>
  <c r="E7" i="60"/>
  <c r="L6" i="60"/>
  <c r="H6" i="60"/>
  <c r="D6" i="60"/>
  <c r="L5" i="60"/>
  <c r="A3" i="60"/>
  <c r="I2" i="60"/>
  <c r="A1" i="60"/>
  <c r="G146" i="105"/>
  <c r="F146" i="105" s="1"/>
  <c r="A146" i="105"/>
  <c r="G145" i="105"/>
  <c r="F145" i="105" s="1"/>
  <c r="A145" i="105"/>
  <c r="A166" i="194" s="1"/>
  <c r="E144" i="105"/>
  <c r="C144" i="105"/>
  <c r="C172" i="232" s="1"/>
  <c r="B144" i="105"/>
  <c r="A144" i="105"/>
  <c r="A165" i="194" s="1"/>
  <c r="C143" i="105"/>
  <c r="C164" i="194" s="1"/>
  <c r="B143" i="105"/>
  <c r="B164" i="194" s="1"/>
  <c r="G142" i="105"/>
  <c r="F142" i="105" s="1"/>
  <c r="A142" i="105"/>
  <c r="A162" i="193" s="1"/>
  <c r="G141" i="105"/>
  <c r="F141" i="105"/>
  <c r="A141" i="105"/>
  <c r="E140" i="105"/>
  <c r="C140" i="105"/>
  <c r="B140" i="105"/>
  <c r="B167" i="232" s="1"/>
  <c r="A140" i="105"/>
  <c r="C139" i="105"/>
  <c r="C159" i="194" s="1"/>
  <c r="B139" i="105"/>
  <c r="B159" i="194" s="1"/>
  <c r="G138" i="105"/>
  <c r="F138" i="105" s="1"/>
  <c r="A138" i="105"/>
  <c r="G137" i="105"/>
  <c r="F137" i="105" s="1"/>
  <c r="A137" i="105"/>
  <c r="A156" i="193" s="1"/>
  <c r="E136" i="105"/>
  <c r="C136" i="105"/>
  <c r="C162" i="232" s="1"/>
  <c r="B136" i="105"/>
  <c r="A136" i="105"/>
  <c r="A162" i="232" s="1"/>
  <c r="C135" i="105"/>
  <c r="C154" i="194" s="1"/>
  <c r="B135" i="105"/>
  <c r="B154" i="194" s="1"/>
  <c r="G134" i="105"/>
  <c r="F134" i="105" s="1"/>
  <c r="A134" i="105"/>
  <c r="A152" i="193" s="1"/>
  <c r="E133" i="105"/>
  <c r="C133" i="105"/>
  <c r="C158" i="232" s="1"/>
  <c r="B133" i="105"/>
  <c r="A133" i="105"/>
  <c r="A158" i="232" s="1"/>
  <c r="E132" i="105"/>
  <c r="C132" i="105"/>
  <c r="C150" i="193" s="1"/>
  <c r="B132" i="105"/>
  <c r="A132" i="105"/>
  <c r="A150" i="193" s="1"/>
  <c r="C131" i="105"/>
  <c r="C149" i="194" s="1"/>
  <c r="B131" i="105"/>
  <c r="B149" i="194" s="1"/>
  <c r="G130" i="105"/>
  <c r="F130" i="105" s="1"/>
  <c r="A130" i="105"/>
  <c r="A154" i="232" s="1"/>
  <c r="G129" i="105"/>
  <c r="F129" i="105" s="1"/>
  <c r="A129" i="105"/>
  <c r="E128" i="105"/>
  <c r="C128" i="105"/>
  <c r="B128" i="105"/>
  <c r="B145" i="193" s="1"/>
  <c r="A128" i="105"/>
  <c r="C127" i="105"/>
  <c r="C144" i="194" s="1"/>
  <c r="B127" i="105"/>
  <c r="B144" i="194" s="1"/>
  <c r="G126" i="105"/>
  <c r="F126" i="105"/>
  <c r="A126" i="105"/>
  <c r="G125" i="105"/>
  <c r="F125" i="105" s="1"/>
  <c r="A125" i="105"/>
  <c r="A148" i="232" s="1"/>
  <c r="E124" i="105"/>
  <c r="C124" i="105"/>
  <c r="C140" i="193" s="1"/>
  <c r="B124" i="105"/>
  <c r="A124" i="105"/>
  <c r="A140" i="193" s="1"/>
  <c r="C123" i="105"/>
  <c r="C139" i="194" s="1"/>
  <c r="B123" i="105"/>
  <c r="B139" i="194" s="1"/>
  <c r="A122" i="105"/>
  <c r="A145" i="232" s="1"/>
  <c r="G121" i="105"/>
  <c r="F121" i="105"/>
  <c r="A121" i="105"/>
  <c r="A137" i="194" s="1"/>
  <c r="G120" i="105"/>
  <c r="F120" i="105"/>
  <c r="A120" i="105"/>
  <c r="A136" i="194" s="1"/>
  <c r="E119" i="105"/>
  <c r="C119" i="105"/>
  <c r="B119" i="105"/>
  <c r="A119" i="105"/>
  <c r="A135" i="194" s="1"/>
  <c r="C118" i="105"/>
  <c r="C134" i="194" s="1"/>
  <c r="B118" i="105"/>
  <c r="B134" i="194" s="1"/>
  <c r="A118" i="105"/>
  <c r="A134" i="194" s="1"/>
  <c r="G117" i="105"/>
  <c r="F117" i="105"/>
  <c r="A117" i="105"/>
  <c r="A132" i="193" s="1"/>
  <c r="E116" i="105"/>
  <c r="C116" i="105"/>
  <c r="B116" i="105"/>
  <c r="A116" i="105"/>
  <c r="E115" i="105"/>
  <c r="C115" i="105"/>
  <c r="C130" i="193" s="1"/>
  <c r="B115" i="105"/>
  <c r="A115" i="105"/>
  <c r="A130" i="193" s="1"/>
  <c r="E114" i="105"/>
  <c r="C114" i="105"/>
  <c r="B114" i="105"/>
  <c r="A114" i="105"/>
  <c r="C113" i="105"/>
  <c r="C128" i="194" s="1"/>
  <c r="B113" i="105"/>
  <c r="B128" i="194" s="1"/>
  <c r="G112" i="105"/>
  <c r="F112" i="105" s="1"/>
  <c r="A112" i="105"/>
  <c r="A126" i="193" s="1"/>
  <c r="E111" i="105"/>
  <c r="C111" i="105"/>
  <c r="C125" i="194" s="1"/>
  <c r="B111" i="105"/>
  <c r="A111" i="105"/>
  <c r="E110" i="105"/>
  <c r="C110" i="105"/>
  <c r="C124" i="194" s="1"/>
  <c r="B110" i="105"/>
  <c r="A110" i="105"/>
  <c r="A124" i="193" s="1"/>
  <c r="E109" i="105"/>
  <c r="C109" i="105"/>
  <c r="B109" i="105"/>
  <c r="A109" i="105"/>
  <c r="C108" i="105"/>
  <c r="C122" i="194" s="1"/>
  <c r="B108" i="105"/>
  <c r="B122" i="194" s="1"/>
  <c r="A107" i="105"/>
  <c r="A127" i="232" s="1"/>
  <c r="G106" i="105"/>
  <c r="F106" i="105" s="1"/>
  <c r="A106" i="105"/>
  <c r="E105" i="105"/>
  <c r="C105" i="105"/>
  <c r="B105" i="105"/>
  <c r="B119" i="193" s="1"/>
  <c r="A105" i="105"/>
  <c r="E104" i="105"/>
  <c r="C104" i="105"/>
  <c r="B104" i="105"/>
  <c r="B123" i="232" s="1"/>
  <c r="A104" i="105"/>
  <c r="E103" i="105"/>
  <c r="C103" i="105"/>
  <c r="B103" i="105"/>
  <c r="B117" i="193" s="1"/>
  <c r="A103" i="105"/>
  <c r="C102" i="105"/>
  <c r="C116" i="194" s="1"/>
  <c r="B102" i="105"/>
  <c r="B116" i="194" s="1"/>
  <c r="G101" i="105"/>
  <c r="F101" i="105" s="1"/>
  <c r="A101" i="105"/>
  <c r="E100" i="105"/>
  <c r="C100" i="105"/>
  <c r="B100" i="105"/>
  <c r="B113" i="193" s="1"/>
  <c r="A100" i="105"/>
  <c r="E99" i="105"/>
  <c r="C99" i="105"/>
  <c r="B99" i="105"/>
  <c r="A99" i="105"/>
  <c r="C98" i="105"/>
  <c r="C111" i="194" s="1"/>
  <c r="B98" i="105"/>
  <c r="B111" i="194" s="1"/>
  <c r="G96" i="105"/>
  <c r="F96" i="105" s="1"/>
  <c r="A96" i="105"/>
  <c r="A113" i="232" s="1"/>
  <c r="G95" i="105"/>
  <c r="F95" i="105" s="1"/>
  <c r="A95" i="105"/>
  <c r="E94" i="105"/>
  <c r="C94" i="105"/>
  <c r="B94" i="105"/>
  <c r="B107" i="193" s="1"/>
  <c r="A94" i="105"/>
  <c r="C93" i="105"/>
  <c r="C106" i="194" s="1"/>
  <c r="B93" i="105"/>
  <c r="B106" i="194" s="1"/>
  <c r="A92" i="105"/>
  <c r="A109" i="232" s="1"/>
  <c r="G91" i="105"/>
  <c r="F91" i="105" s="1"/>
  <c r="A91" i="105"/>
  <c r="A104" i="193" s="1"/>
  <c r="G90" i="105"/>
  <c r="F90" i="105"/>
  <c r="A90" i="105"/>
  <c r="E89" i="105"/>
  <c r="C89" i="105"/>
  <c r="B89" i="105"/>
  <c r="B107" i="60" s="1"/>
  <c r="A89" i="105"/>
  <c r="C88" i="105"/>
  <c r="C101" i="194" s="1"/>
  <c r="B88" i="105"/>
  <c r="B101" i="194" s="1"/>
  <c r="G87" i="105"/>
  <c r="F87" i="105" s="1"/>
  <c r="A87" i="105"/>
  <c r="G86" i="105"/>
  <c r="F86" i="105" s="1"/>
  <c r="A86" i="105"/>
  <c r="A98" i="193" s="1"/>
  <c r="E85" i="105"/>
  <c r="C85" i="105"/>
  <c r="C102" i="60" s="1"/>
  <c r="B85" i="105"/>
  <c r="A85" i="105"/>
  <c r="A102" i="60" s="1"/>
  <c r="C84" i="105"/>
  <c r="C96" i="194" s="1"/>
  <c r="B84" i="105"/>
  <c r="B96" i="194" s="1"/>
  <c r="G83" i="105"/>
  <c r="F83" i="105" s="1"/>
  <c r="A83" i="105"/>
  <c r="A94" i="193" s="1"/>
  <c r="E82" i="105"/>
  <c r="C82" i="105"/>
  <c r="B82" i="105"/>
  <c r="A82" i="105"/>
  <c r="E81" i="105"/>
  <c r="C81" i="105"/>
  <c r="C92" i="193" s="1"/>
  <c r="B81" i="105"/>
  <c r="A81" i="105"/>
  <c r="A92" i="193" s="1"/>
  <c r="C80" i="105"/>
  <c r="C91" i="194" s="1"/>
  <c r="B80" i="105"/>
  <c r="B91" i="194" s="1"/>
  <c r="G79" i="105"/>
  <c r="F79" i="105" s="1"/>
  <c r="A79" i="105"/>
  <c r="A94" i="60" s="1"/>
  <c r="E78" i="105"/>
  <c r="C78" i="105"/>
  <c r="C88" i="193" s="1"/>
  <c r="B78" i="105"/>
  <c r="A78" i="105"/>
  <c r="A88" i="193" s="1"/>
  <c r="E77" i="105"/>
  <c r="C77" i="105"/>
  <c r="C92" i="60" s="1"/>
  <c r="B77" i="105"/>
  <c r="A77" i="105"/>
  <c r="A92" i="60" s="1"/>
  <c r="C76" i="105"/>
  <c r="C86" i="194" s="1"/>
  <c r="B76" i="105"/>
  <c r="B86" i="194" s="1"/>
  <c r="A75" i="105"/>
  <c r="A88" i="232" s="1"/>
  <c r="G74" i="105"/>
  <c r="F74" i="105" s="1"/>
  <c r="A74" i="105"/>
  <c r="E73" i="105"/>
  <c r="C73" i="105"/>
  <c r="B73" i="105"/>
  <c r="B83" i="193" s="1"/>
  <c r="A73" i="105"/>
  <c r="E72" i="105"/>
  <c r="C72" i="105"/>
  <c r="B72" i="105"/>
  <c r="B84" i="232" s="1"/>
  <c r="A72" i="105"/>
  <c r="C71" i="105"/>
  <c r="C81" i="194" s="1"/>
  <c r="B71" i="105"/>
  <c r="B81" i="194" s="1"/>
  <c r="G70" i="105"/>
  <c r="F70" i="105" s="1"/>
  <c r="A70" i="105"/>
  <c r="G69" i="105"/>
  <c r="F69" i="105" s="1"/>
  <c r="A69" i="105"/>
  <c r="A78" i="193" s="1"/>
  <c r="E68" i="105"/>
  <c r="C68" i="105"/>
  <c r="C79" i="232" s="1"/>
  <c r="B68" i="105"/>
  <c r="A68" i="105"/>
  <c r="A79" i="232" s="1"/>
  <c r="C67" i="105"/>
  <c r="C76" i="194" s="1"/>
  <c r="B67" i="105"/>
  <c r="B76" i="194" s="1"/>
  <c r="G66" i="105"/>
  <c r="F66" i="105" s="1"/>
  <c r="A66" i="105"/>
  <c r="A74" i="193" s="1"/>
  <c r="G65" i="105"/>
  <c r="F65" i="105" s="1"/>
  <c r="A65" i="105"/>
  <c r="E64" i="105"/>
  <c r="C64" i="105"/>
  <c r="B64" i="105"/>
  <c r="B74" i="232" s="1"/>
  <c r="A64" i="105"/>
  <c r="C63" i="105"/>
  <c r="C71" i="194" s="1"/>
  <c r="B63" i="105"/>
  <c r="B71" i="194" s="1"/>
  <c r="G62" i="105"/>
  <c r="F62" i="105" s="1"/>
  <c r="A62" i="105"/>
  <c r="G61" i="105"/>
  <c r="F61" i="105" s="1"/>
  <c r="A61" i="105"/>
  <c r="A68" i="193" s="1"/>
  <c r="E60" i="105"/>
  <c r="C60" i="105"/>
  <c r="C69" i="232" s="1"/>
  <c r="B60" i="105"/>
  <c r="A60" i="105"/>
  <c r="A69" i="232" s="1"/>
  <c r="C59" i="105"/>
  <c r="C66" i="194" s="1"/>
  <c r="B59" i="105"/>
  <c r="B66" i="194" s="1"/>
  <c r="G57" i="105"/>
  <c r="F57" i="105"/>
  <c r="A57" i="105"/>
  <c r="E56" i="105"/>
  <c r="C56" i="105"/>
  <c r="C63" i="194" s="1"/>
  <c r="B56" i="105"/>
  <c r="B63" i="193" s="1"/>
  <c r="A56" i="105"/>
  <c r="E55" i="105"/>
  <c r="C55" i="105"/>
  <c r="B55" i="105"/>
  <c r="A55" i="105"/>
  <c r="E54" i="105"/>
  <c r="C54" i="105"/>
  <c r="B54" i="105"/>
  <c r="B61" i="193" s="1"/>
  <c r="A54" i="105"/>
  <c r="C53" i="105"/>
  <c r="C60" i="194" s="1"/>
  <c r="B53" i="105"/>
  <c r="B60" i="194" s="1"/>
  <c r="G52" i="105"/>
  <c r="F52" i="105" s="1"/>
  <c r="A52" i="105"/>
  <c r="E51" i="105"/>
  <c r="C51" i="105"/>
  <c r="B51" i="105"/>
  <c r="B57" i="193" s="1"/>
  <c r="A51" i="105"/>
  <c r="E50" i="105"/>
  <c r="C50" i="105"/>
  <c r="B50" i="105"/>
  <c r="A50" i="105"/>
  <c r="E49" i="105"/>
  <c r="C49" i="105"/>
  <c r="B49" i="105"/>
  <c r="B55" i="193" s="1"/>
  <c r="A49" i="105"/>
  <c r="C48" i="105"/>
  <c r="C54" i="194" s="1"/>
  <c r="B48" i="105"/>
  <c r="B54" i="194" s="1"/>
  <c r="G47" i="105"/>
  <c r="F47" i="105" s="1"/>
  <c r="A47" i="105"/>
  <c r="E46" i="105"/>
  <c r="C46" i="105"/>
  <c r="B46" i="105"/>
  <c r="B51" i="193" s="1"/>
  <c r="A46" i="105"/>
  <c r="E45" i="105"/>
  <c r="C45" i="105"/>
  <c r="B45" i="105"/>
  <c r="A45" i="105"/>
  <c r="E44" i="105"/>
  <c r="C44" i="105"/>
  <c r="B44" i="105"/>
  <c r="B49" i="193" s="1"/>
  <c r="A44" i="105"/>
  <c r="E43" i="105"/>
  <c r="C43" i="105"/>
  <c r="C48" i="194" s="1"/>
  <c r="B43" i="105"/>
  <c r="A43" i="105"/>
  <c r="E42" i="105"/>
  <c r="C42" i="105"/>
  <c r="B42" i="105"/>
  <c r="B47" i="193" s="1"/>
  <c r="A42" i="105"/>
  <c r="C41" i="105"/>
  <c r="C46" i="194" s="1"/>
  <c r="B41" i="105"/>
  <c r="B46" i="194" s="1"/>
  <c r="G40" i="105"/>
  <c r="F40" i="105" s="1"/>
  <c r="A40" i="105"/>
  <c r="E39" i="105"/>
  <c r="C39" i="105"/>
  <c r="B39" i="105"/>
  <c r="B43" i="193" s="1"/>
  <c r="A39" i="105"/>
  <c r="E38" i="105"/>
  <c r="C38" i="105"/>
  <c r="B38" i="105"/>
  <c r="B44" i="232" s="1"/>
  <c r="A38" i="105"/>
  <c r="E37" i="105"/>
  <c r="C37" i="105"/>
  <c r="C41" i="194" s="1"/>
  <c r="B37" i="105"/>
  <c r="B41" i="193" s="1"/>
  <c r="A37" i="105"/>
  <c r="E36" i="105"/>
  <c r="C36" i="105"/>
  <c r="B36" i="105"/>
  <c r="B42" i="232" s="1"/>
  <c r="A36" i="105"/>
  <c r="E35" i="105"/>
  <c r="C35" i="105"/>
  <c r="B35" i="105"/>
  <c r="B39" i="193" s="1"/>
  <c r="A35" i="105"/>
  <c r="C34" i="105"/>
  <c r="C38" i="194" s="1"/>
  <c r="B34" i="105"/>
  <c r="B38" i="194" s="1"/>
  <c r="G32" i="105"/>
  <c r="F32" i="105" s="1"/>
  <c r="A32" i="105"/>
  <c r="A37" i="232" s="1"/>
  <c r="E31" i="105"/>
  <c r="C31" i="105"/>
  <c r="C35" i="194" s="1"/>
  <c r="B31" i="105"/>
  <c r="A31" i="105"/>
  <c r="A35" i="193" s="1"/>
  <c r="E30" i="105"/>
  <c r="C30" i="105"/>
  <c r="C35" i="232" s="1"/>
  <c r="B30" i="105"/>
  <c r="A30" i="105"/>
  <c r="A35" i="232" s="1"/>
  <c r="C29" i="105"/>
  <c r="C33" i="194" s="1"/>
  <c r="B29" i="105"/>
  <c r="B33" i="194" s="1"/>
  <c r="G28" i="105"/>
  <c r="F28" i="105" s="1"/>
  <c r="A28" i="105"/>
  <c r="A31" i="193" s="1"/>
  <c r="G27" i="105"/>
  <c r="F27" i="105" s="1"/>
  <c r="A27" i="105"/>
  <c r="E26" i="105"/>
  <c r="C26" i="105"/>
  <c r="B26" i="105"/>
  <c r="B30" i="232" s="1"/>
  <c r="A26" i="105"/>
  <c r="C25" i="105"/>
  <c r="C28" i="194" s="1"/>
  <c r="B25" i="105"/>
  <c r="B28" i="194" s="1"/>
  <c r="G24" i="105"/>
  <c r="F24" i="105" s="1"/>
  <c r="A24" i="105"/>
  <c r="G23" i="105"/>
  <c r="F23" i="105" s="1"/>
  <c r="A23" i="105"/>
  <c r="A7" i="200" s="1"/>
  <c r="E22" i="105"/>
  <c r="C22" i="105"/>
  <c r="C25" i="232" s="1"/>
  <c r="B22" i="105"/>
  <c r="A22" i="105"/>
  <c r="A25" i="232" s="1"/>
  <c r="C21" i="105"/>
  <c r="C24" i="232" s="1"/>
  <c r="B21" i="105"/>
  <c r="B23" i="194" s="1"/>
  <c r="A27" i="194" s="1"/>
  <c r="A32" i="194" s="1"/>
  <c r="A20" i="105"/>
  <c r="A23" i="232" s="1"/>
  <c r="G19" i="105"/>
  <c r="F19" i="105" s="1"/>
  <c r="A19" i="105"/>
  <c r="A10" i="199" s="1"/>
  <c r="E18" i="105"/>
  <c r="C18" i="105"/>
  <c r="B18" i="105"/>
  <c r="A18" i="105"/>
  <c r="E17" i="105"/>
  <c r="C17" i="105"/>
  <c r="C19" i="193" s="1"/>
  <c r="B17" i="105"/>
  <c r="A17" i="105"/>
  <c r="A8" i="199" s="1"/>
  <c r="E16" i="105"/>
  <c r="C16" i="105"/>
  <c r="C18" i="194" s="1"/>
  <c r="B16" i="105"/>
  <c r="A107" i="199" s="1"/>
  <c r="A16" i="105"/>
  <c r="E15" i="105"/>
  <c r="C15" i="105"/>
  <c r="C17" i="194" s="1"/>
  <c r="B15" i="105"/>
  <c r="A15" i="105"/>
  <c r="A6" i="199" s="1"/>
  <c r="C14" i="105"/>
  <c r="C16" i="194" s="1"/>
  <c r="B14" i="105"/>
  <c r="B17" i="60" s="1"/>
  <c r="G13" i="105"/>
  <c r="F13" i="105" s="1"/>
  <c r="A13" i="105"/>
  <c r="G12" i="105"/>
  <c r="F12" i="105" s="1"/>
  <c r="A12" i="105"/>
  <c r="A10" i="198" s="1"/>
  <c r="E11" i="105"/>
  <c r="C11" i="105"/>
  <c r="B11" i="105"/>
  <c r="B12" i="193" s="1"/>
  <c r="A11" i="105"/>
  <c r="E10" i="105"/>
  <c r="C10" i="105"/>
  <c r="B10" i="105"/>
  <c r="A10" i="105"/>
  <c r="A8" i="198" s="1"/>
  <c r="E9" i="105"/>
  <c r="C9" i="105"/>
  <c r="B9" i="105"/>
  <c r="B10" i="194" s="1"/>
  <c r="A9" i="105"/>
  <c r="E8" i="105"/>
  <c r="D8" i="105"/>
  <c r="D140" i="105" s="1"/>
  <c r="C8" i="105"/>
  <c r="B8" i="105"/>
  <c r="A8" i="105"/>
  <c r="A6" i="198" s="1"/>
  <c r="C7" i="105"/>
  <c r="C8" i="194" s="1"/>
  <c r="B7" i="105"/>
  <c r="B8" i="194" s="1"/>
  <c r="A6" i="105"/>
  <c r="A7" i="232" s="1"/>
  <c r="E5" i="105"/>
  <c r="D5" i="105"/>
  <c r="C5" i="105"/>
  <c r="A3" i="105"/>
  <c r="A1" i="105"/>
  <c r="H35" i="30"/>
  <c r="G35" i="30"/>
  <c r="F35" i="30"/>
  <c r="E35" i="30"/>
  <c r="B34" i="30"/>
  <c r="B469" i="45" s="1"/>
  <c r="A34" i="30"/>
  <c r="A469" i="45" s="1"/>
  <c r="B33" i="30"/>
  <c r="A33" i="30"/>
  <c r="B32" i="30"/>
  <c r="A32" i="30"/>
  <c r="A135" i="105" s="1"/>
  <c r="B31" i="30"/>
  <c r="A31" i="30"/>
  <c r="A131" i="105" s="1"/>
  <c r="B30" i="30"/>
  <c r="A30" i="30"/>
  <c r="B29" i="30"/>
  <c r="A29" i="30"/>
  <c r="A123" i="105" s="1"/>
  <c r="B28" i="30"/>
  <c r="A28" i="30"/>
  <c r="A113" i="105" s="1"/>
  <c r="B27" i="30"/>
  <c r="A27" i="30"/>
  <c r="A108" i="105" s="1"/>
  <c r="B26" i="30"/>
  <c r="A26" i="30"/>
  <c r="B25" i="30"/>
  <c r="A25" i="30"/>
  <c r="B24" i="30"/>
  <c r="A24" i="30"/>
  <c r="B23" i="30"/>
  <c r="A23" i="30"/>
  <c r="B22" i="30"/>
  <c r="A22" i="30"/>
  <c r="A84" i="105" s="1"/>
  <c r="B21" i="30"/>
  <c r="A21" i="30"/>
  <c r="A80" i="105" s="1"/>
  <c r="B20" i="30"/>
  <c r="A20" i="30"/>
  <c r="A76" i="105" s="1"/>
  <c r="B19" i="30"/>
  <c r="A19" i="30"/>
  <c r="B18" i="30"/>
  <c r="A18" i="30"/>
  <c r="A67" i="105" s="1"/>
  <c r="B17" i="30"/>
  <c r="A17" i="30"/>
  <c r="B16" i="30"/>
  <c r="A16" i="30"/>
  <c r="A59" i="105" s="1"/>
  <c r="B15" i="30"/>
  <c r="A15" i="30"/>
  <c r="B14" i="30"/>
  <c r="A14" i="30"/>
  <c r="B13" i="30"/>
  <c r="A13" i="30"/>
  <c r="B12" i="30"/>
  <c r="A12" i="30"/>
  <c r="B11" i="30"/>
  <c r="A11" i="30"/>
  <c r="A29" i="105" s="1"/>
  <c r="B10" i="30"/>
  <c r="A10" i="30"/>
  <c r="B9" i="30"/>
  <c r="A9" i="30"/>
  <c r="A21" i="105" s="1"/>
  <c r="B8" i="30"/>
  <c r="A8" i="30"/>
  <c r="A14" i="105" s="1"/>
  <c r="B7" i="30"/>
  <c r="A7" i="30"/>
  <c r="H6" i="30"/>
  <c r="G6" i="30"/>
  <c r="F6" i="30"/>
  <c r="E6" i="30"/>
  <c r="E5" i="30"/>
  <c r="D5" i="30"/>
  <c r="C5" i="30"/>
  <c r="B5" i="30"/>
  <c r="A5" i="30"/>
  <c r="A3" i="30"/>
  <c r="A1" i="30"/>
  <c r="A23" i="35"/>
  <c r="A21" i="35"/>
  <c r="A20" i="35"/>
  <c r="A19" i="35"/>
  <c r="A18" i="35"/>
  <c r="A17" i="35"/>
  <c r="A16" i="35"/>
  <c r="A15" i="35"/>
  <c r="A14" i="35"/>
  <c r="A13" i="35"/>
  <c r="A12" i="35"/>
  <c r="A10" i="35"/>
  <c r="A9" i="35"/>
  <c r="F6" i="194" s="1"/>
  <c r="B8" i="35"/>
  <c r="A8" i="35"/>
  <c r="C6" i="45" s="1"/>
  <c r="A7" i="35"/>
  <c r="D6" i="194" s="1"/>
  <c r="B6" i="35"/>
  <c r="C16" i="208" s="1"/>
  <c r="A6" i="35"/>
  <c r="B5" i="35"/>
  <c r="B16" i="210" s="1"/>
  <c r="A5" i="35"/>
  <c r="A3" i="35"/>
  <c r="A1" i="35"/>
  <c r="A44" i="54"/>
  <c r="E6" i="45" s="1"/>
  <c r="A43" i="54"/>
  <c r="D6" i="45" s="1"/>
  <c r="B42" i="54"/>
  <c r="F4" i="241" s="1"/>
  <c r="A42" i="54"/>
  <c r="B41" i="54"/>
  <c r="E4" i="241" s="1"/>
  <c r="A41" i="54"/>
  <c r="B40" i="54"/>
  <c r="D4" i="241" s="1"/>
  <c r="A40" i="54"/>
  <c r="B39" i="54"/>
  <c r="C4" i="241" s="1"/>
  <c r="A39" i="54"/>
  <c r="A38" i="54"/>
  <c r="A22" i="54"/>
  <c r="A20" i="54"/>
  <c r="E4" i="54"/>
  <c r="D4" i="54"/>
  <c r="D3" i="54"/>
  <c r="D2" i="54"/>
  <c r="D1" i="54"/>
  <c r="O23" i="228" l="1"/>
  <c r="M367" i="45"/>
  <c r="I199" i="45"/>
  <c r="M223" i="45"/>
  <c r="O301" i="45"/>
  <c r="C460" i="45"/>
  <c r="E472" i="45"/>
  <c r="F404" i="45"/>
  <c r="I404" i="45" s="1"/>
  <c r="L404" i="45" s="1"/>
  <c r="O404" i="45" s="1"/>
  <c r="R404" i="45" s="1"/>
  <c r="L457" i="45"/>
  <c r="M445" i="45"/>
  <c r="F461" i="45"/>
  <c r="I461" i="45" s="1"/>
  <c r="L461" i="45" s="1"/>
  <c r="O461" i="45" s="1"/>
  <c r="R461" i="45" s="1"/>
  <c r="I469" i="45"/>
  <c r="E21" i="233"/>
  <c r="D54" i="239"/>
  <c r="G114" i="232"/>
  <c r="F139" i="199"/>
  <c r="F141" i="199" s="1"/>
  <c r="D138" i="199"/>
  <c r="D177" i="199"/>
  <c r="E178" i="199"/>
  <c r="P172" i="60"/>
  <c r="H172" i="60"/>
  <c r="F20" i="233"/>
  <c r="E52" i="239"/>
  <c r="H108" i="232"/>
  <c r="F180" i="199"/>
  <c r="M12" i="113" s="1"/>
  <c r="S12" i="123" s="1"/>
  <c r="F170" i="194"/>
  <c r="A473" i="45"/>
  <c r="A23" i="45"/>
  <c r="E139" i="198"/>
  <c r="D138" i="198"/>
  <c r="D294" i="198"/>
  <c r="E295" i="198"/>
  <c r="E100" i="199"/>
  <c r="E102" i="199" s="1"/>
  <c r="I11" i="113" s="1"/>
  <c r="O11" i="123" s="1"/>
  <c r="E45" i="199"/>
  <c r="D99" i="199"/>
  <c r="T36" i="45"/>
  <c r="F297" i="198"/>
  <c r="G100" i="199"/>
  <c r="T60" i="45"/>
  <c r="M62" i="199"/>
  <c r="G105" i="199"/>
  <c r="G222" i="199" s="1"/>
  <c r="O105" i="199"/>
  <c r="O222" i="199" s="1"/>
  <c r="D108" i="199"/>
  <c r="D225" i="199" s="1"/>
  <c r="N108" i="199"/>
  <c r="N225" i="199" s="1"/>
  <c r="E100" i="200"/>
  <c r="D99" i="200"/>
  <c r="E45" i="200"/>
  <c r="E177" i="202"/>
  <c r="D89" i="60"/>
  <c r="Q157" i="60"/>
  <c r="D9" i="233"/>
  <c r="C18" i="239"/>
  <c r="E54" i="239"/>
  <c r="F21" i="233"/>
  <c r="S72" i="45"/>
  <c r="T222" i="45"/>
  <c r="F336" i="45"/>
  <c r="I336" i="45" s="1"/>
  <c r="L336" i="45" s="1"/>
  <c r="O336" i="45" s="1"/>
  <c r="R336" i="45" s="1"/>
  <c r="H105" i="198"/>
  <c r="H261" i="198" s="1"/>
  <c r="E108" i="198"/>
  <c r="E264" i="198" s="1"/>
  <c r="O108" i="198"/>
  <c r="O264" i="198" s="1"/>
  <c r="C114" i="198"/>
  <c r="C270" i="198" s="1"/>
  <c r="D116" i="198"/>
  <c r="D272" i="198" s="1"/>
  <c r="D120" i="198"/>
  <c r="D276" i="198" s="1"/>
  <c r="D124" i="198"/>
  <c r="D280" i="198" s="1"/>
  <c r="O125" i="198"/>
  <c r="O281" i="198" s="1"/>
  <c r="J126" i="198"/>
  <c r="J282" i="198" s="1"/>
  <c r="D127" i="198"/>
  <c r="D283" i="198" s="1"/>
  <c r="C130" i="198"/>
  <c r="C286" i="198" s="1"/>
  <c r="C134" i="198"/>
  <c r="C290" i="198" s="1"/>
  <c r="C138" i="198"/>
  <c r="C294" i="198" s="1"/>
  <c r="E141" i="198"/>
  <c r="I8" i="113" s="1"/>
  <c r="O8" i="123" s="1"/>
  <c r="H144" i="198"/>
  <c r="E147" i="198"/>
  <c r="O147" i="198"/>
  <c r="C152" i="198"/>
  <c r="E153" i="198"/>
  <c r="D156" i="198"/>
  <c r="D160" i="198"/>
  <c r="D164" i="198"/>
  <c r="C165" i="198"/>
  <c r="L165" i="198"/>
  <c r="F166" i="198"/>
  <c r="C170" i="198"/>
  <c r="C174" i="198"/>
  <c r="E177" i="198"/>
  <c r="G180" i="198"/>
  <c r="J183" i="198"/>
  <c r="G186" i="198"/>
  <c r="E191" i="198"/>
  <c r="G192" i="198"/>
  <c r="D196" i="198"/>
  <c r="D200" i="198"/>
  <c r="K203" i="198"/>
  <c r="N204" i="198"/>
  <c r="C206" i="198"/>
  <c r="C210" i="198"/>
  <c r="C214" i="198"/>
  <c r="C222" i="198"/>
  <c r="K222" i="198"/>
  <c r="G225" i="198"/>
  <c r="E230" i="198"/>
  <c r="G231" i="198"/>
  <c r="D235" i="198"/>
  <c r="D239" i="198"/>
  <c r="K242" i="198"/>
  <c r="N243" i="198"/>
  <c r="C245" i="198"/>
  <c r="C249" i="198"/>
  <c r="C253" i="198"/>
  <c r="O56" i="199"/>
  <c r="N62" i="199"/>
  <c r="H105" i="199"/>
  <c r="H222" i="199" s="1"/>
  <c r="E108" i="199"/>
  <c r="E225" i="199" s="1"/>
  <c r="O108" i="199"/>
  <c r="O225" i="199" s="1"/>
  <c r="E152" i="199"/>
  <c r="G153" i="199"/>
  <c r="D157" i="199"/>
  <c r="D161" i="199"/>
  <c r="K164" i="199"/>
  <c r="N165" i="199"/>
  <c r="C167" i="199"/>
  <c r="C171" i="199"/>
  <c r="C175" i="199"/>
  <c r="D183" i="199"/>
  <c r="L183" i="199"/>
  <c r="K186" i="199"/>
  <c r="G191" i="199"/>
  <c r="D193" i="199"/>
  <c r="D197" i="199"/>
  <c r="D201" i="199"/>
  <c r="M203" i="199"/>
  <c r="B205" i="199"/>
  <c r="C207" i="199"/>
  <c r="C211" i="199"/>
  <c r="C215" i="199"/>
  <c r="F100" i="200"/>
  <c r="F46" i="200" s="1"/>
  <c r="F45" i="200"/>
  <c r="K126" i="200"/>
  <c r="D138" i="200"/>
  <c r="C165" i="200"/>
  <c r="J147" i="201"/>
  <c r="J108" i="201"/>
  <c r="D170" i="201"/>
  <c r="D131" i="201"/>
  <c r="D174" i="201"/>
  <c r="D135" i="201"/>
  <c r="C105" i="201"/>
  <c r="D113" i="201"/>
  <c r="J125" i="201"/>
  <c r="G127" i="201"/>
  <c r="G180" i="201"/>
  <c r="G177" i="201"/>
  <c r="G178" i="201" s="1"/>
  <c r="G33" i="201"/>
  <c r="E33" i="202"/>
  <c r="E138" i="202"/>
  <c r="D39" i="60"/>
  <c r="P79" i="60"/>
  <c r="D116" i="60"/>
  <c r="Q177" i="60"/>
  <c r="E9" i="233"/>
  <c r="D18" i="239"/>
  <c r="C32" i="239"/>
  <c r="D12" i="233"/>
  <c r="E88" i="98"/>
  <c r="M199" i="45"/>
  <c r="I223" i="45"/>
  <c r="O331" i="45"/>
  <c r="N367" i="45"/>
  <c r="N445" i="45"/>
  <c r="F33" i="198"/>
  <c r="I105" i="198"/>
  <c r="I261" i="198" s="1"/>
  <c r="F108" i="198"/>
  <c r="F264" i="198" s="1"/>
  <c r="B113" i="198"/>
  <c r="B269" i="198" s="1"/>
  <c r="D114" i="198"/>
  <c r="D270" i="198" s="1"/>
  <c r="C117" i="198"/>
  <c r="C273" i="198" s="1"/>
  <c r="C121" i="198"/>
  <c r="C277" i="198" s="1"/>
  <c r="C125" i="198"/>
  <c r="C281" i="198" s="1"/>
  <c r="B126" i="198"/>
  <c r="B282" i="198" s="1"/>
  <c r="K126" i="198"/>
  <c r="K282" i="198" s="1"/>
  <c r="E127" i="198"/>
  <c r="E283" i="198" s="1"/>
  <c r="D130" i="198"/>
  <c r="D286" i="198" s="1"/>
  <c r="D134" i="198"/>
  <c r="D290" i="198" s="1"/>
  <c r="F141" i="198"/>
  <c r="M8" i="113" s="1"/>
  <c r="S8" i="123" s="1"/>
  <c r="I144" i="198"/>
  <c r="D152" i="198"/>
  <c r="F153" i="198"/>
  <c r="C157" i="198"/>
  <c r="C161" i="198"/>
  <c r="J164" i="198"/>
  <c r="D165" i="198"/>
  <c r="M165" i="198"/>
  <c r="G166" i="198"/>
  <c r="D170" i="198"/>
  <c r="D174" i="198"/>
  <c r="C183" i="198"/>
  <c r="K183" i="198"/>
  <c r="J186" i="198"/>
  <c r="F191" i="198"/>
  <c r="C193" i="198"/>
  <c r="C197" i="198"/>
  <c r="C201" i="198"/>
  <c r="L203" i="198"/>
  <c r="O204" i="198"/>
  <c r="D206" i="198"/>
  <c r="D210" i="198"/>
  <c r="D214" i="198"/>
  <c r="D222" i="198"/>
  <c r="L222" i="198"/>
  <c r="J225" i="198"/>
  <c r="F230" i="198"/>
  <c r="C232" i="198"/>
  <c r="C236" i="198"/>
  <c r="C240" i="198"/>
  <c r="L242" i="198"/>
  <c r="O243" i="198"/>
  <c r="D245" i="198"/>
  <c r="D249" i="198"/>
  <c r="D253" i="198"/>
  <c r="P10" i="113"/>
  <c r="O62" i="199"/>
  <c r="I105" i="199"/>
  <c r="I222" i="199" s="1"/>
  <c r="F108" i="199"/>
  <c r="F225" i="199" s="1"/>
  <c r="D113" i="199"/>
  <c r="D230" i="199" s="1"/>
  <c r="F114" i="199"/>
  <c r="F231" i="199" s="1"/>
  <c r="C118" i="199"/>
  <c r="C235" i="199" s="1"/>
  <c r="C122" i="199"/>
  <c r="C239" i="199" s="1"/>
  <c r="J125" i="199"/>
  <c r="J242" i="199" s="1"/>
  <c r="D126" i="199"/>
  <c r="D243" i="199" s="1"/>
  <c r="M126" i="199"/>
  <c r="M243" i="199" s="1"/>
  <c r="G127" i="199"/>
  <c r="G244" i="199" s="1"/>
  <c r="D131" i="199"/>
  <c r="D248" i="199" s="1"/>
  <c r="D135" i="199"/>
  <c r="D252" i="199" s="1"/>
  <c r="C144" i="199"/>
  <c r="K144" i="199"/>
  <c r="J147" i="199"/>
  <c r="E183" i="199"/>
  <c r="M183" i="199"/>
  <c r="B186" i="199"/>
  <c r="L186" i="199"/>
  <c r="B192" i="199"/>
  <c r="C194" i="199"/>
  <c r="C198" i="199"/>
  <c r="C202" i="199"/>
  <c r="N203" i="199"/>
  <c r="I204" i="199"/>
  <c r="C205" i="199"/>
  <c r="D207" i="199"/>
  <c r="D211" i="199"/>
  <c r="D215" i="199"/>
  <c r="N59" i="200"/>
  <c r="G45" i="200"/>
  <c r="M108" i="200"/>
  <c r="C125" i="200"/>
  <c r="D144" i="201"/>
  <c r="D105" i="201"/>
  <c r="L144" i="201"/>
  <c r="L105" i="201"/>
  <c r="K147" i="201"/>
  <c r="K108" i="201"/>
  <c r="E99" i="201"/>
  <c r="E100" i="201" s="1"/>
  <c r="E33" i="201"/>
  <c r="C132" i="201"/>
  <c r="C171" i="201"/>
  <c r="C136" i="201"/>
  <c r="C175" i="201"/>
  <c r="E113" i="201"/>
  <c r="K125" i="201"/>
  <c r="C128" i="201"/>
  <c r="G179" i="60"/>
  <c r="Q84" i="60"/>
  <c r="D5" i="233"/>
  <c r="C8" i="239"/>
  <c r="F9" i="233"/>
  <c r="E18" i="239"/>
  <c r="E12" i="233"/>
  <c r="D32" i="239"/>
  <c r="D13" i="233"/>
  <c r="C35" i="239"/>
  <c r="D26" i="233"/>
  <c r="C69" i="239"/>
  <c r="C73" i="239"/>
  <c r="D28" i="233"/>
  <c r="D170" i="194"/>
  <c r="G412" i="45"/>
  <c r="J412" i="45" s="1"/>
  <c r="M412" i="45" s="1"/>
  <c r="P412" i="45" s="1"/>
  <c r="O445" i="45"/>
  <c r="M469" i="45"/>
  <c r="J105" i="198"/>
  <c r="J261" i="198" s="1"/>
  <c r="G108" i="198"/>
  <c r="G264" i="198" s="1"/>
  <c r="C113" i="198"/>
  <c r="C269" i="198" s="1"/>
  <c r="E114" i="198"/>
  <c r="E270" i="198" s="1"/>
  <c r="D117" i="198"/>
  <c r="D273" i="198" s="1"/>
  <c r="D121" i="198"/>
  <c r="D277" i="198" s="1"/>
  <c r="D125" i="198"/>
  <c r="D281" i="198" s="1"/>
  <c r="C126" i="198"/>
  <c r="C282" i="198" s="1"/>
  <c r="L126" i="198"/>
  <c r="L282" i="198" s="1"/>
  <c r="F127" i="198"/>
  <c r="F283" i="198" s="1"/>
  <c r="C131" i="198"/>
  <c r="C287" i="198" s="1"/>
  <c r="C135" i="198"/>
  <c r="C291" i="198" s="1"/>
  <c r="G141" i="198"/>
  <c r="Q8" i="113" s="1"/>
  <c r="W8" i="123" s="1"/>
  <c r="E152" i="198"/>
  <c r="G153" i="198"/>
  <c r="D157" i="198"/>
  <c r="D161" i="198"/>
  <c r="K164" i="198"/>
  <c r="N165" i="198"/>
  <c r="C167" i="198"/>
  <c r="C171" i="198"/>
  <c r="C175" i="198"/>
  <c r="D183" i="198"/>
  <c r="L183" i="198"/>
  <c r="K186" i="198"/>
  <c r="G191" i="198"/>
  <c r="D193" i="198"/>
  <c r="D197" i="198"/>
  <c r="D201" i="198"/>
  <c r="M203" i="198"/>
  <c r="B205" i="198"/>
  <c r="C207" i="198"/>
  <c r="C211" i="198"/>
  <c r="C215" i="198"/>
  <c r="E222" i="198"/>
  <c r="M222" i="198"/>
  <c r="K225" i="198"/>
  <c r="G230" i="198"/>
  <c r="D232" i="198"/>
  <c r="D236" i="198"/>
  <c r="D240" i="198"/>
  <c r="M242" i="198"/>
  <c r="B244" i="198"/>
  <c r="C246" i="198"/>
  <c r="C250" i="198"/>
  <c r="C254" i="198"/>
  <c r="F256" i="198"/>
  <c r="F258" i="198" s="1"/>
  <c r="G102" i="199"/>
  <c r="J105" i="199"/>
  <c r="J222" i="199" s="1"/>
  <c r="G108" i="199"/>
  <c r="G225" i="199" s="1"/>
  <c r="E113" i="199"/>
  <c r="E230" i="199" s="1"/>
  <c r="G114" i="199"/>
  <c r="G231" i="199" s="1"/>
  <c r="D118" i="199"/>
  <c r="D235" i="199" s="1"/>
  <c r="D122" i="199"/>
  <c r="D239" i="199" s="1"/>
  <c r="K125" i="199"/>
  <c r="K242" i="199" s="1"/>
  <c r="N126" i="199"/>
  <c r="N243" i="199" s="1"/>
  <c r="C128" i="199"/>
  <c r="C245" i="199" s="1"/>
  <c r="C132" i="199"/>
  <c r="C249" i="199" s="1"/>
  <c r="C136" i="199"/>
  <c r="C253" i="199" s="1"/>
  <c r="D144" i="199"/>
  <c r="L144" i="199"/>
  <c r="K147" i="199"/>
  <c r="G152" i="199"/>
  <c r="D154" i="199"/>
  <c r="D158" i="199"/>
  <c r="D162" i="199"/>
  <c r="M164" i="199"/>
  <c r="B166" i="199"/>
  <c r="C168" i="199"/>
  <c r="C172" i="199"/>
  <c r="C176" i="199"/>
  <c r="F183" i="199"/>
  <c r="N183" i="199"/>
  <c r="C186" i="199"/>
  <c r="M186" i="199"/>
  <c r="C192" i="199"/>
  <c r="D194" i="199"/>
  <c r="D198" i="199"/>
  <c r="D202" i="199"/>
  <c r="O203" i="199"/>
  <c r="J204" i="199"/>
  <c r="D205" i="199"/>
  <c r="C208" i="199"/>
  <c r="C212" i="199"/>
  <c r="C216" i="199"/>
  <c r="F255" i="199"/>
  <c r="F256" i="199" s="1"/>
  <c r="F258" i="199" s="1"/>
  <c r="D129" i="200"/>
  <c r="D168" i="200"/>
  <c r="D133" i="200"/>
  <c r="D172" i="200"/>
  <c r="D137" i="200"/>
  <c r="D176" i="200"/>
  <c r="E127" i="200"/>
  <c r="F114" i="201"/>
  <c r="D126" i="201"/>
  <c r="E100" i="202"/>
  <c r="E45" i="202"/>
  <c r="D99" i="202"/>
  <c r="Q172" i="60"/>
  <c r="D177" i="60"/>
  <c r="E5" i="233"/>
  <c r="D8" i="239"/>
  <c r="C12" i="239"/>
  <c r="D6" i="233"/>
  <c r="D8" i="233"/>
  <c r="C16" i="239"/>
  <c r="F12" i="233"/>
  <c r="E32" i="239"/>
  <c r="D35" i="239"/>
  <c r="E13" i="233"/>
  <c r="C37" i="239"/>
  <c r="D14" i="233"/>
  <c r="C41" i="239"/>
  <c r="D16" i="233"/>
  <c r="E26" i="233"/>
  <c r="D69" i="239"/>
  <c r="D27" i="233"/>
  <c r="C71" i="239"/>
  <c r="D73" i="239"/>
  <c r="E28" i="233"/>
  <c r="C76" i="239"/>
  <c r="D29" i="233"/>
  <c r="C12" i="45"/>
  <c r="O199" i="45"/>
  <c r="N223" i="45"/>
  <c r="S294" i="45"/>
  <c r="M38" i="228"/>
  <c r="C105" i="198"/>
  <c r="C261" i="198" s="1"/>
  <c r="K105" i="198"/>
  <c r="K261" i="198" s="1"/>
  <c r="J108" i="198"/>
  <c r="J264" i="198" s="1"/>
  <c r="F152" i="198"/>
  <c r="C154" i="198"/>
  <c r="C158" i="198"/>
  <c r="C162" i="198"/>
  <c r="L164" i="198"/>
  <c r="O165" i="198"/>
  <c r="D167" i="198"/>
  <c r="D171" i="198"/>
  <c r="D175" i="198"/>
  <c r="E183" i="198"/>
  <c r="M183" i="198"/>
  <c r="B186" i="198"/>
  <c r="L186" i="198"/>
  <c r="B192" i="198"/>
  <c r="C194" i="198"/>
  <c r="C198" i="198"/>
  <c r="C202" i="198"/>
  <c r="N203" i="198"/>
  <c r="I204" i="198"/>
  <c r="C205" i="198"/>
  <c r="D207" i="198"/>
  <c r="D211" i="198"/>
  <c r="D215" i="198"/>
  <c r="F222" i="198"/>
  <c r="N222" i="198"/>
  <c r="B225" i="198"/>
  <c r="L225" i="198"/>
  <c r="B231" i="198"/>
  <c r="C233" i="198"/>
  <c r="C237" i="198"/>
  <c r="C241" i="198"/>
  <c r="N242" i="198"/>
  <c r="I243" i="198"/>
  <c r="C244" i="198"/>
  <c r="D246" i="198"/>
  <c r="D250" i="198"/>
  <c r="D254" i="198"/>
  <c r="E297" i="198"/>
  <c r="B153" i="199"/>
  <c r="C155" i="199"/>
  <c r="C159" i="199"/>
  <c r="C163" i="199"/>
  <c r="N164" i="199"/>
  <c r="I165" i="199"/>
  <c r="C166" i="199"/>
  <c r="D168" i="199"/>
  <c r="D172" i="199"/>
  <c r="D176" i="199"/>
  <c r="G183" i="199"/>
  <c r="O183" i="199"/>
  <c r="D186" i="199"/>
  <c r="N186" i="199"/>
  <c r="B191" i="199"/>
  <c r="D192" i="199"/>
  <c r="C195" i="199"/>
  <c r="C199" i="199"/>
  <c r="C203" i="199"/>
  <c r="B204" i="199"/>
  <c r="K204" i="199"/>
  <c r="E205" i="199"/>
  <c r="D208" i="199"/>
  <c r="D212" i="199"/>
  <c r="G255" i="199"/>
  <c r="G256" i="199" s="1"/>
  <c r="G258" i="199"/>
  <c r="C130" i="200"/>
  <c r="E138" i="201"/>
  <c r="J144" i="202"/>
  <c r="J105" i="202"/>
  <c r="G108" i="202"/>
  <c r="G147" i="202"/>
  <c r="C113" i="202"/>
  <c r="C152" i="202"/>
  <c r="E114" i="202"/>
  <c r="E153" i="202"/>
  <c r="D117" i="202"/>
  <c r="D156" i="202"/>
  <c r="D121" i="202"/>
  <c r="D160" i="202"/>
  <c r="D125" i="202"/>
  <c r="D164" i="202"/>
  <c r="C126" i="202"/>
  <c r="C165" i="202"/>
  <c r="L126" i="202"/>
  <c r="L165" i="202"/>
  <c r="F127" i="202"/>
  <c r="F166" i="202"/>
  <c r="C131" i="202"/>
  <c r="C170" i="202"/>
  <c r="C135" i="202"/>
  <c r="C174" i="202"/>
  <c r="F102" i="202"/>
  <c r="D128" i="60"/>
  <c r="L146" i="60"/>
  <c r="F5" i="233"/>
  <c r="E8" i="239"/>
  <c r="E6" i="233"/>
  <c r="D12" i="239"/>
  <c r="C14" i="239"/>
  <c r="D7" i="233"/>
  <c r="E8" i="233"/>
  <c r="D16" i="239"/>
  <c r="E35" i="239"/>
  <c r="F13" i="233"/>
  <c r="D37" i="239"/>
  <c r="E14" i="233"/>
  <c r="D15" i="233"/>
  <c r="C39" i="239"/>
  <c r="D41" i="239"/>
  <c r="E16" i="233"/>
  <c r="F26" i="233"/>
  <c r="E69" i="239"/>
  <c r="E27" i="233"/>
  <c r="D71" i="239"/>
  <c r="F28" i="233"/>
  <c r="E73" i="239"/>
  <c r="E29" i="233"/>
  <c r="D76" i="239"/>
  <c r="D30" i="233"/>
  <c r="C78" i="239"/>
  <c r="D12" i="45"/>
  <c r="S90" i="45"/>
  <c r="S96" i="45"/>
  <c r="N145" i="45"/>
  <c r="H156" i="45"/>
  <c r="K156" i="45" s="1"/>
  <c r="N156" i="45" s="1"/>
  <c r="Q156" i="45" s="1"/>
  <c r="O223" i="45"/>
  <c r="O241" i="45"/>
  <c r="K301" i="45"/>
  <c r="F360" i="45"/>
  <c r="I360" i="45" s="1"/>
  <c r="L360" i="45" s="1"/>
  <c r="O360" i="45" s="1"/>
  <c r="R360" i="45" s="1"/>
  <c r="O469" i="45"/>
  <c r="D105" i="198"/>
  <c r="D261" i="198" s="1"/>
  <c r="L105" i="198"/>
  <c r="L261" i="198" s="1"/>
  <c r="K108" i="198"/>
  <c r="K264" i="198" s="1"/>
  <c r="G152" i="198"/>
  <c r="D154" i="198"/>
  <c r="D158" i="198"/>
  <c r="D162" i="198"/>
  <c r="M164" i="198"/>
  <c r="B166" i="198"/>
  <c r="C168" i="198"/>
  <c r="C172" i="198"/>
  <c r="C176" i="198"/>
  <c r="F183" i="198"/>
  <c r="N183" i="198"/>
  <c r="C186" i="198"/>
  <c r="M186" i="198"/>
  <c r="C192" i="198"/>
  <c r="D194" i="198"/>
  <c r="D198" i="198"/>
  <c r="D202" i="198"/>
  <c r="O203" i="198"/>
  <c r="J204" i="198"/>
  <c r="D205" i="198"/>
  <c r="C208" i="198"/>
  <c r="C212" i="198"/>
  <c r="C216" i="198"/>
  <c r="G222" i="198"/>
  <c r="O222" i="198"/>
  <c r="C225" i="198"/>
  <c r="M225" i="198"/>
  <c r="C231" i="198"/>
  <c r="D233" i="198"/>
  <c r="D237" i="198"/>
  <c r="D241" i="198"/>
  <c r="O242" i="198"/>
  <c r="J243" i="198"/>
  <c r="D244" i="198"/>
  <c r="C247" i="198"/>
  <c r="C251" i="198"/>
  <c r="C255" i="198"/>
  <c r="O59" i="199"/>
  <c r="F33" i="199"/>
  <c r="F45" i="199"/>
  <c r="F144" i="199"/>
  <c r="N144" i="199"/>
  <c r="C147" i="199"/>
  <c r="M147" i="199"/>
  <c r="C153" i="199"/>
  <c r="D155" i="199"/>
  <c r="D159" i="199"/>
  <c r="D163" i="199"/>
  <c r="O164" i="199"/>
  <c r="J165" i="199"/>
  <c r="D166" i="199"/>
  <c r="C169" i="199"/>
  <c r="C173" i="199"/>
  <c r="C177" i="199"/>
  <c r="E180" i="199"/>
  <c r="I12" i="113" s="1"/>
  <c r="O12" i="123" s="1"/>
  <c r="H183" i="199"/>
  <c r="E186" i="199"/>
  <c r="O186" i="199"/>
  <c r="C191" i="199"/>
  <c r="E192" i="199"/>
  <c r="D195" i="199"/>
  <c r="D199" i="199"/>
  <c r="D203" i="199"/>
  <c r="C204" i="199"/>
  <c r="L204" i="199"/>
  <c r="F205" i="199"/>
  <c r="C209" i="199"/>
  <c r="C213" i="199"/>
  <c r="E105" i="200"/>
  <c r="E144" i="200"/>
  <c r="M105" i="200"/>
  <c r="M144" i="200"/>
  <c r="B108" i="200"/>
  <c r="B147" i="200"/>
  <c r="L108" i="200"/>
  <c r="L147" i="200"/>
  <c r="F113" i="200"/>
  <c r="F152" i="200"/>
  <c r="C115" i="200"/>
  <c r="C154" i="200"/>
  <c r="C119" i="200"/>
  <c r="C158" i="200"/>
  <c r="AF73" i="122"/>
  <c r="N88" i="200"/>
  <c r="G46" i="200"/>
  <c r="D177" i="200"/>
  <c r="P23" i="60"/>
  <c r="L48" i="60"/>
  <c r="D105" i="60"/>
  <c r="P157" i="60"/>
  <c r="F6" i="233"/>
  <c r="E12" i="239"/>
  <c r="D14" i="239"/>
  <c r="E7" i="233"/>
  <c r="E16" i="239"/>
  <c r="F8" i="233"/>
  <c r="F14" i="233"/>
  <c r="E37" i="239"/>
  <c r="E15" i="233"/>
  <c r="D39" i="239"/>
  <c r="E41" i="239"/>
  <c r="F16" i="233"/>
  <c r="D20" i="233"/>
  <c r="C52" i="239"/>
  <c r="C56" i="239"/>
  <c r="D22" i="233"/>
  <c r="F27" i="233"/>
  <c r="E71" i="239"/>
  <c r="F29" i="233"/>
  <c r="E76" i="239"/>
  <c r="E30" i="233"/>
  <c r="D78" i="239"/>
  <c r="E12" i="45"/>
  <c r="F192" i="45"/>
  <c r="I192" i="45" s="1"/>
  <c r="L192" i="45" s="1"/>
  <c r="O192" i="45" s="1"/>
  <c r="R192" i="45" s="1"/>
  <c r="F216" i="45"/>
  <c r="I216" i="45" s="1"/>
  <c r="L216" i="45" s="1"/>
  <c r="O216" i="45" s="1"/>
  <c r="R216" i="45" s="1"/>
  <c r="C472" i="45"/>
  <c r="E105" i="198"/>
  <c r="E261" i="198" s="1"/>
  <c r="M105" i="198"/>
  <c r="M261" i="198" s="1"/>
  <c r="B108" i="198"/>
  <c r="B264" i="198" s="1"/>
  <c r="L108" i="198"/>
  <c r="L264" i="198" s="1"/>
  <c r="D186" i="198"/>
  <c r="N186" i="198"/>
  <c r="B191" i="198"/>
  <c r="D192" i="198"/>
  <c r="C195" i="198"/>
  <c r="C199" i="198"/>
  <c r="C203" i="198"/>
  <c r="B204" i="198"/>
  <c r="K204" i="198"/>
  <c r="E205" i="198"/>
  <c r="D208" i="198"/>
  <c r="D212" i="198"/>
  <c r="H222" i="198"/>
  <c r="F10" i="113"/>
  <c r="F7" i="183" s="1"/>
  <c r="F105" i="200"/>
  <c r="F144" i="200"/>
  <c r="N105" i="200"/>
  <c r="N144" i="200"/>
  <c r="G113" i="200"/>
  <c r="G152" i="200"/>
  <c r="D115" i="200"/>
  <c r="D154" i="200"/>
  <c r="D119" i="200"/>
  <c r="D158" i="200"/>
  <c r="AG73" i="122"/>
  <c r="O88" i="200"/>
  <c r="C134" i="200"/>
  <c r="L165" i="200"/>
  <c r="P16" i="113"/>
  <c r="O62" i="201"/>
  <c r="D118" i="201"/>
  <c r="Q29" i="60"/>
  <c r="Q89" i="60"/>
  <c r="Q141" i="60"/>
  <c r="D146" i="60"/>
  <c r="H22" i="232"/>
  <c r="G28" i="232"/>
  <c r="E14" i="239"/>
  <c r="F7" i="233"/>
  <c r="G38" i="232"/>
  <c r="F15" i="233"/>
  <c r="E39" i="239"/>
  <c r="E20" i="233"/>
  <c r="D52" i="239"/>
  <c r="D21" i="233"/>
  <c r="C54" i="239"/>
  <c r="E78" i="239"/>
  <c r="F30" i="233"/>
  <c r="K187" i="45"/>
  <c r="J289" i="45"/>
  <c r="T360" i="45"/>
  <c r="L6" i="113"/>
  <c r="F105" i="198"/>
  <c r="F261" i="198" s="1"/>
  <c r="N105" i="198"/>
  <c r="N261" i="198" s="1"/>
  <c r="C108" i="198"/>
  <c r="C264" i="198" s="1"/>
  <c r="M108" i="198"/>
  <c r="M264" i="198" s="1"/>
  <c r="E186" i="198"/>
  <c r="O186" i="198"/>
  <c r="C191" i="198"/>
  <c r="E192" i="198"/>
  <c r="D195" i="198"/>
  <c r="D199" i="198"/>
  <c r="D203" i="198"/>
  <c r="C204" i="198"/>
  <c r="L204" i="198"/>
  <c r="F205" i="198"/>
  <c r="C209" i="198"/>
  <c r="C213" i="198"/>
  <c r="M56" i="199"/>
  <c r="I82" i="201"/>
  <c r="I15" i="201"/>
  <c r="I69" i="201" s="1"/>
  <c r="C122" i="201"/>
  <c r="M126" i="201"/>
  <c r="M62" i="200"/>
  <c r="M59" i="200" s="1"/>
  <c r="F102" i="200"/>
  <c r="G141" i="200"/>
  <c r="J144" i="200"/>
  <c r="F147" i="200"/>
  <c r="D152" i="200"/>
  <c r="F153" i="200"/>
  <c r="C157" i="200"/>
  <c r="C161" i="200"/>
  <c r="J164" i="200"/>
  <c r="D165" i="200"/>
  <c r="M165" i="200"/>
  <c r="G166" i="200"/>
  <c r="D170" i="200"/>
  <c r="D174" i="200"/>
  <c r="F113" i="201"/>
  <c r="C115" i="201"/>
  <c r="C119" i="201"/>
  <c r="C123" i="201"/>
  <c r="L125" i="201"/>
  <c r="F141" i="201"/>
  <c r="F138" i="201"/>
  <c r="F139" i="201" s="1"/>
  <c r="O126" i="201"/>
  <c r="D128" i="201"/>
  <c r="D133" i="201"/>
  <c r="F144" i="201"/>
  <c r="C153" i="201"/>
  <c r="C163" i="201"/>
  <c r="I165" i="201"/>
  <c r="E102" i="202"/>
  <c r="G46" i="202"/>
  <c r="F141" i="202"/>
  <c r="F180" i="202"/>
  <c r="F177" i="202"/>
  <c r="F178" i="202" s="1"/>
  <c r="F46" i="202" s="1"/>
  <c r="F33" i="202"/>
  <c r="F183" i="204"/>
  <c r="F222" i="204"/>
  <c r="F261" i="204"/>
  <c r="F144" i="204"/>
  <c r="N183" i="204"/>
  <c r="N222" i="204"/>
  <c r="N261" i="204"/>
  <c r="N144" i="204"/>
  <c r="C186" i="204"/>
  <c r="C225" i="204"/>
  <c r="C147" i="204"/>
  <c r="M186" i="204"/>
  <c r="M225" i="204"/>
  <c r="M147" i="204"/>
  <c r="G152" i="204"/>
  <c r="G191" i="204"/>
  <c r="G269" i="204"/>
  <c r="G113" i="204"/>
  <c r="D271" i="204"/>
  <c r="D154" i="204"/>
  <c r="D193" i="204"/>
  <c r="D115" i="204"/>
  <c r="D275" i="204"/>
  <c r="D158" i="204"/>
  <c r="D197" i="204"/>
  <c r="D119" i="204"/>
  <c r="D279" i="204"/>
  <c r="D162" i="204"/>
  <c r="D201" i="204"/>
  <c r="D123" i="204"/>
  <c r="M281" i="204"/>
  <c r="M164" i="204"/>
  <c r="M203" i="204"/>
  <c r="M125" i="204"/>
  <c r="G33" i="204"/>
  <c r="G99" i="204"/>
  <c r="G100" i="204" s="1"/>
  <c r="G102" i="204" s="1"/>
  <c r="Q26" i="113" s="1"/>
  <c r="B283" i="204"/>
  <c r="B166" i="204"/>
  <c r="B205" i="204"/>
  <c r="B127" i="204"/>
  <c r="C285" i="204"/>
  <c r="C168" i="204"/>
  <c r="C207" i="204"/>
  <c r="C129" i="204"/>
  <c r="C289" i="204"/>
  <c r="C172" i="204"/>
  <c r="C211" i="204"/>
  <c r="C133" i="204"/>
  <c r="C293" i="204"/>
  <c r="C176" i="204"/>
  <c r="C215" i="204"/>
  <c r="C137" i="204"/>
  <c r="N105" i="204"/>
  <c r="D138" i="204"/>
  <c r="D232" i="204"/>
  <c r="D173" i="205"/>
  <c r="G100" i="209"/>
  <c r="G138" i="215"/>
  <c r="G139" i="215" s="1"/>
  <c r="G141" i="215"/>
  <c r="E258" i="199"/>
  <c r="F14" i="113"/>
  <c r="F9" i="183" s="1"/>
  <c r="O56" i="200"/>
  <c r="O59" i="200" s="1"/>
  <c r="G102" i="200"/>
  <c r="C144" i="200"/>
  <c r="K144" i="200"/>
  <c r="G147" i="200"/>
  <c r="E152" i="200"/>
  <c r="G153" i="200"/>
  <c r="D157" i="200"/>
  <c r="D161" i="200"/>
  <c r="K164" i="200"/>
  <c r="N165" i="200"/>
  <c r="C167" i="200"/>
  <c r="C171" i="200"/>
  <c r="C175" i="200"/>
  <c r="D115" i="201"/>
  <c r="D119" i="201"/>
  <c r="M125" i="201"/>
  <c r="G138" i="201"/>
  <c r="G139" i="201" s="1"/>
  <c r="G141" i="201" s="1"/>
  <c r="B127" i="201"/>
  <c r="C129" i="201"/>
  <c r="G144" i="201"/>
  <c r="D163" i="201"/>
  <c r="J165" i="201"/>
  <c r="N39" i="228"/>
  <c r="O40" i="228"/>
  <c r="G183" i="204"/>
  <c r="G222" i="204"/>
  <c r="G144" i="204"/>
  <c r="O183" i="204"/>
  <c r="O222" i="204"/>
  <c r="O144" i="204"/>
  <c r="D186" i="204"/>
  <c r="D225" i="204"/>
  <c r="D147" i="204"/>
  <c r="N186" i="204"/>
  <c r="N225" i="204"/>
  <c r="N147" i="204"/>
  <c r="B153" i="204"/>
  <c r="B192" i="204"/>
  <c r="B231" i="204"/>
  <c r="B114" i="204"/>
  <c r="C155" i="204"/>
  <c r="C194" i="204"/>
  <c r="C233" i="204"/>
  <c r="C116" i="204"/>
  <c r="C272" i="204"/>
  <c r="C159" i="204"/>
  <c r="C198" i="204"/>
  <c r="C237" i="204"/>
  <c r="C120" i="204"/>
  <c r="C276" i="204"/>
  <c r="C163" i="204"/>
  <c r="C202" i="204"/>
  <c r="C241" i="204"/>
  <c r="C124" i="204"/>
  <c r="C280" i="204"/>
  <c r="N164" i="204"/>
  <c r="N203" i="204"/>
  <c r="N242" i="204"/>
  <c r="N125" i="204"/>
  <c r="N281" i="204"/>
  <c r="I165" i="204"/>
  <c r="I204" i="204"/>
  <c r="I243" i="204"/>
  <c r="I126" i="204"/>
  <c r="I282" i="204"/>
  <c r="C166" i="204"/>
  <c r="C205" i="204"/>
  <c r="C244" i="204"/>
  <c r="C127" i="204"/>
  <c r="C283" i="204"/>
  <c r="D168" i="204"/>
  <c r="D207" i="204"/>
  <c r="D246" i="204"/>
  <c r="D129" i="204"/>
  <c r="D285" i="204"/>
  <c r="D172" i="204"/>
  <c r="D211" i="204"/>
  <c r="D250" i="204"/>
  <c r="D133" i="204"/>
  <c r="D289" i="204"/>
  <c r="D176" i="204"/>
  <c r="D215" i="204"/>
  <c r="D254" i="204"/>
  <c r="D137" i="204"/>
  <c r="D293" i="204"/>
  <c r="O105" i="204"/>
  <c r="M108" i="204"/>
  <c r="F180" i="204"/>
  <c r="M27" i="113" s="1"/>
  <c r="S27" i="123" s="1"/>
  <c r="C254" i="204"/>
  <c r="D294" i="204"/>
  <c r="C177" i="205"/>
  <c r="G144" i="208"/>
  <c r="G105" i="208"/>
  <c r="O144" i="208"/>
  <c r="O105" i="208"/>
  <c r="D108" i="208"/>
  <c r="D147" i="208"/>
  <c r="N108" i="208"/>
  <c r="N147" i="208"/>
  <c r="B114" i="208"/>
  <c r="B153" i="208"/>
  <c r="C116" i="208"/>
  <c r="C155" i="208"/>
  <c r="C120" i="208"/>
  <c r="C159" i="208"/>
  <c r="C124" i="208"/>
  <c r="C163" i="208"/>
  <c r="N125" i="208"/>
  <c r="N164" i="208"/>
  <c r="I126" i="208"/>
  <c r="I165" i="208"/>
  <c r="C127" i="208"/>
  <c r="C166" i="208"/>
  <c r="D129" i="208"/>
  <c r="D168" i="208"/>
  <c r="D133" i="208"/>
  <c r="D172" i="208"/>
  <c r="D137" i="208"/>
  <c r="D176" i="208"/>
  <c r="D144" i="200"/>
  <c r="L144" i="200"/>
  <c r="J147" i="200"/>
  <c r="C162" i="200"/>
  <c r="L164" i="200"/>
  <c r="O165" i="200"/>
  <c r="D167" i="200"/>
  <c r="D171" i="200"/>
  <c r="D175" i="200"/>
  <c r="N105" i="201"/>
  <c r="C116" i="201"/>
  <c r="C120" i="201"/>
  <c r="N125" i="201"/>
  <c r="C127" i="201"/>
  <c r="C137" i="201"/>
  <c r="C173" i="201"/>
  <c r="Q19" i="113"/>
  <c r="W19" i="123" s="1"/>
  <c r="G48" i="202"/>
  <c r="Q18" i="113" s="1"/>
  <c r="O39" i="228"/>
  <c r="F33" i="203"/>
  <c r="N108" i="204"/>
  <c r="D236" i="204"/>
  <c r="G261" i="204"/>
  <c r="D205" i="205"/>
  <c r="K147" i="200"/>
  <c r="D162" i="200"/>
  <c r="M164" i="200"/>
  <c r="B166" i="200"/>
  <c r="C168" i="200"/>
  <c r="C172" i="200"/>
  <c r="C176" i="200"/>
  <c r="C108" i="201"/>
  <c r="D116" i="201"/>
  <c r="E22" i="228"/>
  <c r="G23" i="228"/>
  <c r="F24" i="228"/>
  <c r="E25" i="228"/>
  <c r="G26" i="228"/>
  <c r="F27" i="228"/>
  <c r="E30" i="228"/>
  <c r="D99" i="204"/>
  <c r="E178" i="204"/>
  <c r="E180" i="204" s="1"/>
  <c r="I27" i="113" s="1"/>
  <c r="D177" i="204"/>
  <c r="H144" i="205"/>
  <c r="H183" i="205"/>
  <c r="H105" i="205"/>
  <c r="E147" i="205"/>
  <c r="E186" i="205"/>
  <c r="E108" i="205"/>
  <c r="O147" i="205"/>
  <c r="O186" i="205"/>
  <c r="O108" i="205"/>
  <c r="C192" i="205"/>
  <c r="C114" i="205"/>
  <c r="D194" i="205"/>
  <c r="D116" i="205"/>
  <c r="D198" i="205"/>
  <c r="D120" i="205"/>
  <c r="D202" i="205"/>
  <c r="D124" i="205"/>
  <c r="O203" i="205"/>
  <c r="O125" i="205"/>
  <c r="J204" i="205"/>
  <c r="J126" i="205"/>
  <c r="C208" i="205"/>
  <c r="C130" i="205"/>
  <c r="C134" i="205"/>
  <c r="C212" i="205"/>
  <c r="D166" i="205"/>
  <c r="E139" i="206"/>
  <c r="E141" i="206" s="1"/>
  <c r="I36" i="113" s="1"/>
  <c r="O36" i="123" s="1"/>
  <c r="L14" i="113"/>
  <c r="B153" i="200"/>
  <c r="C155" i="200"/>
  <c r="C159" i="200"/>
  <c r="C163" i="200"/>
  <c r="N164" i="200"/>
  <c r="I165" i="200"/>
  <c r="C166" i="200"/>
  <c r="H16" i="113"/>
  <c r="D134" i="201"/>
  <c r="D173" i="201"/>
  <c r="B113" i="201"/>
  <c r="D114" i="201"/>
  <c r="C117" i="201"/>
  <c r="C121" i="201"/>
  <c r="C125" i="201"/>
  <c r="B126" i="201"/>
  <c r="K126" i="201"/>
  <c r="E127" i="201"/>
  <c r="D130" i="201"/>
  <c r="J18" i="113"/>
  <c r="J11" i="183" s="1"/>
  <c r="N56" i="202"/>
  <c r="F22" i="228"/>
  <c r="G24" i="228"/>
  <c r="F25" i="228"/>
  <c r="G27" i="228"/>
  <c r="F30" i="228"/>
  <c r="I144" i="205"/>
  <c r="I183" i="205"/>
  <c r="I105" i="205"/>
  <c r="F147" i="205"/>
  <c r="F108" i="205"/>
  <c r="B113" i="205"/>
  <c r="B191" i="205"/>
  <c r="D114" i="205"/>
  <c r="D192" i="205"/>
  <c r="C117" i="205"/>
  <c r="C195" i="205"/>
  <c r="C121" i="205"/>
  <c r="C199" i="205"/>
  <c r="C125" i="205"/>
  <c r="C203" i="205"/>
  <c r="B126" i="205"/>
  <c r="B204" i="205"/>
  <c r="K126" i="205"/>
  <c r="K204" i="205"/>
  <c r="E127" i="205"/>
  <c r="E205" i="205"/>
  <c r="D130" i="205"/>
  <c r="D208" i="205"/>
  <c r="E166" i="205"/>
  <c r="D212" i="205"/>
  <c r="C183" i="206"/>
  <c r="C144" i="206"/>
  <c r="K183" i="206"/>
  <c r="K144" i="206"/>
  <c r="K105" i="206"/>
  <c r="J186" i="206"/>
  <c r="J147" i="206"/>
  <c r="D152" i="206"/>
  <c r="D191" i="206"/>
  <c r="D113" i="206"/>
  <c r="F153" i="206"/>
  <c r="F192" i="206"/>
  <c r="F114" i="206"/>
  <c r="C157" i="206"/>
  <c r="C196" i="206"/>
  <c r="C118" i="206"/>
  <c r="C161" i="206"/>
  <c r="C200" i="206"/>
  <c r="C122" i="206"/>
  <c r="J164" i="206"/>
  <c r="J203" i="206"/>
  <c r="J125" i="206"/>
  <c r="D165" i="206"/>
  <c r="D204" i="206"/>
  <c r="D126" i="206"/>
  <c r="M165" i="206"/>
  <c r="M204" i="206"/>
  <c r="M126" i="206"/>
  <c r="G166" i="206"/>
  <c r="G205" i="206"/>
  <c r="G127" i="206"/>
  <c r="D170" i="206"/>
  <c r="D209" i="206"/>
  <c r="D131" i="206"/>
  <c r="D174" i="206"/>
  <c r="D213" i="206"/>
  <c r="D135" i="206"/>
  <c r="C105" i="206"/>
  <c r="E178" i="208"/>
  <c r="D177" i="208"/>
  <c r="P14" i="113"/>
  <c r="L16" i="113"/>
  <c r="C135" i="201"/>
  <c r="C174" i="201"/>
  <c r="I105" i="201"/>
  <c r="E108" i="201"/>
  <c r="O108" i="201"/>
  <c r="C113" i="201"/>
  <c r="E114" i="201"/>
  <c r="D117" i="201"/>
  <c r="D121" i="201"/>
  <c r="D125" i="201"/>
  <c r="C126" i="201"/>
  <c r="L126" i="201"/>
  <c r="F127" i="201"/>
  <c r="C131" i="201"/>
  <c r="D177" i="201"/>
  <c r="E178" i="201"/>
  <c r="E180" i="201" s="1"/>
  <c r="C177" i="201"/>
  <c r="N18" i="113"/>
  <c r="N11" i="183" s="1"/>
  <c r="O56" i="202"/>
  <c r="H18" i="113"/>
  <c r="M62" i="202"/>
  <c r="B152" i="202"/>
  <c r="B113" i="202"/>
  <c r="D153" i="202"/>
  <c r="D114" i="202"/>
  <c r="C156" i="202"/>
  <c r="C117" i="202"/>
  <c r="C160" i="202"/>
  <c r="C121" i="202"/>
  <c r="C164" i="202"/>
  <c r="C125" i="202"/>
  <c r="B165" i="202"/>
  <c r="B126" i="202"/>
  <c r="K165" i="202"/>
  <c r="K126" i="202"/>
  <c r="E166" i="202"/>
  <c r="E127" i="202"/>
  <c r="D169" i="202"/>
  <c r="D130" i="202"/>
  <c r="D173" i="202"/>
  <c r="D134" i="202"/>
  <c r="L34" i="113"/>
  <c r="N62" i="206"/>
  <c r="O59" i="202"/>
  <c r="G105" i="202"/>
  <c r="O105" i="202"/>
  <c r="D108" i="202"/>
  <c r="N108" i="202"/>
  <c r="E147" i="202"/>
  <c r="O147" i="202"/>
  <c r="E23" i="228"/>
  <c r="E26" i="228"/>
  <c r="F28" i="228"/>
  <c r="F31" i="228"/>
  <c r="M40" i="228"/>
  <c r="P25" i="113"/>
  <c r="D105" i="204"/>
  <c r="L105" i="204"/>
  <c r="K108" i="204"/>
  <c r="C153" i="204"/>
  <c r="D155" i="204"/>
  <c r="D159" i="204"/>
  <c r="D163" i="204"/>
  <c r="O164" i="204"/>
  <c r="J165" i="204"/>
  <c r="D166" i="204"/>
  <c r="C169" i="204"/>
  <c r="C173" i="204"/>
  <c r="C177" i="204"/>
  <c r="H183" i="204"/>
  <c r="E186" i="204"/>
  <c r="O186" i="204"/>
  <c r="C191" i="204"/>
  <c r="E192" i="204"/>
  <c r="D195" i="204"/>
  <c r="D199" i="204"/>
  <c r="D203" i="204"/>
  <c r="C204" i="204"/>
  <c r="L204" i="204"/>
  <c r="F205" i="204"/>
  <c r="C209" i="204"/>
  <c r="C213" i="204"/>
  <c r="I222" i="204"/>
  <c r="F225" i="204"/>
  <c r="D230" i="204"/>
  <c r="F231" i="204"/>
  <c r="C235" i="204"/>
  <c r="C239" i="204"/>
  <c r="J242" i="204"/>
  <c r="D243" i="204"/>
  <c r="M243" i="204"/>
  <c r="G244" i="204"/>
  <c r="D248" i="204"/>
  <c r="D252" i="204"/>
  <c r="E261" i="204"/>
  <c r="M261" i="204"/>
  <c r="K264" i="204"/>
  <c r="F269" i="204"/>
  <c r="C113" i="205"/>
  <c r="E114" i="205"/>
  <c r="D117" i="205"/>
  <c r="D121" i="205"/>
  <c r="D125" i="205"/>
  <c r="C126" i="205"/>
  <c r="L126" i="205"/>
  <c r="F127" i="205"/>
  <c r="C131" i="205"/>
  <c r="C135" i="205"/>
  <c r="D144" i="205"/>
  <c r="L144" i="205"/>
  <c r="K147" i="205"/>
  <c r="G152" i="205"/>
  <c r="D154" i="205"/>
  <c r="D158" i="205"/>
  <c r="D162" i="205"/>
  <c r="M164" i="205"/>
  <c r="B166" i="205"/>
  <c r="C168" i="205"/>
  <c r="C172" i="205"/>
  <c r="C176" i="205"/>
  <c r="D186" i="205"/>
  <c r="N186" i="205"/>
  <c r="E114" i="207"/>
  <c r="L126" i="207"/>
  <c r="F100" i="210"/>
  <c r="F18" i="113"/>
  <c r="F11" i="183" s="1"/>
  <c r="F45" i="202"/>
  <c r="N62" i="202"/>
  <c r="H105" i="202"/>
  <c r="F23" i="228"/>
  <c r="E24" i="228"/>
  <c r="F26" i="228"/>
  <c r="E27" i="228"/>
  <c r="G28" i="228"/>
  <c r="G31" i="228"/>
  <c r="M39" i="228"/>
  <c r="N40" i="228"/>
  <c r="E100" i="204"/>
  <c r="E102" i="204" s="1"/>
  <c r="I26" i="113" s="1"/>
  <c r="E105" i="204"/>
  <c r="M105" i="204"/>
  <c r="B108" i="204"/>
  <c r="L108" i="204"/>
  <c r="B152" i="204"/>
  <c r="D153" i="204"/>
  <c r="C156" i="204"/>
  <c r="C160" i="204"/>
  <c r="C164" i="204"/>
  <c r="B165" i="204"/>
  <c r="K165" i="204"/>
  <c r="E166" i="204"/>
  <c r="D169" i="204"/>
  <c r="D173" i="204"/>
  <c r="I183" i="204"/>
  <c r="F186" i="204"/>
  <c r="D191" i="204"/>
  <c r="F192" i="204"/>
  <c r="C196" i="204"/>
  <c r="C200" i="204"/>
  <c r="J203" i="204"/>
  <c r="D204" i="204"/>
  <c r="M204" i="204"/>
  <c r="G205" i="204"/>
  <c r="D209" i="204"/>
  <c r="D213" i="204"/>
  <c r="J222" i="204"/>
  <c r="G225" i="204"/>
  <c r="E230" i="204"/>
  <c r="G231" i="204"/>
  <c r="D235" i="204"/>
  <c r="D239" i="204"/>
  <c r="K242" i="204"/>
  <c r="N243" i="204"/>
  <c r="C245" i="204"/>
  <c r="C249" i="204"/>
  <c r="C253" i="204"/>
  <c r="B264" i="204"/>
  <c r="L264" i="204"/>
  <c r="D272" i="204"/>
  <c r="D276" i="204"/>
  <c r="D280" i="204"/>
  <c r="O281" i="204"/>
  <c r="J282" i="204"/>
  <c r="D283" i="204"/>
  <c r="C286" i="204"/>
  <c r="C290" i="204"/>
  <c r="C294" i="204"/>
  <c r="D113" i="205"/>
  <c r="F114" i="205"/>
  <c r="C118" i="205"/>
  <c r="C122" i="205"/>
  <c r="J125" i="205"/>
  <c r="D126" i="205"/>
  <c r="M126" i="205"/>
  <c r="G127" i="205"/>
  <c r="D131" i="205"/>
  <c r="D135" i="205"/>
  <c r="E144" i="205"/>
  <c r="M144" i="205"/>
  <c r="B147" i="205"/>
  <c r="L147" i="205"/>
  <c r="B153" i="205"/>
  <c r="C155" i="205"/>
  <c r="C159" i="205"/>
  <c r="C163" i="205"/>
  <c r="N164" i="205"/>
  <c r="I165" i="205"/>
  <c r="C166" i="205"/>
  <c r="D168" i="205"/>
  <c r="D172" i="205"/>
  <c r="D176" i="205"/>
  <c r="C191" i="205"/>
  <c r="E192" i="205"/>
  <c r="D195" i="205"/>
  <c r="D199" i="205"/>
  <c r="D203" i="205"/>
  <c r="C204" i="205"/>
  <c r="O204" i="205"/>
  <c r="F100" i="206"/>
  <c r="G100" i="207"/>
  <c r="G45" i="207"/>
  <c r="O56" i="208"/>
  <c r="E139" i="208"/>
  <c r="E141" i="208" s="1"/>
  <c r="D138" i="208"/>
  <c r="K147" i="202"/>
  <c r="G22" i="228"/>
  <c r="M22" i="228"/>
  <c r="G25" i="228"/>
  <c r="G30" i="228"/>
  <c r="E32" i="228"/>
  <c r="N38" i="228"/>
  <c r="H105" i="204"/>
  <c r="E108" i="204"/>
  <c r="O108" i="204"/>
  <c r="C113" i="204"/>
  <c r="E114" i="204"/>
  <c r="D117" i="204"/>
  <c r="D121" i="204"/>
  <c r="D125" i="204"/>
  <c r="C126" i="204"/>
  <c r="L126" i="204"/>
  <c r="F127" i="204"/>
  <c r="C131" i="204"/>
  <c r="C135" i="204"/>
  <c r="J144" i="204"/>
  <c r="G147" i="204"/>
  <c r="E152" i="204"/>
  <c r="G153" i="204"/>
  <c r="D157" i="204"/>
  <c r="D161" i="204"/>
  <c r="K164" i="204"/>
  <c r="N165" i="204"/>
  <c r="C167" i="204"/>
  <c r="C171" i="204"/>
  <c r="C175" i="204"/>
  <c r="D183" i="204"/>
  <c r="L183" i="204"/>
  <c r="K186" i="204"/>
  <c r="E222" i="204"/>
  <c r="M222" i="204"/>
  <c r="B225" i="204"/>
  <c r="L225" i="204"/>
  <c r="I261" i="204"/>
  <c r="E264" i="204"/>
  <c r="O264" i="204"/>
  <c r="B269" i="204"/>
  <c r="D270" i="204"/>
  <c r="C274" i="204"/>
  <c r="C278" i="204"/>
  <c r="J281" i="204"/>
  <c r="D282" i="204"/>
  <c r="M282" i="204"/>
  <c r="G283" i="204"/>
  <c r="D287" i="204"/>
  <c r="D291" i="204"/>
  <c r="D105" i="205"/>
  <c r="L105" i="205"/>
  <c r="K108" i="205"/>
  <c r="L165" i="205"/>
  <c r="F166" i="205"/>
  <c r="C170" i="205"/>
  <c r="C174" i="205"/>
  <c r="F33" i="206"/>
  <c r="F138" i="206"/>
  <c r="F139" i="206" s="1"/>
  <c r="F141" i="206" s="1"/>
  <c r="M36" i="113" s="1"/>
  <c r="E139" i="207"/>
  <c r="D138" i="207"/>
  <c r="F45" i="208"/>
  <c r="D45" i="208" s="1"/>
  <c r="J43" i="113"/>
  <c r="J21" i="183" s="1"/>
  <c r="N56" i="210"/>
  <c r="B152" i="210"/>
  <c r="B113" i="210"/>
  <c r="D153" i="210"/>
  <c r="D114" i="210"/>
  <c r="C156" i="210"/>
  <c r="C117" i="210"/>
  <c r="C160" i="210"/>
  <c r="C121" i="210"/>
  <c r="C125" i="210"/>
  <c r="C164" i="210"/>
  <c r="B126" i="210"/>
  <c r="B165" i="210"/>
  <c r="K126" i="210"/>
  <c r="K165" i="210"/>
  <c r="E127" i="210"/>
  <c r="E166" i="210"/>
  <c r="D130" i="210"/>
  <c r="D169" i="210"/>
  <c r="D134" i="210"/>
  <c r="D173" i="210"/>
  <c r="G100" i="211"/>
  <c r="F180" i="201"/>
  <c r="O18" i="113"/>
  <c r="O11" i="183" s="1"/>
  <c r="F144" i="202"/>
  <c r="N144" i="202"/>
  <c r="B147" i="202"/>
  <c r="L147" i="202"/>
  <c r="B153" i="202"/>
  <c r="C155" i="202"/>
  <c r="C159" i="202"/>
  <c r="C163" i="202"/>
  <c r="N164" i="202"/>
  <c r="I165" i="202"/>
  <c r="C166" i="202"/>
  <c r="D168" i="202"/>
  <c r="N22" i="228"/>
  <c r="F32" i="228"/>
  <c r="O38" i="228"/>
  <c r="E44" i="228"/>
  <c r="F102" i="204"/>
  <c r="M26" i="113" s="1"/>
  <c r="S26" i="123" s="1"/>
  <c r="F108" i="204"/>
  <c r="D113" i="204"/>
  <c r="F114" i="204"/>
  <c r="C144" i="204"/>
  <c r="K144" i="204"/>
  <c r="J147" i="204"/>
  <c r="F152" i="204"/>
  <c r="C154" i="204"/>
  <c r="C158" i="204"/>
  <c r="C162" i="204"/>
  <c r="L164" i="204"/>
  <c r="O165" i="204"/>
  <c r="D167" i="204"/>
  <c r="D171" i="204"/>
  <c r="D175" i="204"/>
  <c r="E183" i="204"/>
  <c r="M183" i="204"/>
  <c r="B186" i="204"/>
  <c r="L186" i="204"/>
  <c r="C231" i="204"/>
  <c r="D233" i="204"/>
  <c r="D237" i="204"/>
  <c r="D241" i="204"/>
  <c r="O242" i="204"/>
  <c r="J243" i="204"/>
  <c r="D244" i="204"/>
  <c r="C247" i="204"/>
  <c r="C251" i="204"/>
  <c r="C255" i="204"/>
  <c r="J261" i="204"/>
  <c r="C269" i="204"/>
  <c r="E270" i="204"/>
  <c r="D274" i="204"/>
  <c r="D278" i="204"/>
  <c r="K281" i="204"/>
  <c r="N282" i="204"/>
  <c r="C284" i="204"/>
  <c r="C288" i="204"/>
  <c r="C292" i="204"/>
  <c r="E105" i="205"/>
  <c r="M105" i="205"/>
  <c r="D133" i="205"/>
  <c r="D137" i="205"/>
  <c r="M165" i="205"/>
  <c r="G166" i="205"/>
  <c r="D170" i="205"/>
  <c r="D174" i="205"/>
  <c r="D206" i="205"/>
  <c r="F102" i="206"/>
  <c r="G108" i="207"/>
  <c r="G147" i="207"/>
  <c r="E141" i="207"/>
  <c r="G100" i="208"/>
  <c r="G46" i="208" s="1"/>
  <c r="E113" i="209"/>
  <c r="E152" i="209"/>
  <c r="G114" i="209"/>
  <c r="G153" i="209"/>
  <c r="D118" i="209"/>
  <c r="D157" i="209"/>
  <c r="D122" i="209"/>
  <c r="D161" i="209"/>
  <c r="K125" i="209"/>
  <c r="K164" i="209"/>
  <c r="E33" i="209"/>
  <c r="E99" i="209"/>
  <c r="N126" i="209"/>
  <c r="N165" i="209"/>
  <c r="C128" i="209"/>
  <c r="C167" i="209"/>
  <c r="C132" i="209"/>
  <c r="C171" i="209"/>
  <c r="C136" i="209"/>
  <c r="C175" i="209"/>
  <c r="G102" i="210"/>
  <c r="F108" i="210"/>
  <c r="C147" i="202"/>
  <c r="M147" i="202"/>
  <c r="C153" i="202"/>
  <c r="D155" i="202"/>
  <c r="D159" i="202"/>
  <c r="D163" i="202"/>
  <c r="O164" i="202"/>
  <c r="J165" i="202"/>
  <c r="D166" i="202"/>
  <c r="C169" i="202"/>
  <c r="C173" i="202"/>
  <c r="C177" i="202"/>
  <c r="O22" i="228"/>
  <c r="G32" i="228"/>
  <c r="F44" i="228"/>
  <c r="G108" i="204"/>
  <c r="E113" i="204"/>
  <c r="G114" i="204"/>
  <c r="D144" i="204"/>
  <c r="L144" i="204"/>
  <c r="B230" i="204"/>
  <c r="D231" i="204"/>
  <c r="C234" i="204"/>
  <c r="C238" i="204"/>
  <c r="C242" i="204"/>
  <c r="B243" i="204"/>
  <c r="K243" i="204"/>
  <c r="E244" i="204"/>
  <c r="D247" i="204"/>
  <c r="D251" i="204"/>
  <c r="C261" i="204"/>
  <c r="K261" i="204"/>
  <c r="C271" i="204"/>
  <c r="C275" i="204"/>
  <c r="C279" i="204"/>
  <c r="L281" i="204"/>
  <c r="O282" i="204"/>
  <c r="D284" i="204"/>
  <c r="D288" i="204"/>
  <c r="D292" i="204"/>
  <c r="N165" i="205"/>
  <c r="C167" i="205"/>
  <c r="C171" i="205"/>
  <c r="C175" i="205"/>
  <c r="G102" i="206"/>
  <c r="E217" i="206"/>
  <c r="E219" i="206" s="1"/>
  <c r="D216" i="206"/>
  <c r="N37" i="113"/>
  <c r="N18" i="183" s="1"/>
  <c r="O56" i="207"/>
  <c r="H37" i="113"/>
  <c r="M62" i="207"/>
  <c r="P41" i="113"/>
  <c r="O62" i="209"/>
  <c r="E139" i="209"/>
  <c r="E141" i="209" s="1"/>
  <c r="G180" i="209"/>
  <c r="G33" i="209"/>
  <c r="G177" i="209"/>
  <c r="G178" i="209" s="1"/>
  <c r="M56" i="202"/>
  <c r="M59" i="202" s="1"/>
  <c r="E28" i="228"/>
  <c r="E31" i="228"/>
  <c r="E77" i="228" s="1"/>
  <c r="C13" i="229" s="1"/>
  <c r="G44" i="228"/>
  <c r="J108" i="204"/>
  <c r="G105" i="205"/>
  <c r="O105" i="205"/>
  <c r="D171" i="205"/>
  <c r="D175" i="205"/>
  <c r="E100" i="207"/>
  <c r="D99" i="208"/>
  <c r="E100" i="208"/>
  <c r="E46" i="208" s="1"/>
  <c r="G102" i="209"/>
  <c r="F33" i="209"/>
  <c r="F138" i="209"/>
  <c r="F139" i="209" s="1"/>
  <c r="F141" i="209" s="1"/>
  <c r="D177" i="209"/>
  <c r="I105" i="210"/>
  <c r="J34" i="113"/>
  <c r="J16" i="183" s="1"/>
  <c r="O62" i="206"/>
  <c r="I105" i="206"/>
  <c r="F108" i="206"/>
  <c r="F152" i="206"/>
  <c r="C154" i="206"/>
  <c r="C158" i="206"/>
  <c r="C162" i="206"/>
  <c r="L164" i="206"/>
  <c r="O165" i="206"/>
  <c r="D167" i="206"/>
  <c r="D171" i="206"/>
  <c r="D175" i="206"/>
  <c r="E178" i="206"/>
  <c r="E180" i="206" s="1"/>
  <c r="E183" i="206"/>
  <c r="M183" i="206"/>
  <c r="K186" i="206"/>
  <c r="G191" i="206"/>
  <c r="D193" i="206"/>
  <c r="D197" i="206"/>
  <c r="D201" i="206"/>
  <c r="M203" i="206"/>
  <c r="B205" i="206"/>
  <c r="C207" i="206"/>
  <c r="C211" i="206"/>
  <c r="C215" i="206"/>
  <c r="F37" i="113"/>
  <c r="F18" i="183" s="1"/>
  <c r="G33" i="207"/>
  <c r="N62" i="207"/>
  <c r="G105" i="207"/>
  <c r="O105" i="207"/>
  <c r="C108" i="207"/>
  <c r="M108" i="207"/>
  <c r="C114" i="207"/>
  <c r="D116" i="207"/>
  <c r="D120" i="207"/>
  <c r="D124" i="207"/>
  <c r="O125" i="207"/>
  <c r="J126" i="207"/>
  <c r="D127" i="207"/>
  <c r="C130" i="207"/>
  <c r="C134" i="207"/>
  <c r="C138" i="207"/>
  <c r="H144" i="207"/>
  <c r="D147" i="207"/>
  <c r="N147" i="207"/>
  <c r="B152" i="207"/>
  <c r="D153" i="207"/>
  <c r="C156" i="207"/>
  <c r="C160" i="207"/>
  <c r="C164" i="207"/>
  <c r="B165" i="207"/>
  <c r="K165" i="207"/>
  <c r="E166" i="207"/>
  <c r="D169" i="207"/>
  <c r="D173" i="207"/>
  <c r="E105" i="208"/>
  <c r="M105" i="208"/>
  <c r="K108" i="208"/>
  <c r="G113" i="208"/>
  <c r="D115" i="208"/>
  <c r="D119" i="208"/>
  <c r="D123" i="208"/>
  <c r="M125" i="208"/>
  <c r="B127" i="208"/>
  <c r="C129" i="208"/>
  <c r="C133" i="208"/>
  <c r="C137" i="208"/>
  <c r="F144" i="208"/>
  <c r="N144" i="208"/>
  <c r="B147" i="208"/>
  <c r="L147" i="208"/>
  <c r="N41" i="113"/>
  <c r="N20" i="183" s="1"/>
  <c r="H41" i="113"/>
  <c r="J105" i="209"/>
  <c r="F108" i="209"/>
  <c r="D113" i="209"/>
  <c r="F114" i="209"/>
  <c r="C118" i="209"/>
  <c r="C122" i="209"/>
  <c r="J125" i="209"/>
  <c r="D126" i="209"/>
  <c r="M126" i="209"/>
  <c r="G127" i="209"/>
  <c r="D131" i="209"/>
  <c r="D135" i="209"/>
  <c r="C144" i="209"/>
  <c r="K144" i="209"/>
  <c r="G147" i="209"/>
  <c r="O59" i="210"/>
  <c r="F33" i="210"/>
  <c r="C124" i="210"/>
  <c r="C163" i="210"/>
  <c r="N125" i="210"/>
  <c r="N164" i="210"/>
  <c r="I126" i="210"/>
  <c r="I165" i="210"/>
  <c r="C127" i="210"/>
  <c r="C166" i="210"/>
  <c r="D129" i="210"/>
  <c r="D168" i="210"/>
  <c r="D133" i="210"/>
  <c r="D172" i="210"/>
  <c r="D137" i="210"/>
  <c r="D176" i="210"/>
  <c r="G105" i="210"/>
  <c r="O105" i="210"/>
  <c r="D108" i="210"/>
  <c r="N108" i="210"/>
  <c r="N126" i="210"/>
  <c r="C158" i="210"/>
  <c r="G177" i="210"/>
  <c r="H49" i="113"/>
  <c r="J144" i="214"/>
  <c r="J105" i="214"/>
  <c r="G147" i="214"/>
  <c r="G108" i="214"/>
  <c r="C152" i="214"/>
  <c r="C113" i="214"/>
  <c r="E153" i="214"/>
  <c r="E114" i="214"/>
  <c r="D156" i="214"/>
  <c r="D117" i="214"/>
  <c r="D160" i="214"/>
  <c r="D121" i="214"/>
  <c r="D164" i="214"/>
  <c r="D125" i="214"/>
  <c r="C165" i="214"/>
  <c r="C126" i="214"/>
  <c r="L165" i="214"/>
  <c r="L126" i="214"/>
  <c r="F166" i="214"/>
  <c r="F127" i="214"/>
  <c r="C170" i="214"/>
  <c r="C131" i="214"/>
  <c r="C174" i="214"/>
  <c r="C135" i="214"/>
  <c r="F100" i="214"/>
  <c r="F45" i="214"/>
  <c r="N34" i="113"/>
  <c r="N16" i="183" s="1"/>
  <c r="E99" i="206"/>
  <c r="J105" i="206"/>
  <c r="G108" i="206"/>
  <c r="E113" i="206"/>
  <c r="G114" i="206"/>
  <c r="D118" i="206"/>
  <c r="D122" i="206"/>
  <c r="K125" i="206"/>
  <c r="N126" i="206"/>
  <c r="C128" i="206"/>
  <c r="C132" i="206"/>
  <c r="C136" i="206"/>
  <c r="G138" i="206"/>
  <c r="G139" i="206" s="1"/>
  <c r="G141" i="206" s="1"/>
  <c r="Q36" i="113" s="1"/>
  <c r="D144" i="206"/>
  <c r="L144" i="206"/>
  <c r="K147" i="206"/>
  <c r="G152" i="206"/>
  <c r="D154" i="206"/>
  <c r="D158" i="206"/>
  <c r="D162" i="206"/>
  <c r="M164" i="206"/>
  <c r="B166" i="206"/>
  <c r="C168" i="206"/>
  <c r="C172" i="206"/>
  <c r="C176" i="206"/>
  <c r="F183" i="206"/>
  <c r="N183" i="206"/>
  <c r="B186" i="206"/>
  <c r="L186" i="206"/>
  <c r="B192" i="206"/>
  <c r="C194" i="206"/>
  <c r="C198" i="206"/>
  <c r="C202" i="206"/>
  <c r="N203" i="206"/>
  <c r="I204" i="206"/>
  <c r="C205" i="206"/>
  <c r="D207" i="206"/>
  <c r="D211" i="206"/>
  <c r="D215" i="206"/>
  <c r="J37" i="113"/>
  <c r="J18" i="183" s="1"/>
  <c r="F141" i="207"/>
  <c r="E177" i="207"/>
  <c r="G180" i="207"/>
  <c r="M56" i="208"/>
  <c r="M59" i="208" s="1"/>
  <c r="F100" i="208"/>
  <c r="F46" i="208" s="1"/>
  <c r="E180" i="208"/>
  <c r="F99" i="209"/>
  <c r="G138" i="209"/>
  <c r="G139" i="209" s="1"/>
  <c r="G141" i="209" s="1"/>
  <c r="E178" i="209"/>
  <c r="E180" i="209" s="1"/>
  <c r="F43" i="113"/>
  <c r="F21" i="183" s="1"/>
  <c r="N62" i="210"/>
  <c r="D124" i="210"/>
  <c r="D163" i="210"/>
  <c r="O125" i="210"/>
  <c r="O164" i="210"/>
  <c r="J126" i="210"/>
  <c r="J165" i="210"/>
  <c r="D127" i="210"/>
  <c r="D166" i="210"/>
  <c r="C130" i="210"/>
  <c r="C169" i="210"/>
  <c r="C134" i="210"/>
  <c r="C173" i="210"/>
  <c r="C138" i="210"/>
  <c r="C177" i="210"/>
  <c r="H105" i="210"/>
  <c r="E108" i="210"/>
  <c r="O108" i="210"/>
  <c r="C113" i="210"/>
  <c r="E114" i="210"/>
  <c r="D117" i="210"/>
  <c r="D122" i="210"/>
  <c r="O126" i="210"/>
  <c r="F100" i="211"/>
  <c r="F33" i="211"/>
  <c r="F141" i="211"/>
  <c r="M48" i="113" s="1"/>
  <c r="S48" i="123" s="1"/>
  <c r="F138" i="211"/>
  <c r="F139" i="211" s="1"/>
  <c r="D161" i="212"/>
  <c r="D105" i="206"/>
  <c r="L105" i="206"/>
  <c r="F144" i="206"/>
  <c r="N144" i="206"/>
  <c r="C147" i="206"/>
  <c r="M147" i="206"/>
  <c r="H183" i="206"/>
  <c r="D186" i="206"/>
  <c r="N186" i="206"/>
  <c r="B191" i="206"/>
  <c r="D192" i="206"/>
  <c r="C195" i="206"/>
  <c r="C199" i="206"/>
  <c r="C203" i="206"/>
  <c r="B204" i="206"/>
  <c r="K204" i="206"/>
  <c r="E205" i="206"/>
  <c r="D208" i="206"/>
  <c r="D212" i="206"/>
  <c r="C144" i="207"/>
  <c r="K144" i="207"/>
  <c r="E152" i="207"/>
  <c r="G153" i="207"/>
  <c r="D157" i="207"/>
  <c r="D161" i="207"/>
  <c r="K164" i="207"/>
  <c r="N165" i="207"/>
  <c r="C167" i="207"/>
  <c r="C171" i="207"/>
  <c r="C175" i="207"/>
  <c r="N62" i="208"/>
  <c r="N59" i="208" s="1"/>
  <c r="E102" i="208"/>
  <c r="F141" i="208"/>
  <c r="I144" i="208"/>
  <c r="E147" i="208"/>
  <c r="O147" i="208"/>
  <c r="C152" i="208"/>
  <c r="E153" i="208"/>
  <c r="D156" i="208"/>
  <c r="D160" i="208"/>
  <c r="D164" i="208"/>
  <c r="C165" i="208"/>
  <c r="L165" i="208"/>
  <c r="F166" i="208"/>
  <c r="C170" i="208"/>
  <c r="C174" i="208"/>
  <c r="G180" i="208"/>
  <c r="F144" i="209"/>
  <c r="N144" i="209"/>
  <c r="N43" i="113"/>
  <c r="N21" i="183" s="1"/>
  <c r="H43" i="113"/>
  <c r="D160" i="210"/>
  <c r="D121" i="210"/>
  <c r="D164" i="210"/>
  <c r="D125" i="210"/>
  <c r="C165" i="210"/>
  <c r="C126" i="210"/>
  <c r="L165" i="210"/>
  <c r="L126" i="210"/>
  <c r="F166" i="210"/>
  <c r="F127" i="210"/>
  <c r="C170" i="210"/>
  <c r="C131" i="210"/>
  <c r="C174" i="210"/>
  <c r="C135" i="210"/>
  <c r="E99" i="210"/>
  <c r="J105" i="210"/>
  <c r="G108" i="210"/>
  <c r="E113" i="210"/>
  <c r="G114" i="210"/>
  <c r="D118" i="210"/>
  <c r="K125" i="210"/>
  <c r="D128" i="210"/>
  <c r="E144" i="210"/>
  <c r="D162" i="210"/>
  <c r="G105" i="211"/>
  <c r="G144" i="211"/>
  <c r="O105" i="211"/>
  <c r="O144" i="211"/>
  <c r="D108" i="211"/>
  <c r="D147" i="211"/>
  <c r="N108" i="211"/>
  <c r="N147" i="211"/>
  <c r="B114" i="211"/>
  <c r="B153" i="211"/>
  <c r="C116" i="211"/>
  <c r="C155" i="211"/>
  <c r="C120" i="211"/>
  <c r="C159" i="211"/>
  <c r="C124" i="211"/>
  <c r="C163" i="211"/>
  <c r="N125" i="211"/>
  <c r="N164" i="211"/>
  <c r="I126" i="211"/>
  <c r="I165" i="211"/>
  <c r="C127" i="211"/>
  <c r="C166" i="211"/>
  <c r="D129" i="211"/>
  <c r="D168" i="211"/>
  <c r="D133" i="211"/>
  <c r="D172" i="211"/>
  <c r="D137" i="211"/>
  <c r="D176" i="211"/>
  <c r="E139" i="211"/>
  <c r="G144" i="206"/>
  <c r="O144" i="206"/>
  <c r="D147" i="206"/>
  <c r="N147" i="206"/>
  <c r="B152" i="206"/>
  <c r="D153" i="206"/>
  <c r="C156" i="206"/>
  <c r="C160" i="206"/>
  <c r="C164" i="206"/>
  <c r="B165" i="206"/>
  <c r="K165" i="206"/>
  <c r="E166" i="206"/>
  <c r="D169" i="206"/>
  <c r="D173" i="206"/>
  <c r="I183" i="206"/>
  <c r="E186" i="206"/>
  <c r="O186" i="206"/>
  <c r="C191" i="206"/>
  <c r="E192" i="206"/>
  <c r="D195" i="206"/>
  <c r="D199" i="206"/>
  <c r="D203" i="206"/>
  <c r="C204" i="206"/>
  <c r="L204" i="206"/>
  <c r="F205" i="206"/>
  <c r="C209" i="206"/>
  <c r="C213" i="206"/>
  <c r="P37" i="113"/>
  <c r="D144" i="207"/>
  <c r="L144" i="207"/>
  <c r="J147" i="207"/>
  <c r="F152" i="207"/>
  <c r="C154" i="207"/>
  <c r="C158" i="207"/>
  <c r="C162" i="207"/>
  <c r="L164" i="207"/>
  <c r="O165" i="207"/>
  <c r="D167" i="207"/>
  <c r="D171" i="207"/>
  <c r="D175" i="207"/>
  <c r="J39" i="113"/>
  <c r="J19" i="183" s="1"/>
  <c r="O62" i="208"/>
  <c r="O59" i="208" s="1"/>
  <c r="J144" i="208"/>
  <c r="F147" i="208"/>
  <c r="D152" i="208"/>
  <c r="F153" i="208"/>
  <c r="C157" i="208"/>
  <c r="C161" i="208"/>
  <c r="J164" i="208"/>
  <c r="D165" i="208"/>
  <c r="M165" i="208"/>
  <c r="G166" i="208"/>
  <c r="D170" i="208"/>
  <c r="D174" i="208"/>
  <c r="N59" i="209"/>
  <c r="M56" i="209"/>
  <c r="C147" i="209"/>
  <c r="M147" i="209"/>
  <c r="C153" i="209"/>
  <c r="D155" i="209"/>
  <c r="D159" i="209"/>
  <c r="D163" i="209"/>
  <c r="O164" i="209"/>
  <c r="J165" i="209"/>
  <c r="D166" i="209"/>
  <c r="C169" i="209"/>
  <c r="C173" i="209"/>
  <c r="C177" i="209"/>
  <c r="C122" i="210"/>
  <c r="C161" i="210"/>
  <c r="J125" i="210"/>
  <c r="J164" i="210"/>
  <c r="D126" i="210"/>
  <c r="D165" i="210"/>
  <c r="M126" i="210"/>
  <c r="M165" i="210"/>
  <c r="G127" i="210"/>
  <c r="G166" i="210"/>
  <c r="D131" i="210"/>
  <c r="D170" i="210"/>
  <c r="D135" i="210"/>
  <c r="D174" i="210"/>
  <c r="C105" i="210"/>
  <c r="K105" i="210"/>
  <c r="J108" i="210"/>
  <c r="F113" i="210"/>
  <c r="C115" i="210"/>
  <c r="L125" i="210"/>
  <c r="I82" i="215"/>
  <c r="I15" i="215"/>
  <c r="I69" i="215" s="1"/>
  <c r="M56" i="206"/>
  <c r="M59" i="206" s="1"/>
  <c r="H144" i="206"/>
  <c r="E147" i="206"/>
  <c r="O147" i="206"/>
  <c r="C152" i="206"/>
  <c r="E153" i="206"/>
  <c r="D156" i="206"/>
  <c r="D160" i="206"/>
  <c r="D164" i="206"/>
  <c r="C165" i="206"/>
  <c r="L165" i="206"/>
  <c r="J183" i="206"/>
  <c r="F186" i="206"/>
  <c r="G152" i="207"/>
  <c r="D154" i="207"/>
  <c r="D158" i="207"/>
  <c r="D162" i="207"/>
  <c r="M164" i="207"/>
  <c r="B166" i="207"/>
  <c r="C168" i="207"/>
  <c r="C172" i="207"/>
  <c r="C176" i="207"/>
  <c r="N39" i="113"/>
  <c r="N19" i="183" s="1"/>
  <c r="G102" i="208"/>
  <c r="C144" i="208"/>
  <c r="K144" i="208"/>
  <c r="O59" i="209"/>
  <c r="N56" i="209"/>
  <c r="M62" i="209"/>
  <c r="H144" i="209"/>
  <c r="K108" i="210"/>
  <c r="E138" i="210"/>
  <c r="D132" i="210"/>
  <c r="M144" i="210"/>
  <c r="J46" i="113"/>
  <c r="J23" i="183" s="1"/>
  <c r="N56" i="211"/>
  <c r="O59" i="206"/>
  <c r="N56" i="206"/>
  <c r="M62" i="206"/>
  <c r="G186" i="206"/>
  <c r="E191" i="206"/>
  <c r="G192" i="206"/>
  <c r="D196" i="206"/>
  <c r="D200" i="206"/>
  <c r="K203" i="206"/>
  <c r="N204" i="206"/>
  <c r="C206" i="206"/>
  <c r="C210" i="206"/>
  <c r="C214" i="206"/>
  <c r="F144" i="207"/>
  <c r="N144" i="207"/>
  <c r="J147" i="208"/>
  <c r="E147" i="209"/>
  <c r="O147" i="209"/>
  <c r="M59" i="210"/>
  <c r="B108" i="210"/>
  <c r="L108" i="210"/>
  <c r="F138" i="210"/>
  <c r="F139" i="210" s="1"/>
  <c r="F141" i="210" s="1"/>
  <c r="M45" i="113" s="1"/>
  <c r="G177" i="211"/>
  <c r="G178" i="211" s="1"/>
  <c r="G180" i="211" s="1"/>
  <c r="D144" i="212"/>
  <c r="D105" i="212"/>
  <c r="L144" i="212"/>
  <c r="L105" i="212"/>
  <c r="K147" i="212"/>
  <c r="K108" i="212"/>
  <c r="E113" i="212"/>
  <c r="E152" i="212"/>
  <c r="G114" i="212"/>
  <c r="G153" i="212"/>
  <c r="D118" i="212"/>
  <c r="D157" i="212"/>
  <c r="K125" i="212"/>
  <c r="K164" i="212"/>
  <c r="E99" i="212"/>
  <c r="E100" i="212" s="1"/>
  <c r="E33" i="212"/>
  <c r="N165" i="212"/>
  <c r="N126" i="212"/>
  <c r="C128" i="212"/>
  <c r="C167" i="212"/>
  <c r="C171" i="212"/>
  <c r="C132" i="212"/>
  <c r="C136" i="212"/>
  <c r="C175" i="212"/>
  <c r="O56" i="206"/>
  <c r="N56" i="207"/>
  <c r="M56" i="210"/>
  <c r="F105" i="210"/>
  <c r="N105" i="210"/>
  <c r="C108" i="210"/>
  <c r="M108" i="210"/>
  <c r="C114" i="210"/>
  <c r="D116" i="210"/>
  <c r="D120" i="210"/>
  <c r="G141" i="210"/>
  <c r="Q45" i="113" s="1"/>
  <c r="W45" i="123" s="1"/>
  <c r="D136" i="210"/>
  <c r="F177" i="210"/>
  <c r="F178" i="210" s="1"/>
  <c r="F180" i="210" s="1"/>
  <c r="G33" i="211"/>
  <c r="F102" i="211"/>
  <c r="I105" i="211"/>
  <c r="F108" i="211"/>
  <c r="D113" i="211"/>
  <c r="F114" i="211"/>
  <c r="C118" i="211"/>
  <c r="C122" i="211"/>
  <c r="J125" i="211"/>
  <c r="D126" i="211"/>
  <c r="M126" i="211"/>
  <c r="G127" i="211"/>
  <c r="D131" i="211"/>
  <c r="D135" i="211"/>
  <c r="G147" i="211"/>
  <c r="E152" i="211"/>
  <c r="G153" i="211"/>
  <c r="D157" i="211"/>
  <c r="D161" i="211"/>
  <c r="K164" i="211"/>
  <c r="N165" i="211"/>
  <c r="C167" i="211"/>
  <c r="C171" i="211"/>
  <c r="C175" i="211"/>
  <c r="G113" i="212"/>
  <c r="D115" i="212"/>
  <c r="D119" i="212"/>
  <c r="D123" i="212"/>
  <c r="B127" i="212"/>
  <c r="C129" i="212"/>
  <c r="C133" i="212"/>
  <c r="C137" i="212"/>
  <c r="H144" i="212"/>
  <c r="J164" i="212"/>
  <c r="E177" i="212"/>
  <c r="O165" i="212"/>
  <c r="D171" i="212"/>
  <c r="F46" i="113"/>
  <c r="F23" i="183" s="1"/>
  <c r="G102" i="211"/>
  <c r="J105" i="211"/>
  <c r="G138" i="211"/>
  <c r="G139" i="211" s="1"/>
  <c r="G141" i="211" s="1"/>
  <c r="Q48" i="113" s="1"/>
  <c r="E178" i="211"/>
  <c r="E180" i="211" s="1"/>
  <c r="E105" i="212"/>
  <c r="M105" i="212"/>
  <c r="B108" i="212"/>
  <c r="L108" i="212"/>
  <c r="B114" i="212"/>
  <c r="C116" i="212"/>
  <c r="C120" i="212"/>
  <c r="C124" i="212"/>
  <c r="N125" i="212"/>
  <c r="C127" i="212"/>
  <c r="D129" i="212"/>
  <c r="D133" i="212"/>
  <c r="D137" i="212"/>
  <c r="I144" i="212"/>
  <c r="E147" i="212"/>
  <c r="O147" i="212"/>
  <c r="C152" i="212"/>
  <c r="E153" i="212"/>
  <c r="D156" i="212"/>
  <c r="C161" i="212"/>
  <c r="D177" i="213"/>
  <c r="E178" i="213"/>
  <c r="E180" i="213" s="1"/>
  <c r="E178" i="214"/>
  <c r="E180" i="214" s="1"/>
  <c r="D177" i="214"/>
  <c r="B147" i="215"/>
  <c r="B108" i="215"/>
  <c r="L147" i="215"/>
  <c r="L108" i="215"/>
  <c r="F152" i="215"/>
  <c r="F113" i="215"/>
  <c r="C154" i="215"/>
  <c r="C115" i="215"/>
  <c r="C158" i="215"/>
  <c r="C119" i="215"/>
  <c r="C162" i="215"/>
  <c r="C123" i="215"/>
  <c r="L164" i="215"/>
  <c r="L125" i="215"/>
  <c r="F33" i="215"/>
  <c r="F99" i="215"/>
  <c r="O165" i="215"/>
  <c r="O126" i="215"/>
  <c r="D167" i="215"/>
  <c r="D128" i="215"/>
  <c r="D171" i="215"/>
  <c r="D132" i="215"/>
  <c r="D175" i="215"/>
  <c r="D136" i="215"/>
  <c r="C162" i="212"/>
  <c r="O56" i="211"/>
  <c r="O59" i="211" s="1"/>
  <c r="O62" i="211"/>
  <c r="C147" i="211"/>
  <c r="M147" i="211"/>
  <c r="C153" i="211"/>
  <c r="D155" i="211"/>
  <c r="D159" i="211"/>
  <c r="D163" i="211"/>
  <c r="O164" i="211"/>
  <c r="J165" i="211"/>
  <c r="D166" i="211"/>
  <c r="C169" i="211"/>
  <c r="C173" i="211"/>
  <c r="C177" i="211"/>
  <c r="D121" i="212"/>
  <c r="D125" i="212"/>
  <c r="C126" i="212"/>
  <c r="L126" i="212"/>
  <c r="F127" i="212"/>
  <c r="C131" i="212"/>
  <c r="C135" i="212"/>
  <c r="J147" i="212"/>
  <c r="F152" i="212"/>
  <c r="C154" i="212"/>
  <c r="C158" i="212"/>
  <c r="D167" i="212"/>
  <c r="D175" i="212"/>
  <c r="E139" i="213"/>
  <c r="E46" i="213" s="1"/>
  <c r="E180" i="210"/>
  <c r="E141" i="211"/>
  <c r="I48" i="113" s="1"/>
  <c r="O48" i="123" s="1"/>
  <c r="H144" i="211"/>
  <c r="B152" i="211"/>
  <c r="D153" i="211"/>
  <c r="C156" i="211"/>
  <c r="C160" i="211"/>
  <c r="C164" i="211"/>
  <c r="B165" i="211"/>
  <c r="K165" i="211"/>
  <c r="E166" i="211"/>
  <c r="D169" i="211"/>
  <c r="D173" i="211"/>
  <c r="F180" i="211"/>
  <c r="D126" i="212"/>
  <c r="M126" i="212"/>
  <c r="D131" i="212"/>
  <c r="O56" i="213"/>
  <c r="O59" i="213" s="1"/>
  <c r="G105" i="213"/>
  <c r="G144" i="213"/>
  <c r="O105" i="213"/>
  <c r="O144" i="213"/>
  <c r="D108" i="213"/>
  <c r="D147" i="213"/>
  <c r="N108" i="213"/>
  <c r="N147" i="213"/>
  <c r="C115" i="213"/>
  <c r="C154" i="213"/>
  <c r="C119" i="213"/>
  <c r="C158" i="213"/>
  <c r="C123" i="213"/>
  <c r="C162" i="213"/>
  <c r="L125" i="213"/>
  <c r="L164" i="213"/>
  <c r="F99" i="213"/>
  <c r="O126" i="213"/>
  <c r="O165" i="213"/>
  <c r="D128" i="213"/>
  <c r="D167" i="213"/>
  <c r="D132" i="213"/>
  <c r="D171" i="213"/>
  <c r="D136" i="213"/>
  <c r="D175" i="213"/>
  <c r="E147" i="211"/>
  <c r="O147" i="211"/>
  <c r="C152" i="211"/>
  <c r="E153" i="211"/>
  <c r="D156" i="211"/>
  <c r="D160" i="211"/>
  <c r="D164" i="211"/>
  <c r="C165" i="211"/>
  <c r="L165" i="211"/>
  <c r="F166" i="211"/>
  <c r="C170" i="211"/>
  <c r="C174" i="211"/>
  <c r="G33" i="213"/>
  <c r="G138" i="213"/>
  <c r="G139" i="213" s="1"/>
  <c r="G141" i="213" s="1"/>
  <c r="E105" i="215"/>
  <c r="N59" i="211"/>
  <c r="F33" i="212"/>
  <c r="E144" i="217"/>
  <c r="E105" i="217"/>
  <c r="M144" i="217"/>
  <c r="M105" i="217"/>
  <c r="B147" i="217"/>
  <c r="B108" i="217"/>
  <c r="L147" i="217"/>
  <c r="L108" i="217"/>
  <c r="F152" i="217"/>
  <c r="F113" i="217"/>
  <c r="C154" i="217"/>
  <c r="C115" i="217"/>
  <c r="C158" i="217"/>
  <c r="C119" i="217"/>
  <c r="C162" i="217"/>
  <c r="C123" i="217"/>
  <c r="L164" i="217"/>
  <c r="L125" i="217"/>
  <c r="F33" i="217"/>
  <c r="F99" i="217"/>
  <c r="F100" i="217" s="1"/>
  <c r="F102" i="217" s="1"/>
  <c r="M59" i="113" s="1"/>
  <c r="O165" i="217"/>
  <c r="O126" i="217"/>
  <c r="D167" i="217"/>
  <c r="D128" i="217"/>
  <c r="D171" i="217"/>
  <c r="D132" i="217"/>
  <c r="D175" i="217"/>
  <c r="D136" i="217"/>
  <c r="C105" i="213"/>
  <c r="K105" i="213"/>
  <c r="G108" i="213"/>
  <c r="E113" i="213"/>
  <c r="D118" i="213"/>
  <c r="D122" i="213"/>
  <c r="K125" i="213"/>
  <c r="N126" i="213"/>
  <c r="C128" i="213"/>
  <c r="C132" i="213"/>
  <c r="C136" i="213"/>
  <c r="D144" i="213"/>
  <c r="L144" i="213"/>
  <c r="J147" i="213"/>
  <c r="F152" i="213"/>
  <c r="M56" i="214"/>
  <c r="G105" i="214"/>
  <c r="O105" i="214"/>
  <c r="C108" i="214"/>
  <c r="M108" i="214"/>
  <c r="C114" i="214"/>
  <c r="D116" i="214"/>
  <c r="D120" i="214"/>
  <c r="D124" i="214"/>
  <c r="O125" i="214"/>
  <c r="J126" i="214"/>
  <c r="D127" i="214"/>
  <c r="C130" i="214"/>
  <c r="C134" i="214"/>
  <c r="C138" i="214"/>
  <c r="L56" i="113"/>
  <c r="C105" i="215"/>
  <c r="K105" i="215"/>
  <c r="G108" i="215"/>
  <c r="E113" i="215"/>
  <c r="G114" i="215"/>
  <c r="D118" i="215"/>
  <c r="D122" i="215"/>
  <c r="K125" i="215"/>
  <c r="E138" i="215"/>
  <c r="E45" i="215" s="1"/>
  <c r="N126" i="215"/>
  <c r="C128" i="215"/>
  <c r="C132" i="215"/>
  <c r="C136" i="215"/>
  <c r="D156" i="215"/>
  <c r="F166" i="215"/>
  <c r="E178" i="217"/>
  <c r="D177" i="217"/>
  <c r="E144" i="218"/>
  <c r="E183" i="218"/>
  <c r="E105" i="218"/>
  <c r="M144" i="218"/>
  <c r="M183" i="218"/>
  <c r="M105" i="218"/>
  <c r="B147" i="218"/>
  <c r="B186" i="218"/>
  <c r="B108" i="218"/>
  <c r="L147" i="218"/>
  <c r="L186" i="218"/>
  <c r="L108" i="218"/>
  <c r="F113" i="218"/>
  <c r="F152" i="218"/>
  <c r="F191" i="218"/>
  <c r="C115" i="218"/>
  <c r="C154" i="218"/>
  <c r="C193" i="218"/>
  <c r="C197" i="218"/>
  <c r="C119" i="218"/>
  <c r="C158" i="218"/>
  <c r="C201" i="218"/>
  <c r="C123" i="218"/>
  <c r="C162" i="218"/>
  <c r="L203" i="218"/>
  <c r="L125" i="218"/>
  <c r="L164" i="218"/>
  <c r="F99" i="218"/>
  <c r="F33" i="218"/>
  <c r="O204" i="218"/>
  <c r="O126" i="218"/>
  <c r="O165" i="218"/>
  <c r="D206" i="218"/>
  <c r="D128" i="218"/>
  <c r="D167" i="218"/>
  <c r="D210" i="218"/>
  <c r="D132" i="218"/>
  <c r="D171" i="218"/>
  <c r="D214" i="218"/>
  <c r="D136" i="218"/>
  <c r="D175" i="218"/>
  <c r="D138" i="218"/>
  <c r="F180" i="218"/>
  <c r="M64" i="113" s="1"/>
  <c r="S64" i="123" s="1"/>
  <c r="M56" i="213"/>
  <c r="M59" i="213" s="1"/>
  <c r="G99" i="213"/>
  <c r="J54" i="113"/>
  <c r="J26" i="183" s="1"/>
  <c r="H105" i="214"/>
  <c r="D108" i="214"/>
  <c r="N108" i="214"/>
  <c r="B113" i="214"/>
  <c r="D114" i="214"/>
  <c r="C117" i="214"/>
  <c r="C121" i="214"/>
  <c r="C125" i="214"/>
  <c r="B126" i="214"/>
  <c r="K126" i="214"/>
  <c r="E127" i="214"/>
  <c r="D130" i="214"/>
  <c r="D134" i="214"/>
  <c r="P56" i="113"/>
  <c r="G99" i="215"/>
  <c r="D99" i="215" s="1"/>
  <c r="D105" i="215"/>
  <c r="L105" i="215"/>
  <c r="E180" i="217"/>
  <c r="I82" i="218"/>
  <c r="I15" i="218"/>
  <c r="I69" i="218" s="1"/>
  <c r="N62" i="213"/>
  <c r="N59" i="213" s="1"/>
  <c r="D113" i="214"/>
  <c r="F114" i="214"/>
  <c r="C118" i="214"/>
  <c r="C122" i="214"/>
  <c r="J125" i="214"/>
  <c r="D126" i="214"/>
  <c r="M126" i="214"/>
  <c r="G127" i="214"/>
  <c r="D131" i="214"/>
  <c r="D135" i="214"/>
  <c r="F105" i="215"/>
  <c r="N105" i="215"/>
  <c r="E178" i="215"/>
  <c r="D177" i="215"/>
  <c r="I82" i="217"/>
  <c r="I15" i="217"/>
  <c r="I69" i="217" s="1"/>
  <c r="J52" i="113"/>
  <c r="J25" i="183" s="1"/>
  <c r="O62" i="213"/>
  <c r="E141" i="213"/>
  <c r="H144" i="213"/>
  <c r="B152" i="213"/>
  <c r="C156" i="213"/>
  <c r="C160" i="213"/>
  <c r="C164" i="213"/>
  <c r="B165" i="213"/>
  <c r="K165" i="213"/>
  <c r="E166" i="213"/>
  <c r="D169" i="213"/>
  <c r="D173" i="213"/>
  <c r="F180" i="213"/>
  <c r="C105" i="214"/>
  <c r="K105" i="214"/>
  <c r="E113" i="214"/>
  <c r="G114" i="214"/>
  <c r="D118" i="214"/>
  <c r="D122" i="214"/>
  <c r="K125" i="214"/>
  <c r="N126" i="214"/>
  <c r="C128" i="214"/>
  <c r="C132" i="214"/>
  <c r="C136" i="214"/>
  <c r="G105" i="215"/>
  <c r="O105" i="215"/>
  <c r="C108" i="215"/>
  <c r="M108" i="215"/>
  <c r="C114" i="215"/>
  <c r="D116" i="215"/>
  <c r="D120" i="215"/>
  <c r="D124" i="215"/>
  <c r="O125" i="215"/>
  <c r="J126" i="215"/>
  <c r="D127" i="215"/>
  <c r="C130" i="215"/>
  <c r="C134" i="215"/>
  <c r="C138" i="215"/>
  <c r="E180" i="215"/>
  <c r="G138" i="220"/>
  <c r="G33" i="220"/>
  <c r="N52" i="113"/>
  <c r="N25" i="183" s="1"/>
  <c r="E102" i="213"/>
  <c r="F141" i="213"/>
  <c r="I144" i="213"/>
  <c r="E147" i="213"/>
  <c r="O147" i="213"/>
  <c r="C152" i="213"/>
  <c r="D156" i="213"/>
  <c r="D160" i="213"/>
  <c r="D164" i="213"/>
  <c r="C165" i="213"/>
  <c r="L165" i="213"/>
  <c r="F166" i="213"/>
  <c r="C170" i="213"/>
  <c r="C174" i="213"/>
  <c r="G180" i="213"/>
  <c r="D105" i="214"/>
  <c r="L105" i="214"/>
  <c r="J108" i="214"/>
  <c r="F113" i="214"/>
  <c r="C115" i="214"/>
  <c r="C119" i="214"/>
  <c r="C123" i="214"/>
  <c r="L125" i="214"/>
  <c r="O126" i="214"/>
  <c r="D128" i="214"/>
  <c r="D132" i="214"/>
  <c r="D136" i="214"/>
  <c r="F56" i="113"/>
  <c r="F28" i="183" s="1"/>
  <c r="F29" i="183" s="1"/>
  <c r="G33" i="215"/>
  <c r="N62" i="215"/>
  <c r="E102" i="215"/>
  <c r="H105" i="215"/>
  <c r="D108" i="215"/>
  <c r="N108" i="215"/>
  <c r="B113" i="215"/>
  <c r="D114" i="215"/>
  <c r="C117" i="215"/>
  <c r="C121" i="215"/>
  <c r="C125" i="215"/>
  <c r="B126" i="215"/>
  <c r="K126" i="215"/>
  <c r="E127" i="215"/>
  <c r="D130" i="215"/>
  <c r="D134" i="215"/>
  <c r="J144" i="213"/>
  <c r="F147" i="213"/>
  <c r="D152" i="213"/>
  <c r="C157" i="213"/>
  <c r="C161" i="213"/>
  <c r="J164" i="213"/>
  <c r="D165" i="213"/>
  <c r="M165" i="213"/>
  <c r="G166" i="213"/>
  <c r="D170" i="213"/>
  <c r="D174" i="213"/>
  <c r="E105" i="214"/>
  <c r="M105" i="214"/>
  <c r="K108" i="214"/>
  <c r="G113" i="214"/>
  <c r="D115" i="214"/>
  <c r="D119" i="214"/>
  <c r="D123" i="214"/>
  <c r="M125" i="214"/>
  <c r="B127" i="214"/>
  <c r="C129" i="214"/>
  <c r="C133" i="214"/>
  <c r="C137" i="214"/>
  <c r="J56" i="113"/>
  <c r="J28" i="183" s="1"/>
  <c r="J29" i="183" s="1"/>
  <c r="O62" i="215"/>
  <c r="O59" i="215" s="1"/>
  <c r="I105" i="215"/>
  <c r="E108" i="215"/>
  <c r="O108" i="215"/>
  <c r="C113" i="215"/>
  <c r="E114" i="215"/>
  <c r="L126" i="215"/>
  <c r="F141" i="215"/>
  <c r="F105" i="214"/>
  <c r="N105" i="214"/>
  <c r="B108" i="214"/>
  <c r="L108" i="214"/>
  <c r="B114" i="214"/>
  <c r="C116" i="214"/>
  <c r="C120" i="214"/>
  <c r="C124" i="214"/>
  <c r="N125" i="214"/>
  <c r="I126" i="214"/>
  <c r="C127" i="214"/>
  <c r="D129" i="214"/>
  <c r="D133" i="214"/>
  <c r="D137" i="214"/>
  <c r="N56" i="113"/>
  <c r="N28" i="183" s="1"/>
  <c r="N29" i="183" s="1"/>
  <c r="H56" i="113"/>
  <c r="J105" i="215"/>
  <c r="F108" i="215"/>
  <c r="D113" i="215"/>
  <c r="F114" i="215"/>
  <c r="C118" i="215"/>
  <c r="C122" i="215"/>
  <c r="J125" i="215"/>
  <c r="D126" i="215"/>
  <c r="M126" i="215"/>
  <c r="G127" i="215"/>
  <c r="D131" i="215"/>
  <c r="D135" i="215"/>
  <c r="E178" i="218"/>
  <c r="E180" i="218" s="1"/>
  <c r="I64" i="113" s="1"/>
  <c r="O64" i="123" s="1"/>
  <c r="D177" i="218"/>
  <c r="E138" i="219"/>
  <c r="E33" i="219"/>
  <c r="E178" i="219"/>
  <c r="C105" i="217"/>
  <c r="K105" i="217"/>
  <c r="J108" i="217"/>
  <c r="G144" i="217"/>
  <c r="O144" i="217"/>
  <c r="C147" i="217"/>
  <c r="M147" i="217"/>
  <c r="C153" i="217"/>
  <c r="D155" i="217"/>
  <c r="D159" i="217"/>
  <c r="D163" i="217"/>
  <c r="O164" i="217"/>
  <c r="J165" i="217"/>
  <c r="D166" i="217"/>
  <c r="C169" i="217"/>
  <c r="C173" i="217"/>
  <c r="C177" i="217"/>
  <c r="L61" i="113"/>
  <c r="B114" i="218"/>
  <c r="C116" i="218"/>
  <c r="C120" i="218"/>
  <c r="C124" i="218"/>
  <c r="N125" i="218"/>
  <c r="I126" i="218"/>
  <c r="C127" i="218"/>
  <c r="D129" i="218"/>
  <c r="D133" i="218"/>
  <c r="D137" i="218"/>
  <c r="G144" i="218"/>
  <c r="O144" i="218"/>
  <c r="D147" i="218"/>
  <c r="N147" i="218"/>
  <c r="B152" i="218"/>
  <c r="D153" i="218"/>
  <c r="C156" i="218"/>
  <c r="C160" i="218"/>
  <c r="C164" i="218"/>
  <c r="B165" i="218"/>
  <c r="K165" i="218"/>
  <c r="E166" i="218"/>
  <c r="D169" i="218"/>
  <c r="D173" i="218"/>
  <c r="E186" i="218"/>
  <c r="O186" i="218"/>
  <c r="C191" i="218"/>
  <c r="E192" i="218"/>
  <c r="D197" i="218"/>
  <c r="G216" i="218"/>
  <c r="G217" i="218" s="1"/>
  <c r="G219" i="218" s="1"/>
  <c r="L183" i="220"/>
  <c r="F180" i="215"/>
  <c r="G99" i="217"/>
  <c r="G100" i="217" s="1"/>
  <c r="G102" i="217" s="1"/>
  <c r="Q59" i="113" s="1"/>
  <c r="D105" i="217"/>
  <c r="L105" i="217"/>
  <c r="K108" i="217"/>
  <c r="G113" i="217"/>
  <c r="D115" i="217"/>
  <c r="D119" i="217"/>
  <c r="D123" i="217"/>
  <c r="M125" i="217"/>
  <c r="B127" i="217"/>
  <c r="C129" i="217"/>
  <c r="C133" i="217"/>
  <c r="C137" i="217"/>
  <c r="H144" i="217"/>
  <c r="D147" i="217"/>
  <c r="N147" i="217"/>
  <c r="B152" i="217"/>
  <c r="D153" i="217"/>
  <c r="C156" i="217"/>
  <c r="C160" i="217"/>
  <c r="C164" i="217"/>
  <c r="B165" i="217"/>
  <c r="K165" i="217"/>
  <c r="E166" i="217"/>
  <c r="D169" i="217"/>
  <c r="D173" i="217"/>
  <c r="F180" i="217"/>
  <c r="F105" i="218"/>
  <c r="N105" i="218"/>
  <c r="C108" i="218"/>
  <c r="M108" i="218"/>
  <c r="C114" i="218"/>
  <c r="D116" i="218"/>
  <c r="D120" i="218"/>
  <c r="D124" i="218"/>
  <c r="O125" i="218"/>
  <c r="J126" i="218"/>
  <c r="D127" i="218"/>
  <c r="C130" i="218"/>
  <c r="C134" i="218"/>
  <c r="C138" i="218"/>
  <c r="E141" i="218"/>
  <c r="I63" i="113" s="1"/>
  <c r="O63" i="123" s="1"/>
  <c r="H144" i="218"/>
  <c r="E147" i="218"/>
  <c r="O147" i="218"/>
  <c r="C152" i="218"/>
  <c r="E153" i="218"/>
  <c r="D156" i="218"/>
  <c r="D160" i="218"/>
  <c r="D164" i="218"/>
  <c r="C165" i="218"/>
  <c r="L165" i="218"/>
  <c r="F166" i="218"/>
  <c r="C170" i="218"/>
  <c r="C174" i="218"/>
  <c r="G180" i="218"/>
  <c r="Q64" i="113" s="1"/>
  <c r="W64" i="123" s="1"/>
  <c r="J183" i="218"/>
  <c r="C198" i="218"/>
  <c r="I204" i="218"/>
  <c r="D215" i="218"/>
  <c r="F138" i="220"/>
  <c r="D122" i="222"/>
  <c r="F105" i="217"/>
  <c r="N105" i="217"/>
  <c r="J144" i="217"/>
  <c r="F147" i="217"/>
  <c r="D152" i="217"/>
  <c r="F153" i="217"/>
  <c r="C157" i="217"/>
  <c r="C161" i="217"/>
  <c r="J164" i="217"/>
  <c r="D165" i="217"/>
  <c r="M165" i="217"/>
  <c r="G166" i="217"/>
  <c r="D170" i="217"/>
  <c r="D174" i="217"/>
  <c r="D117" i="218"/>
  <c r="D121" i="218"/>
  <c r="D125" i="218"/>
  <c r="C126" i="218"/>
  <c r="L126" i="218"/>
  <c r="F127" i="218"/>
  <c r="C131" i="218"/>
  <c r="C135" i="218"/>
  <c r="G141" i="218"/>
  <c r="Q63" i="113" s="1"/>
  <c r="W63" i="123" s="1"/>
  <c r="J144" i="218"/>
  <c r="G147" i="218"/>
  <c r="E152" i="218"/>
  <c r="G153" i="218"/>
  <c r="D157" i="218"/>
  <c r="D161" i="218"/>
  <c r="K164" i="218"/>
  <c r="N165" i="218"/>
  <c r="C167" i="218"/>
  <c r="C171" i="218"/>
  <c r="C175" i="218"/>
  <c r="D183" i="218"/>
  <c r="L183" i="218"/>
  <c r="J186" i="218"/>
  <c r="C202" i="218"/>
  <c r="C205" i="218"/>
  <c r="F141" i="219"/>
  <c r="F177" i="219"/>
  <c r="F178" i="219" s="1"/>
  <c r="F180" i="219" s="1"/>
  <c r="C183" i="220"/>
  <c r="C144" i="220"/>
  <c r="K144" i="220"/>
  <c r="K183" i="220"/>
  <c r="J147" i="220"/>
  <c r="J186" i="220"/>
  <c r="D152" i="220"/>
  <c r="D191" i="220"/>
  <c r="D113" i="220"/>
  <c r="F153" i="220"/>
  <c r="F192" i="220"/>
  <c r="F114" i="220"/>
  <c r="C157" i="220"/>
  <c r="C196" i="220"/>
  <c r="C118" i="220"/>
  <c r="C161" i="220"/>
  <c r="C200" i="220"/>
  <c r="C122" i="220"/>
  <c r="J164" i="220"/>
  <c r="J203" i="220"/>
  <c r="J125" i="220"/>
  <c r="D165" i="220"/>
  <c r="D204" i="220"/>
  <c r="D126" i="220"/>
  <c r="M165" i="220"/>
  <c r="M204" i="220"/>
  <c r="M126" i="220"/>
  <c r="G166" i="220"/>
  <c r="G205" i="220"/>
  <c r="G127" i="220"/>
  <c r="D170" i="220"/>
  <c r="D209" i="220"/>
  <c r="D131" i="220"/>
  <c r="D174" i="220"/>
  <c r="D213" i="220"/>
  <c r="D135" i="220"/>
  <c r="K105" i="220"/>
  <c r="L105" i="223"/>
  <c r="G147" i="217"/>
  <c r="E152" i="217"/>
  <c r="G153" i="217"/>
  <c r="D157" i="217"/>
  <c r="D161" i="217"/>
  <c r="K164" i="217"/>
  <c r="N165" i="217"/>
  <c r="C167" i="217"/>
  <c r="C171" i="217"/>
  <c r="C175" i="217"/>
  <c r="C144" i="218"/>
  <c r="K144" i="218"/>
  <c r="J147" i="218"/>
  <c r="G177" i="219"/>
  <c r="G178" i="219" s="1"/>
  <c r="G180" i="219" s="1"/>
  <c r="D183" i="220"/>
  <c r="D144" i="220"/>
  <c r="K186" i="220"/>
  <c r="K147" i="220"/>
  <c r="E191" i="220"/>
  <c r="E152" i="220"/>
  <c r="E113" i="220"/>
  <c r="G192" i="220"/>
  <c r="G114" i="220"/>
  <c r="G153" i="220"/>
  <c r="D196" i="220"/>
  <c r="D118" i="220"/>
  <c r="D200" i="220"/>
  <c r="D161" i="220"/>
  <c r="D122" i="220"/>
  <c r="K203" i="220"/>
  <c r="K164" i="220"/>
  <c r="K125" i="220"/>
  <c r="E99" i="220"/>
  <c r="E33" i="220"/>
  <c r="N204" i="220"/>
  <c r="N126" i="220"/>
  <c r="N165" i="220"/>
  <c r="C206" i="220"/>
  <c r="C128" i="220"/>
  <c r="C210" i="220"/>
  <c r="C171" i="220"/>
  <c r="C132" i="220"/>
  <c r="C214" i="220"/>
  <c r="C175" i="220"/>
  <c r="C136" i="220"/>
  <c r="L105" i="220"/>
  <c r="P73" i="113"/>
  <c r="O62" i="223"/>
  <c r="D118" i="218"/>
  <c r="D122" i="218"/>
  <c r="K125" i="218"/>
  <c r="N126" i="218"/>
  <c r="C128" i="218"/>
  <c r="C132" i="218"/>
  <c r="C136" i="218"/>
  <c r="C172" i="218"/>
  <c r="B192" i="218"/>
  <c r="C194" i="218"/>
  <c r="N203" i="218"/>
  <c r="D207" i="218"/>
  <c r="F219" i="219"/>
  <c r="F100" i="220"/>
  <c r="C167" i="220"/>
  <c r="D105" i="222"/>
  <c r="D144" i="222"/>
  <c r="L105" i="222"/>
  <c r="L144" i="222"/>
  <c r="K147" i="222"/>
  <c r="K108" i="222"/>
  <c r="E152" i="222"/>
  <c r="E113" i="222"/>
  <c r="G153" i="222"/>
  <c r="G114" i="222"/>
  <c r="D157" i="222"/>
  <c r="D118" i="222"/>
  <c r="K164" i="222"/>
  <c r="K125" i="222"/>
  <c r="E99" i="222"/>
  <c r="E33" i="222"/>
  <c r="C167" i="222"/>
  <c r="C128" i="222"/>
  <c r="C171" i="222"/>
  <c r="C132" i="222"/>
  <c r="C175" i="222"/>
  <c r="C136" i="222"/>
  <c r="F177" i="222"/>
  <c r="F33" i="222"/>
  <c r="D144" i="223"/>
  <c r="D105" i="223"/>
  <c r="K147" i="223"/>
  <c r="K108" i="223"/>
  <c r="E152" i="223"/>
  <c r="E113" i="223"/>
  <c r="G153" i="223"/>
  <c r="G114" i="223"/>
  <c r="D118" i="223"/>
  <c r="D157" i="223"/>
  <c r="D122" i="223"/>
  <c r="D161" i="223"/>
  <c r="K125" i="223"/>
  <c r="K164" i="223"/>
  <c r="E33" i="223"/>
  <c r="E99" i="223"/>
  <c r="N126" i="223"/>
  <c r="N165" i="223"/>
  <c r="C128" i="223"/>
  <c r="C167" i="223"/>
  <c r="C132" i="223"/>
  <c r="C171" i="223"/>
  <c r="C136" i="223"/>
  <c r="C175" i="223"/>
  <c r="D172" i="218"/>
  <c r="D216" i="218"/>
  <c r="E217" i="218"/>
  <c r="G144" i="219"/>
  <c r="G183" i="219"/>
  <c r="G105" i="219"/>
  <c r="O144" i="219"/>
  <c r="O183" i="219"/>
  <c r="O105" i="219"/>
  <c r="D147" i="219"/>
  <c r="D186" i="219"/>
  <c r="D108" i="219"/>
  <c r="N147" i="219"/>
  <c r="N186" i="219"/>
  <c r="N108" i="219"/>
  <c r="B114" i="219"/>
  <c r="B153" i="219"/>
  <c r="C116" i="219"/>
  <c r="C155" i="219"/>
  <c r="C120" i="219"/>
  <c r="C159" i="219"/>
  <c r="C124" i="219"/>
  <c r="C163" i="219"/>
  <c r="N125" i="219"/>
  <c r="N164" i="219"/>
  <c r="I126" i="219"/>
  <c r="I165" i="219"/>
  <c r="C127" i="219"/>
  <c r="C166" i="219"/>
  <c r="D129" i="219"/>
  <c r="D168" i="219"/>
  <c r="D133" i="219"/>
  <c r="D172" i="219"/>
  <c r="D137" i="219"/>
  <c r="D176" i="219"/>
  <c r="G216" i="219"/>
  <c r="G217" i="219" s="1"/>
  <c r="G219" i="219" s="1"/>
  <c r="D157" i="220"/>
  <c r="G33" i="219"/>
  <c r="H144" i="219"/>
  <c r="H183" i="219"/>
  <c r="H105" i="219"/>
  <c r="E147" i="219"/>
  <c r="E186" i="219"/>
  <c r="E108" i="219"/>
  <c r="O147" i="219"/>
  <c r="O186" i="219"/>
  <c r="O108" i="219"/>
  <c r="C114" i="219"/>
  <c r="C153" i="219"/>
  <c r="C192" i="219"/>
  <c r="D116" i="219"/>
  <c r="D155" i="219"/>
  <c r="D194" i="219"/>
  <c r="D120" i="219"/>
  <c r="D159" i="219"/>
  <c r="D198" i="219"/>
  <c r="D124" i="219"/>
  <c r="D163" i="219"/>
  <c r="D202" i="219"/>
  <c r="O125" i="219"/>
  <c r="O164" i="219"/>
  <c r="O203" i="219"/>
  <c r="J126" i="219"/>
  <c r="J165" i="219"/>
  <c r="J204" i="219"/>
  <c r="D127" i="219"/>
  <c r="D166" i="219"/>
  <c r="D205" i="219"/>
  <c r="C130" i="219"/>
  <c r="C169" i="219"/>
  <c r="C208" i="219"/>
  <c r="C134" i="219"/>
  <c r="C173" i="219"/>
  <c r="C212" i="219"/>
  <c r="C138" i="219"/>
  <c r="C177" i="219"/>
  <c r="C216" i="219"/>
  <c r="C198" i="219"/>
  <c r="I204" i="219"/>
  <c r="D215" i="219"/>
  <c r="N126" i="222"/>
  <c r="B113" i="219"/>
  <c r="D114" i="219"/>
  <c r="C117" i="219"/>
  <c r="C121" i="219"/>
  <c r="C125" i="219"/>
  <c r="B126" i="219"/>
  <c r="K126" i="219"/>
  <c r="E127" i="219"/>
  <c r="D130" i="219"/>
  <c r="D134" i="219"/>
  <c r="I144" i="219"/>
  <c r="F147" i="219"/>
  <c r="D152" i="219"/>
  <c r="F153" i="219"/>
  <c r="C157" i="219"/>
  <c r="C161" i="219"/>
  <c r="J164" i="219"/>
  <c r="D165" i="219"/>
  <c r="M165" i="219"/>
  <c r="G166" i="219"/>
  <c r="D170" i="219"/>
  <c r="D174" i="219"/>
  <c r="C183" i="219"/>
  <c r="K183" i="219"/>
  <c r="G186" i="219"/>
  <c r="E191" i="219"/>
  <c r="G192" i="219"/>
  <c r="D196" i="219"/>
  <c r="D200" i="219"/>
  <c r="K203" i="219"/>
  <c r="N204" i="219"/>
  <c r="C206" i="219"/>
  <c r="C210" i="219"/>
  <c r="C214" i="219"/>
  <c r="O62" i="220"/>
  <c r="I183" i="220"/>
  <c r="I144" i="220"/>
  <c r="F147" i="220"/>
  <c r="F186" i="220"/>
  <c r="I105" i="220"/>
  <c r="F108" i="220"/>
  <c r="D163" i="220"/>
  <c r="C173" i="220"/>
  <c r="F183" i="220"/>
  <c r="D192" i="220"/>
  <c r="C202" i="220"/>
  <c r="I204" i="220"/>
  <c r="D210" i="220"/>
  <c r="H71" i="113"/>
  <c r="M62" i="222"/>
  <c r="D116" i="222"/>
  <c r="C134" i="222"/>
  <c r="G100" i="223"/>
  <c r="E139" i="216"/>
  <c r="E141" i="216" s="1"/>
  <c r="C113" i="219"/>
  <c r="E114" i="219"/>
  <c r="D117" i="219"/>
  <c r="D121" i="219"/>
  <c r="D125" i="219"/>
  <c r="C126" i="219"/>
  <c r="L126" i="219"/>
  <c r="F127" i="219"/>
  <c r="C131" i="219"/>
  <c r="C135" i="219"/>
  <c r="J144" i="219"/>
  <c r="D183" i="219"/>
  <c r="L183" i="219"/>
  <c r="J186" i="219"/>
  <c r="F191" i="219"/>
  <c r="C193" i="219"/>
  <c r="C197" i="219"/>
  <c r="C201" i="219"/>
  <c r="L203" i="219"/>
  <c r="O204" i="219"/>
  <c r="D206" i="219"/>
  <c r="D210" i="219"/>
  <c r="D214" i="219"/>
  <c r="E217" i="219"/>
  <c r="E219" i="219" s="1"/>
  <c r="C191" i="220"/>
  <c r="C152" i="220"/>
  <c r="E192" i="220"/>
  <c r="E153" i="220"/>
  <c r="D195" i="220"/>
  <c r="D156" i="220"/>
  <c r="D199" i="220"/>
  <c r="D160" i="220"/>
  <c r="D203" i="220"/>
  <c r="D164" i="220"/>
  <c r="C204" i="220"/>
  <c r="C165" i="220"/>
  <c r="L204" i="220"/>
  <c r="L165" i="220"/>
  <c r="F205" i="220"/>
  <c r="F166" i="220"/>
  <c r="C209" i="220"/>
  <c r="C170" i="220"/>
  <c r="C213" i="220"/>
  <c r="C174" i="220"/>
  <c r="J105" i="220"/>
  <c r="G108" i="220"/>
  <c r="D154" i="220"/>
  <c r="B166" i="220"/>
  <c r="H183" i="220"/>
  <c r="C193" i="220"/>
  <c r="C203" i="220"/>
  <c r="K204" i="220"/>
  <c r="D211" i="220"/>
  <c r="F219" i="220"/>
  <c r="E219" i="218"/>
  <c r="E144" i="219"/>
  <c r="M144" i="219"/>
  <c r="B147" i="219"/>
  <c r="L147" i="219"/>
  <c r="C186" i="219"/>
  <c r="M186" i="219"/>
  <c r="E144" i="220"/>
  <c r="E183" i="220"/>
  <c r="M144" i="220"/>
  <c r="M183" i="220"/>
  <c r="E105" i="220"/>
  <c r="M105" i="220"/>
  <c r="B108" i="220"/>
  <c r="L108" i="220"/>
  <c r="B114" i="220"/>
  <c r="C116" i="220"/>
  <c r="C120" i="220"/>
  <c r="C124" i="220"/>
  <c r="N125" i="220"/>
  <c r="I126" i="220"/>
  <c r="C127" i="220"/>
  <c r="D129" i="220"/>
  <c r="D133" i="220"/>
  <c r="D137" i="220"/>
  <c r="D158" i="220"/>
  <c r="E178" i="220"/>
  <c r="E180" i="220" s="1"/>
  <c r="I70" i="113" s="1"/>
  <c r="O70" i="123" s="1"/>
  <c r="C168" i="220"/>
  <c r="C197" i="220"/>
  <c r="B204" i="220"/>
  <c r="E205" i="220"/>
  <c r="D215" i="220"/>
  <c r="D124" i="222"/>
  <c r="D127" i="222"/>
  <c r="G144" i="224"/>
  <c r="G105" i="224"/>
  <c r="O144" i="224"/>
  <c r="O105" i="224"/>
  <c r="D147" i="224"/>
  <c r="D108" i="224"/>
  <c r="N147" i="224"/>
  <c r="N108" i="224"/>
  <c r="B114" i="224"/>
  <c r="B153" i="224"/>
  <c r="C116" i="224"/>
  <c r="C155" i="224"/>
  <c r="C120" i="224"/>
  <c r="C159" i="224"/>
  <c r="C124" i="224"/>
  <c r="C163" i="224"/>
  <c r="N125" i="224"/>
  <c r="N164" i="224"/>
  <c r="I126" i="224"/>
  <c r="I165" i="224"/>
  <c r="C127" i="224"/>
  <c r="C166" i="224"/>
  <c r="D129" i="224"/>
  <c r="D168" i="224"/>
  <c r="D133" i="224"/>
  <c r="D172" i="224"/>
  <c r="D137" i="224"/>
  <c r="D176" i="224"/>
  <c r="E138" i="224"/>
  <c r="E33" i="224"/>
  <c r="F219" i="218"/>
  <c r="M56" i="219"/>
  <c r="F144" i="219"/>
  <c r="N144" i="219"/>
  <c r="C147" i="219"/>
  <c r="M147" i="219"/>
  <c r="E180" i="219"/>
  <c r="B191" i="219"/>
  <c r="D192" i="219"/>
  <c r="C195" i="219"/>
  <c r="C199" i="219"/>
  <c r="C203" i="219"/>
  <c r="B204" i="219"/>
  <c r="K204" i="219"/>
  <c r="E205" i="219"/>
  <c r="D208" i="219"/>
  <c r="D212" i="219"/>
  <c r="N105" i="220"/>
  <c r="C108" i="220"/>
  <c r="M108" i="220"/>
  <c r="C114" i="220"/>
  <c r="D116" i="220"/>
  <c r="D120" i="220"/>
  <c r="D124" i="220"/>
  <c r="O125" i="220"/>
  <c r="J126" i="220"/>
  <c r="D127" i="220"/>
  <c r="C130" i="220"/>
  <c r="C134" i="220"/>
  <c r="C138" i="220"/>
  <c r="D159" i="220"/>
  <c r="C169" i="220"/>
  <c r="L186" i="220"/>
  <c r="B191" i="220"/>
  <c r="C198" i="220"/>
  <c r="D206" i="220"/>
  <c r="D216" i="220"/>
  <c r="G100" i="222"/>
  <c r="G45" i="222"/>
  <c r="G102" i="223"/>
  <c r="J65" i="113"/>
  <c r="J33" i="183" s="1"/>
  <c r="C191" i="219"/>
  <c r="E192" i="219"/>
  <c r="D195" i="219"/>
  <c r="D199" i="219"/>
  <c r="D203" i="219"/>
  <c r="C204" i="219"/>
  <c r="L204" i="219"/>
  <c r="F205" i="219"/>
  <c r="C209" i="219"/>
  <c r="C213" i="219"/>
  <c r="J67" i="113"/>
  <c r="J34" i="183" s="1"/>
  <c r="G144" i="220"/>
  <c r="G183" i="220"/>
  <c r="O144" i="220"/>
  <c r="O183" i="220"/>
  <c r="G105" i="220"/>
  <c r="O105" i="220"/>
  <c r="D108" i="220"/>
  <c r="N108" i="220"/>
  <c r="M147" i="220"/>
  <c r="G152" i="220"/>
  <c r="G180" i="220"/>
  <c r="Q70" i="113" s="1"/>
  <c r="W70" i="123" s="1"/>
  <c r="N186" i="220"/>
  <c r="F191" i="220"/>
  <c r="C199" i="220"/>
  <c r="D207" i="220"/>
  <c r="H144" i="222"/>
  <c r="N67" i="113"/>
  <c r="N34" i="183" s="1"/>
  <c r="N62" i="220"/>
  <c r="E186" i="220"/>
  <c r="E147" i="220"/>
  <c r="O186" i="220"/>
  <c r="O147" i="220"/>
  <c r="H105" i="220"/>
  <c r="E108" i="220"/>
  <c r="O108" i="220"/>
  <c r="C153" i="220"/>
  <c r="D162" i="220"/>
  <c r="J165" i="220"/>
  <c r="C172" i="220"/>
  <c r="B192" i="220"/>
  <c r="C201" i="220"/>
  <c r="D208" i="220"/>
  <c r="F71" i="113"/>
  <c r="F36" i="183" s="1"/>
  <c r="E108" i="222"/>
  <c r="E147" i="222"/>
  <c r="O108" i="222"/>
  <c r="O147" i="222"/>
  <c r="E139" i="222"/>
  <c r="E141" i="222" s="1"/>
  <c r="D138" i="222"/>
  <c r="P71" i="113"/>
  <c r="O56" i="222"/>
  <c r="E105" i="222"/>
  <c r="M105" i="222"/>
  <c r="G113" i="222"/>
  <c r="D115" i="222"/>
  <c r="D119" i="222"/>
  <c r="D123" i="222"/>
  <c r="M125" i="222"/>
  <c r="B127" i="222"/>
  <c r="C129" i="222"/>
  <c r="C133" i="222"/>
  <c r="C137" i="222"/>
  <c r="F144" i="222"/>
  <c r="N144" i="222"/>
  <c r="B147" i="222"/>
  <c r="L147" i="222"/>
  <c r="B153" i="222"/>
  <c r="C155" i="222"/>
  <c r="C159" i="222"/>
  <c r="C163" i="222"/>
  <c r="N164" i="222"/>
  <c r="I165" i="222"/>
  <c r="C166" i="222"/>
  <c r="D168" i="222"/>
  <c r="D172" i="222"/>
  <c r="D176" i="222"/>
  <c r="N73" i="113"/>
  <c r="N37" i="183" s="1"/>
  <c r="H73" i="113"/>
  <c r="D121" i="223"/>
  <c r="D160" i="223"/>
  <c r="D125" i="223"/>
  <c r="D164" i="223"/>
  <c r="C126" i="223"/>
  <c r="C165" i="223"/>
  <c r="L126" i="223"/>
  <c r="L165" i="223"/>
  <c r="F127" i="223"/>
  <c r="F166" i="223"/>
  <c r="C131" i="223"/>
  <c r="C170" i="223"/>
  <c r="C135" i="223"/>
  <c r="C174" i="223"/>
  <c r="J105" i="223"/>
  <c r="F108" i="223"/>
  <c r="D113" i="223"/>
  <c r="F114" i="223"/>
  <c r="C118" i="223"/>
  <c r="C123" i="223"/>
  <c r="C176" i="223"/>
  <c r="E144" i="224"/>
  <c r="E105" i="224"/>
  <c r="M144" i="224"/>
  <c r="M105" i="224"/>
  <c r="F33" i="224"/>
  <c r="F99" i="224"/>
  <c r="F100" i="224" s="1"/>
  <c r="C162" i="224"/>
  <c r="O165" i="224"/>
  <c r="J147" i="216"/>
  <c r="J108" i="216"/>
  <c r="D152" i="216"/>
  <c r="D113" i="216"/>
  <c r="F153" i="216"/>
  <c r="F114" i="216"/>
  <c r="C157" i="216"/>
  <c r="C118" i="216"/>
  <c r="C161" i="216"/>
  <c r="C122" i="216"/>
  <c r="J164" i="216"/>
  <c r="J125" i="216"/>
  <c r="D165" i="216"/>
  <c r="D126" i="216"/>
  <c r="M165" i="216"/>
  <c r="M126" i="216"/>
  <c r="G166" i="216"/>
  <c r="G127" i="216"/>
  <c r="D170" i="216"/>
  <c r="D131" i="216"/>
  <c r="D174" i="216"/>
  <c r="D135" i="216"/>
  <c r="K105" i="216"/>
  <c r="F177" i="220"/>
  <c r="F178" i="220" s="1"/>
  <c r="F180" i="220" s="1"/>
  <c r="M70" i="113" s="1"/>
  <c r="F99" i="223"/>
  <c r="C105" i="223"/>
  <c r="D124" i="223"/>
  <c r="J126" i="223"/>
  <c r="D132" i="223"/>
  <c r="D158" i="223"/>
  <c r="G177" i="223"/>
  <c r="G178" i="223" s="1"/>
  <c r="G180" i="223" s="1"/>
  <c r="B147" i="224"/>
  <c r="E45" i="216"/>
  <c r="E100" i="216"/>
  <c r="F45" i="222"/>
  <c r="O62" i="222"/>
  <c r="C152" i="222"/>
  <c r="E153" i="222"/>
  <c r="D156" i="222"/>
  <c r="D160" i="222"/>
  <c r="D164" i="222"/>
  <c r="C165" i="222"/>
  <c r="L165" i="222"/>
  <c r="F166" i="222"/>
  <c r="C170" i="222"/>
  <c r="C174" i="222"/>
  <c r="M105" i="223"/>
  <c r="G113" i="223"/>
  <c r="D115" i="223"/>
  <c r="L125" i="223"/>
  <c r="O126" i="223"/>
  <c r="H144" i="223"/>
  <c r="D162" i="223"/>
  <c r="L147" i="224"/>
  <c r="J144" i="222"/>
  <c r="N59" i="223"/>
  <c r="M56" i="223"/>
  <c r="M59" i="223" s="1"/>
  <c r="F105" i="223"/>
  <c r="N105" i="223"/>
  <c r="O125" i="223"/>
  <c r="D127" i="223"/>
  <c r="C168" i="223"/>
  <c r="F75" i="113"/>
  <c r="F38" i="183" s="1"/>
  <c r="M62" i="224"/>
  <c r="J78" i="113"/>
  <c r="J39" i="183" s="1"/>
  <c r="N56" i="216"/>
  <c r="E219" i="220"/>
  <c r="M62" i="223"/>
  <c r="C124" i="223"/>
  <c r="C163" i="223"/>
  <c r="N125" i="223"/>
  <c r="N164" i="223"/>
  <c r="I126" i="223"/>
  <c r="I165" i="223"/>
  <c r="C127" i="223"/>
  <c r="C166" i="223"/>
  <c r="D129" i="223"/>
  <c r="D168" i="223"/>
  <c r="D133" i="223"/>
  <c r="D172" i="223"/>
  <c r="D137" i="223"/>
  <c r="D176" i="223"/>
  <c r="G105" i="223"/>
  <c r="O105" i="223"/>
  <c r="C108" i="223"/>
  <c r="M108" i="223"/>
  <c r="C114" i="223"/>
  <c r="D116" i="223"/>
  <c r="D120" i="223"/>
  <c r="D126" i="223"/>
  <c r="G127" i="223"/>
  <c r="C138" i="223"/>
  <c r="M164" i="223"/>
  <c r="G138" i="224"/>
  <c r="G139" i="224" s="1"/>
  <c r="G141" i="224" s="1"/>
  <c r="Q77" i="113" s="1"/>
  <c r="F177" i="224"/>
  <c r="F178" i="224" s="1"/>
  <c r="F180" i="224" s="1"/>
  <c r="E177" i="223"/>
  <c r="C172" i="223"/>
  <c r="L78" i="113"/>
  <c r="N62" i="216"/>
  <c r="F100" i="216"/>
  <c r="N5" i="183"/>
  <c r="F5" i="113"/>
  <c r="N5" i="113" s="1"/>
  <c r="J73" i="113"/>
  <c r="J37" i="183" s="1"/>
  <c r="C125" i="223"/>
  <c r="C164" i="223"/>
  <c r="B126" i="223"/>
  <c r="B165" i="223"/>
  <c r="K126" i="223"/>
  <c r="K165" i="223"/>
  <c r="E127" i="223"/>
  <c r="E166" i="223"/>
  <c r="D130" i="223"/>
  <c r="D169" i="223"/>
  <c r="D134" i="223"/>
  <c r="D173" i="223"/>
  <c r="I105" i="223"/>
  <c r="E108" i="223"/>
  <c r="O108" i="223"/>
  <c r="C113" i="223"/>
  <c r="E114" i="223"/>
  <c r="D117" i="223"/>
  <c r="C122" i="223"/>
  <c r="F141" i="223"/>
  <c r="C130" i="223"/>
  <c r="E139" i="223"/>
  <c r="E141" i="223" s="1"/>
  <c r="C105" i="216"/>
  <c r="E178" i="225"/>
  <c r="J75" i="113"/>
  <c r="J38" i="183" s="1"/>
  <c r="N62" i="224"/>
  <c r="C153" i="224"/>
  <c r="D155" i="224"/>
  <c r="D159" i="224"/>
  <c r="D163" i="224"/>
  <c r="O164" i="224"/>
  <c r="J165" i="224"/>
  <c r="D166" i="224"/>
  <c r="C169" i="224"/>
  <c r="C173" i="224"/>
  <c r="C177" i="224"/>
  <c r="E180" i="224"/>
  <c r="G99" i="216"/>
  <c r="D99" i="216" s="1"/>
  <c r="D105" i="216"/>
  <c r="L105" i="216"/>
  <c r="F138" i="216"/>
  <c r="F139" i="216" s="1"/>
  <c r="F141" i="216" s="1"/>
  <c r="G152" i="216"/>
  <c r="D162" i="216"/>
  <c r="N75" i="113"/>
  <c r="N38" i="183" s="1"/>
  <c r="O62" i="224"/>
  <c r="H105" i="224"/>
  <c r="E108" i="224"/>
  <c r="O108" i="224"/>
  <c r="B152" i="224"/>
  <c r="D153" i="224"/>
  <c r="C156" i="224"/>
  <c r="C160" i="224"/>
  <c r="C164" i="224"/>
  <c r="B165" i="224"/>
  <c r="K165" i="224"/>
  <c r="E166" i="224"/>
  <c r="D169" i="224"/>
  <c r="D173" i="224"/>
  <c r="E105" i="216"/>
  <c r="M105" i="216"/>
  <c r="K108" i="216"/>
  <c r="E113" i="216"/>
  <c r="G114" i="216"/>
  <c r="D118" i="216"/>
  <c r="D122" i="216"/>
  <c r="K125" i="216"/>
  <c r="N126" i="216"/>
  <c r="C128" i="216"/>
  <c r="C132" i="216"/>
  <c r="C136" i="216"/>
  <c r="B153" i="216"/>
  <c r="C156" i="216"/>
  <c r="C163" i="216"/>
  <c r="E139" i="225"/>
  <c r="D152" i="225"/>
  <c r="I105" i="224"/>
  <c r="F108" i="224"/>
  <c r="F141" i="224"/>
  <c r="M77" i="113" s="1"/>
  <c r="S77" i="123" s="1"/>
  <c r="C152" i="224"/>
  <c r="E153" i="224"/>
  <c r="D156" i="224"/>
  <c r="D160" i="224"/>
  <c r="D164" i="224"/>
  <c r="C165" i="224"/>
  <c r="L165" i="224"/>
  <c r="F166" i="224"/>
  <c r="C170" i="224"/>
  <c r="C174" i="224"/>
  <c r="G180" i="224"/>
  <c r="N59" i="216"/>
  <c r="M56" i="216"/>
  <c r="M59" i="216" s="1"/>
  <c r="F105" i="216"/>
  <c r="N105" i="216"/>
  <c r="B108" i="216"/>
  <c r="L108" i="216"/>
  <c r="C119" i="216"/>
  <c r="L125" i="216"/>
  <c r="O126" i="216"/>
  <c r="D128" i="216"/>
  <c r="D132" i="216"/>
  <c r="D136" i="216"/>
  <c r="F100" i="225"/>
  <c r="E141" i="225"/>
  <c r="F153" i="225"/>
  <c r="M165" i="225"/>
  <c r="J105" i="224"/>
  <c r="G108" i="224"/>
  <c r="D152" i="224"/>
  <c r="F153" i="224"/>
  <c r="C157" i="224"/>
  <c r="C161" i="224"/>
  <c r="J164" i="224"/>
  <c r="D165" i="224"/>
  <c r="M165" i="224"/>
  <c r="G166" i="224"/>
  <c r="D170" i="224"/>
  <c r="D174" i="224"/>
  <c r="M62" i="216"/>
  <c r="G105" i="216"/>
  <c r="O105" i="216"/>
  <c r="C108" i="216"/>
  <c r="M108" i="216"/>
  <c r="D115" i="216"/>
  <c r="D119" i="216"/>
  <c r="M125" i="216"/>
  <c r="B127" i="216"/>
  <c r="C129" i="216"/>
  <c r="C133" i="216"/>
  <c r="D153" i="216"/>
  <c r="C164" i="216"/>
  <c r="L80" i="113"/>
  <c r="N62" i="225"/>
  <c r="C105" i="225"/>
  <c r="C157" i="225"/>
  <c r="G166" i="225"/>
  <c r="G141" i="223"/>
  <c r="C105" i="224"/>
  <c r="K105" i="224"/>
  <c r="O56" i="216"/>
  <c r="O59" i="216" s="1"/>
  <c r="E102" i="216"/>
  <c r="C120" i="216"/>
  <c r="N125" i="216"/>
  <c r="I126" i="216"/>
  <c r="C127" i="216"/>
  <c r="D129" i="216"/>
  <c r="D133" i="216"/>
  <c r="D137" i="216"/>
  <c r="J147" i="225"/>
  <c r="J108" i="225"/>
  <c r="K105" i="225"/>
  <c r="C161" i="225"/>
  <c r="D170" i="225"/>
  <c r="I105" i="216"/>
  <c r="B152" i="216"/>
  <c r="E178" i="216"/>
  <c r="E180" i="216" s="1"/>
  <c r="D177" i="216"/>
  <c r="E45" i="225"/>
  <c r="E100" i="225"/>
  <c r="E46" i="225" s="1"/>
  <c r="C121" i="216"/>
  <c r="B126" i="216"/>
  <c r="K126" i="216"/>
  <c r="E127" i="216"/>
  <c r="D130" i="216"/>
  <c r="D134" i="216"/>
  <c r="F102" i="225"/>
  <c r="D165" i="225"/>
  <c r="F180" i="216"/>
  <c r="G99" i="225"/>
  <c r="D99" i="225" s="1"/>
  <c r="D105" i="225"/>
  <c r="L105" i="225"/>
  <c r="F138" i="225"/>
  <c r="F139" i="225" s="1"/>
  <c r="F141" i="225" s="1"/>
  <c r="E152" i="225"/>
  <c r="G153" i="225"/>
  <c r="D157" i="225"/>
  <c r="D161" i="225"/>
  <c r="K164" i="225"/>
  <c r="N165" i="225"/>
  <c r="C167" i="225"/>
  <c r="C171" i="225"/>
  <c r="C175" i="225"/>
  <c r="G177" i="225"/>
  <c r="G178" i="225" s="1"/>
  <c r="G180" i="225" s="1"/>
  <c r="N80" i="113"/>
  <c r="N40" i="183" s="1"/>
  <c r="C406" i="45"/>
  <c r="G180" i="216"/>
  <c r="E105" i="225"/>
  <c r="M105" i="225"/>
  <c r="K108" i="225"/>
  <c r="F152" i="225"/>
  <c r="C154" i="225"/>
  <c r="C158" i="225"/>
  <c r="C162" i="225"/>
  <c r="L164" i="225"/>
  <c r="O165" i="225"/>
  <c r="D167" i="225"/>
  <c r="D171" i="225"/>
  <c r="D175" i="225"/>
  <c r="P80" i="113"/>
  <c r="M56" i="225"/>
  <c r="M59" i="225" s="1"/>
  <c r="F105" i="225"/>
  <c r="N105" i="225"/>
  <c r="B108" i="225"/>
  <c r="L108" i="225"/>
  <c r="G152" i="225"/>
  <c r="D154" i="225"/>
  <c r="D158" i="225"/>
  <c r="D162" i="225"/>
  <c r="M164" i="225"/>
  <c r="B166" i="225"/>
  <c r="C168" i="225"/>
  <c r="C172" i="225"/>
  <c r="C176" i="225"/>
  <c r="N56" i="225"/>
  <c r="N59" i="225" s="1"/>
  <c r="M62" i="225"/>
  <c r="G105" i="225"/>
  <c r="O105" i="225"/>
  <c r="C108" i="225"/>
  <c r="M108" i="225"/>
  <c r="B153" i="225"/>
  <c r="C155" i="225"/>
  <c r="C159" i="225"/>
  <c r="C163" i="225"/>
  <c r="N164" i="225"/>
  <c r="I165" i="225"/>
  <c r="C166" i="225"/>
  <c r="D168" i="225"/>
  <c r="D172" i="225"/>
  <c r="D176" i="225"/>
  <c r="E102" i="225"/>
  <c r="H105" i="225"/>
  <c r="D108" i="225"/>
  <c r="N108" i="225"/>
  <c r="C153" i="225"/>
  <c r="D155" i="225"/>
  <c r="D159" i="225"/>
  <c r="D163" i="225"/>
  <c r="O164" i="225"/>
  <c r="J165" i="225"/>
  <c r="D166" i="225"/>
  <c r="C169" i="225"/>
  <c r="C173" i="225"/>
  <c r="C177" i="225"/>
  <c r="E180" i="225"/>
  <c r="I105" i="225"/>
  <c r="E108" i="225"/>
  <c r="O108" i="225"/>
  <c r="B152" i="225"/>
  <c r="D153" i="225"/>
  <c r="C156" i="225"/>
  <c r="C160" i="225"/>
  <c r="C164" i="225"/>
  <c r="B165" i="225"/>
  <c r="K165" i="225"/>
  <c r="E166" i="225"/>
  <c r="D169" i="225"/>
  <c r="D173" i="225"/>
  <c r="S126" i="45"/>
  <c r="T192" i="45"/>
  <c r="T216" i="45"/>
  <c r="S318" i="45"/>
  <c r="T336" i="45"/>
  <c r="S390" i="45"/>
  <c r="O18" i="192"/>
  <c r="G16" i="2" s="1"/>
  <c r="I15" i="213"/>
  <c r="I69" i="213" s="1"/>
  <c r="K27" i="113"/>
  <c r="O27" i="113"/>
  <c r="T66" i="45"/>
  <c r="T138" i="45"/>
  <c r="T186" i="45"/>
  <c r="S270" i="45"/>
  <c r="N19" i="228"/>
  <c r="N59" i="202"/>
  <c r="N59" i="206"/>
  <c r="M59" i="209"/>
  <c r="N59" i="210"/>
  <c r="A18" i="213"/>
  <c r="A48" i="213" s="1"/>
  <c r="A102" i="213" s="1"/>
  <c r="A180" i="213" s="1"/>
  <c r="N59" i="215"/>
  <c r="O59" i="223"/>
  <c r="O59" i="225"/>
  <c r="H5" i="113"/>
  <c r="P5" i="113" s="1"/>
  <c r="G36" i="113"/>
  <c r="O45" i="113"/>
  <c r="C5" i="113"/>
  <c r="D5" i="126" s="1"/>
  <c r="F60" i="45"/>
  <c r="I60" i="45" s="1"/>
  <c r="L60" i="45" s="1"/>
  <c r="O60" i="45" s="1"/>
  <c r="R60" i="45" s="1"/>
  <c r="T78" i="45"/>
  <c r="S84" i="45"/>
  <c r="S168" i="45"/>
  <c r="S234" i="45"/>
  <c r="S426" i="45"/>
  <c r="O36" i="192"/>
  <c r="G31" i="2" s="1"/>
  <c r="M19" i="228"/>
  <c r="I15" i="199"/>
  <c r="I69" i="199" s="1"/>
  <c r="I15" i="200"/>
  <c r="I69" i="200" s="1"/>
  <c r="I108" i="200" s="1"/>
  <c r="J14" i="113"/>
  <c r="J9" i="183" s="1"/>
  <c r="I15" i="203"/>
  <c r="I69" i="203" s="1"/>
  <c r="G77" i="228"/>
  <c r="E13" i="229" s="1"/>
  <c r="O41" i="228"/>
  <c r="I15" i="207"/>
  <c r="I69" i="207" s="1"/>
  <c r="I15" i="208"/>
  <c r="I69" i="208" s="1"/>
  <c r="I15" i="211"/>
  <c r="I69" i="211" s="1"/>
  <c r="I15" i="224"/>
  <c r="I69" i="224" s="1"/>
  <c r="I108" i="224" s="1"/>
  <c r="I15" i="216"/>
  <c r="I69" i="216" s="1"/>
  <c r="I147" i="216" s="1"/>
  <c r="A58" i="105"/>
  <c r="A67" i="232" s="1"/>
  <c r="A97" i="105"/>
  <c r="A115" i="232" s="1"/>
  <c r="A33" i="105"/>
  <c r="A39" i="232" s="1"/>
  <c r="D62" i="60"/>
  <c r="P68" i="60"/>
  <c r="D79" i="60"/>
  <c r="Q79" i="60"/>
  <c r="H84" i="60"/>
  <c r="L84" i="60"/>
  <c r="P89" i="60"/>
  <c r="Q105" i="60"/>
  <c r="D110" i="60"/>
  <c r="P116" i="60"/>
  <c r="L116" i="60"/>
  <c r="P146" i="60"/>
  <c r="D167" i="60"/>
  <c r="P177" i="60"/>
  <c r="P29" i="60"/>
  <c r="L29" i="60"/>
  <c r="H39" i="60"/>
  <c r="D152" i="60"/>
  <c r="Q152" i="60"/>
  <c r="H157" i="60"/>
  <c r="L157" i="60"/>
  <c r="P167" i="60"/>
  <c r="G45" i="224"/>
  <c r="M56" i="220"/>
  <c r="P48" i="60"/>
  <c r="H79" i="60"/>
  <c r="L79" i="60"/>
  <c r="H89" i="60"/>
  <c r="L89" i="60"/>
  <c r="D135" i="60"/>
  <c r="Q146" i="60"/>
  <c r="H152" i="60"/>
  <c r="L152" i="60"/>
  <c r="D162" i="60"/>
  <c r="H167" i="60"/>
  <c r="L167" i="60"/>
  <c r="H177" i="60"/>
  <c r="L177" i="60"/>
  <c r="D23" i="60"/>
  <c r="D29" i="60"/>
  <c r="D34" i="60"/>
  <c r="Q48" i="60"/>
  <c r="Q62" i="60"/>
  <c r="P105" i="60"/>
  <c r="D122" i="60"/>
  <c r="H146" i="60"/>
  <c r="J95" i="60"/>
  <c r="J179" i="60" s="1"/>
  <c r="N25" i="113"/>
  <c r="N14" i="183" s="1"/>
  <c r="E139" i="203"/>
  <c r="D138" i="203"/>
  <c r="G45" i="201"/>
  <c r="J16" i="113"/>
  <c r="J10" i="183" s="1"/>
  <c r="F45" i="201"/>
  <c r="E45" i="201"/>
  <c r="S30" i="45"/>
  <c r="T42" i="45"/>
  <c r="T48" i="45"/>
  <c r="H54" i="45"/>
  <c r="K54" i="45" s="1"/>
  <c r="N54" i="45" s="1"/>
  <c r="Q54" i="45" s="1"/>
  <c r="F72" i="45"/>
  <c r="I72" i="45" s="1"/>
  <c r="L72" i="45" s="1"/>
  <c r="O72" i="45" s="1"/>
  <c r="R72" i="45" s="1"/>
  <c r="T72" i="45"/>
  <c r="F96" i="45"/>
  <c r="I96" i="45" s="1"/>
  <c r="L96" i="45" s="1"/>
  <c r="O96" i="45" s="1"/>
  <c r="R96" i="45" s="1"/>
  <c r="T96" i="45"/>
  <c r="S102" i="45"/>
  <c r="G108" i="45"/>
  <c r="J108" i="45" s="1"/>
  <c r="M108" i="45" s="1"/>
  <c r="P108" i="45" s="1"/>
  <c r="T114" i="45"/>
  <c r="T120" i="45"/>
  <c r="F126" i="45"/>
  <c r="I126" i="45" s="1"/>
  <c r="L126" i="45" s="1"/>
  <c r="O126" i="45" s="1"/>
  <c r="R126" i="45" s="1"/>
  <c r="T126" i="45"/>
  <c r="S144" i="45"/>
  <c r="T150" i="45"/>
  <c r="S162" i="45"/>
  <c r="T180" i="45"/>
  <c r="S192" i="45"/>
  <c r="G198" i="45"/>
  <c r="J198" i="45" s="1"/>
  <c r="M198" i="45" s="1"/>
  <c r="P198" i="45" s="1"/>
  <c r="S210" i="45"/>
  <c r="S240" i="45"/>
  <c r="S264" i="45"/>
  <c r="S276" i="45"/>
  <c r="F282" i="45"/>
  <c r="I282" i="45" s="1"/>
  <c r="L282" i="45" s="1"/>
  <c r="O282" i="45" s="1"/>
  <c r="R282" i="45" s="1"/>
  <c r="T282" i="45"/>
  <c r="T288" i="45"/>
  <c r="F294" i="45"/>
  <c r="I294" i="45" s="1"/>
  <c r="L294" i="45" s="1"/>
  <c r="O294" i="45" s="1"/>
  <c r="R294" i="45" s="1"/>
  <c r="T294" i="45"/>
  <c r="F318" i="45"/>
  <c r="I318" i="45" s="1"/>
  <c r="L318" i="45" s="1"/>
  <c r="O318" i="45" s="1"/>
  <c r="R318" i="45" s="1"/>
  <c r="T318" i="45"/>
  <c r="H330" i="45"/>
  <c r="K330" i="45" s="1"/>
  <c r="N330" i="45" s="1"/>
  <c r="Q330" i="45" s="1"/>
  <c r="S336" i="45"/>
  <c r="H348" i="45"/>
  <c r="K348" i="45" s="1"/>
  <c r="N348" i="45" s="1"/>
  <c r="Q348" i="45" s="1"/>
  <c r="S360" i="45"/>
  <c r="S384" i="45"/>
  <c r="F396" i="45"/>
  <c r="I396" i="45" s="1"/>
  <c r="L396" i="45" s="1"/>
  <c r="O396" i="45" s="1"/>
  <c r="R396" i="45" s="1"/>
  <c r="T396" i="45"/>
  <c r="T402" i="45"/>
  <c r="T414" i="45"/>
  <c r="S432" i="45"/>
  <c r="I34" i="198"/>
  <c r="I88" i="198" s="1"/>
  <c r="D7" i="60" s="1"/>
  <c r="L7" i="60" s="1"/>
  <c r="B38" i="198"/>
  <c r="B92" i="198" s="1"/>
  <c r="A18" i="201"/>
  <c r="A48" i="201" s="1"/>
  <c r="A102" i="201" s="1"/>
  <c r="A18" i="208"/>
  <c r="A48" i="208" s="1"/>
  <c r="A102" i="208" s="1"/>
  <c r="A141" i="208" s="1"/>
  <c r="J39" i="210"/>
  <c r="J93" i="210" s="1"/>
  <c r="J132" i="210" s="1"/>
  <c r="J171" i="210" s="1"/>
  <c r="A46" i="210"/>
  <c r="A100" i="210" s="1"/>
  <c r="B36" i="211"/>
  <c r="B90" i="211" s="1"/>
  <c r="A37" i="211"/>
  <c r="A91" i="211" s="1"/>
  <c r="A130" i="211" s="1"/>
  <c r="B40" i="211"/>
  <c r="B94" i="211" s="1"/>
  <c r="A41" i="211"/>
  <c r="A95" i="211" s="1"/>
  <c r="B42" i="211"/>
  <c r="B96" i="211" s="1"/>
  <c r="A43" i="211"/>
  <c r="A97" i="211" s="1"/>
  <c r="A136" i="211" s="1"/>
  <c r="A36" i="213"/>
  <c r="A90" i="213" s="1"/>
  <c r="B37" i="213"/>
  <c r="B91" i="213" s="1"/>
  <c r="A40" i="213"/>
  <c r="A94" i="213" s="1"/>
  <c r="B41" i="213"/>
  <c r="B95" i="213" s="1"/>
  <c r="B134" i="213" s="1"/>
  <c r="A42" i="213"/>
  <c r="A96" i="213" s="1"/>
  <c r="B43" i="213"/>
  <c r="B97" i="213" s="1"/>
  <c r="A18" i="219"/>
  <c r="A72" i="219" s="1"/>
  <c r="A18" i="222"/>
  <c r="A72" i="222" s="1"/>
  <c r="A150" i="222" s="1"/>
  <c r="J38" i="222"/>
  <c r="J92" i="222" s="1"/>
  <c r="J131" i="222" s="1"/>
  <c r="J170" i="222" s="1"/>
  <c r="A18" i="223"/>
  <c r="A48" i="223" s="1"/>
  <c r="A102" i="223" s="1"/>
  <c r="B39" i="223"/>
  <c r="B93" i="223" s="1"/>
  <c r="B82" i="223"/>
  <c r="B160" i="223" s="1"/>
  <c r="B86" i="223"/>
  <c r="B164" i="223" s="1"/>
  <c r="A18" i="224"/>
  <c r="A48" i="224" s="1"/>
  <c r="A102" i="224" s="1"/>
  <c r="B39" i="224"/>
  <c r="B93" i="224" s="1"/>
  <c r="A77" i="224"/>
  <c r="A155" i="224" s="1"/>
  <c r="B78" i="224"/>
  <c r="B156" i="224" s="1"/>
  <c r="B85" i="224"/>
  <c r="B163" i="224" s="1"/>
  <c r="A88" i="224"/>
  <c r="A166" i="224" s="1"/>
  <c r="B36" i="216"/>
  <c r="B90" i="216" s="1"/>
  <c r="B129" i="216" s="1"/>
  <c r="A37" i="216"/>
  <c r="A91" i="216" s="1"/>
  <c r="B38" i="216"/>
  <c r="B92" i="216" s="1"/>
  <c r="B44" i="216"/>
  <c r="B98" i="216" s="1"/>
  <c r="A45" i="216"/>
  <c r="A99" i="216" s="1"/>
  <c r="A177" i="216" s="1"/>
  <c r="B76" i="216"/>
  <c r="B154" i="216" s="1"/>
  <c r="A80" i="216"/>
  <c r="A158" i="216" s="1"/>
  <c r="B81" i="216"/>
  <c r="B159" i="216" s="1"/>
  <c r="A88" i="216"/>
  <c r="A166" i="216" s="1"/>
  <c r="G35" i="122"/>
  <c r="G42" i="122" s="1"/>
  <c r="A24" i="45"/>
  <c r="H342" i="45"/>
  <c r="K342" i="45" s="1"/>
  <c r="N342" i="45" s="1"/>
  <c r="Q342" i="45" s="1"/>
  <c r="H354" i="45"/>
  <c r="K354" i="45" s="1"/>
  <c r="N354" i="45" s="1"/>
  <c r="Q354" i="45" s="1"/>
  <c r="A18" i="199"/>
  <c r="A72" i="199" s="1"/>
  <c r="A18" i="200"/>
  <c r="A48" i="200" s="1"/>
  <c r="A102" i="200" s="1"/>
  <c r="A18" i="207"/>
  <c r="A72" i="207" s="1"/>
  <c r="B36" i="210"/>
  <c r="B90" i="210" s="1"/>
  <c r="B129" i="210" s="1"/>
  <c r="A37" i="210"/>
  <c r="A91" i="210" s="1"/>
  <c r="B38" i="210"/>
  <c r="B92" i="210" s="1"/>
  <c r="B44" i="210"/>
  <c r="B98" i="210" s="1"/>
  <c r="A45" i="210"/>
  <c r="A99" i="210" s="1"/>
  <c r="A138" i="210" s="1"/>
  <c r="A39" i="211"/>
  <c r="A93" i="211" s="1"/>
  <c r="B39" i="213"/>
  <c r="B93" i="213" s="1"/>
  <c r="B86" i="213"/>
  <c r="B164" i="213" s="1"/>
  <c r="A36" i="222"/>
  <c r="A90" i="222" s="1"/>
  <c r="A168" i="222" s="1"/>
  <c r="B37" i="222"/>
  <c r="B91" i="222" s="1"/>
  <c r="A38" i="222"/>
  <c r="A92" i="222" s="1"/>
  <c r="A44" i="222"/>
  <c r="A98" i="222" s="1"/>
  <c r="B45" i="222"/>
  <c r="B99" i="222" s="1"/>
  <c r="B138" i="222" s="1"/>
  <c r="A36" i="223"/>
  <c r="A90" i="223" s="1"/>
  <c r="B37" i="223"/>
  <c r="B91" i="223" s="1"/>
  <c r="A40" i="223"/>
  <c r="A94" i="223" s="1"/>
  <c r="A42" i="223"/>
  <c r="A96" i="223" s="1"/>
  <c r="A174" i="223" s="1"/>
  <c r="B43" i="223"/>
  <c r="B97" i="223" s="1"/>
  <c r="A40" i="224"/>
  <c r="A94" i="224" s="1"/>
  <c r="B41" i="224"/>
  <c r="B95" i="224" s="1"/>
  <c r="A42" i="224"/>
  <c r="A96" i="224" s="1"/>
  <c r="A174" i="224" s="1"/>
  <c r="A45" i="224"/>
  <c r="A99" i="224" s="1"/>
  <c r="J39" i="216"/>
  <c r="J93" i="216" s="1"/>
  <c r="J132" i="216" s="1"/>
  <c r="J171" i="216" s="1"/>
  <c r="B83" i="216"/>
  <c r="B161" i="216" s="1"/>
  <c r="D5" i="113"/>
  <c r="E5" i="126" s="1"/>
  <c r="O19" i="113"/>
  <c r="K26" i="113"/>
  <c r="G48" i="113"/>
  <c r="K48" i="113"/>
  <c r="G59" i="113"/>
  <c r="G63" i="113"/>
  <c r="K63" i="113"/>
  <c r="O63" i="113"/>
  <c r="G64" i="113"/>
  <c r="K64" i="113"/>
  <c r="O64" i="113"/>
  <c r="G69" i="113"/>
  <c r="G70" i="113"/>
  <c r="O70" i="113"/>
  <c r="K77" i="113"/>
  <c r="A18" i="228"/>
  <c r="A48" i="228" s="1"/>
  <c r="A80" i="228" s="1"/>
  <c r="G120" i="232"/>
  <c r="D56" i="239"/>
  <c r="H145" i="45"/>
  <c r="D485" i="45"/>
  <c r="P100" i="60"/>
  <c r="H100" i="60"/>
  <c r="Q74" i="60"/>
  <c r="P74" i="60"/>
  <c r="P110" i="60"/>
  <c r="H128" i="60"/>
  <c r="Q135" i="60"/>
  <c r="P135" i="60"/>
  <c r="Q56" i="60"/>
  <c r="O180" i="60"/>
  <c r="Q110" i="60"/>
  <c r="H110" i="60"/>
  <c r="Q162" i="60"/>
  <c r="P122" i="60"/>
  <c r="P56" i="60"/>
  <c r="Q34" i="60"/>
  <c r="P34" i="60"/>
  <c r="F246" i="45"/>
  <c r="I246" i="45" s="1"/>
  <c r="L246" i="45" s="1"/>
  <c r="O246" i="45" s="1"/>
  <c r="R246" i="45" s="1"/>
  <c r="C244" i="45"/>
  <c r="E99" i="211"/>
  <c r="H46" i="113"/>
  <c r="M59" i="211"/>
  <c r="E33" i="205"/>
  <c r="P62" i="60"/>
  <c r="L313" i="45"/>
  <c r="N41" i="228"/>
  <c r="H30" i="113"/>
  <c r="O62" i="205"/>
  <c r="C52" i="45"/>
  <c r="F52" i="45" s="1"/>
  <c r="I52" i="45" s="1"/>
  <c r="L52" i="45" s="1"/>
  <c r="O52" i="45" s="1"/>
  <c r="R52" i="45" s="1"/>
  <c r="C33" i="45"/>
  <c r="L289" i="45"/>
  <c r="M301" i="45"/>
  <c r="I79" i="45"/>
  <c r="C280" i="45"/>
  <c r="F280" i="45" s="1"/>
  <c r="I280" i="45" s="1"/>
  <c r="L280" i="45" s="1"/>
  <c r="O280" i="45" s="1"/>
  <c r="R280" i="45" s="1"/>
  <c r="E280" i="45"/>
  <c r="H313" i="45"/>
  <c r="S149" i="45"/>
  <c r="D148" i="45"/>
  <c r="S148" i="45" s="1"/>
  <c r="F36" i="234"/>
  <c r="AM36" i="234" s="1"/>
  <c r="F28" i="98"/>
  <c r="I85" i="2"/>
  <c r="F94" i="192"/>
  <c r="F85" i="2" s="1"/>
  <c r="E94" i="192"/>
  <c r="E85" i="2" s="1"/>
  <c r="E101" i="192"/>
  <c r="E92" i="2" s="1"/>
  <c r="F101" i="192"/>
  <c r="F92" i="2" s="1"/>
  <c r="E92" i="192"/>
  <c r="E83" i="2" s="1"/>
  <c r="AM51" i="234"/>
  <c r="O52" i="234"/>
  <c r="X52" i="234" s="1"/>
  <c r="AG52" i="234" s="1"/>
  <c r="O61" i="192"/>
  <c r="G55" i="2" s="1"/>
  <c r="O62" i="192"/>
  <c r="AT52" i="234" s="1"/>
  <c r="O53" i="234"/>
  <c r="X53" i="234" s="1"/>
  <c r="AG53" i="234" s="1"/>
  <c r="O31" i="234"/>
  <c r="X31" i="234" s="1"/>
  <c r="AG31" i="234" s="1"/>
  <c r="F28" i="234"/>
  <c r="AM28" i="234" s="1"/>
  <c r="O27" i="234"/>
  <c r="X27" i="234" s="1"/>
  <c r="AG27" i="234" s="1"/>
  <c r="O21" i="234"/>
  <c r="X21" i="234" s="1"/>
  <c r="AG21" i="234" s="1"/>
  <c r="D177" i="232"/>
  <c r="C4" i="239"/>
  <c r="F177" i="205"/>
  <c r="F178" i="205" s="1"/>
  <c r="F180" i="205" s="1"/>
  <c r="M33" i="113" s="1"/>
  <c r="E216" i="205"/>
  <c r="G216" i="205"/>
  <c r="G217" i="205" s="1"/>
  <c r="G219" i="205" s="1"/>
  <c r="E177" i="205"/>
  <c r="G177" i="205"/>
  <c r="G178" i="205" s="1"/>
  <c r="G180" i="205" s="1"/>
  <c r="Q33" i="113" s="1"/>
  <c r="F216" i="205"/>
  <c r="F217" i="205" s="1"/>
  <c r="F219" i="205" s="1"/>
  <c r="J30" i="113"/>
  <c r="J15" i="183" s="1"/>
  <c r="F138" i="205"/>
  <c r="F139" i="205" s="1"/>
  <c r="F141" i="205" s="1"/>
  <c r="M32" i="113" s="1"/>
  <c r="M56" i="205"/>
  <c r="M59" i="205" s="1"/>
  <c r="E138" i="205"/>
  <c r="G138" i="205"/>
  <c r="G139" i="205" s="1"/>
  <c r="G141" i="205" s="1"/>
  <c r="Q32" i="113" s="1"/>
  <c r="N56" i="214"/>
  <c r="M62" i="214"/>
  <c r="O62" i="214"/>
  <c r="F54" i="113"/>
  <c r="F26" i="183" s="1"/>
  <c r="N54" i="113"/>
  <c r="N26" i="183" s="1"/>
  <c r="N62" i="214"/>
  <c r="I391" i="45"/>
  <c r="N391" i="45"/>
  <c r="J31" i="45"/>
  <c r="F33" i="45"/>
  <c r="I33" i="45" s="1"/>
  <c r="L33" i="45" s="1"/>
  <c r="O33" i="45" s="1"/>
  <c r="R33" i="45" s="1"/>
  <c r="N55" i="45"/>
  <c r="G67" i="45"/>
  <c r="H187" i="45"/>
  <c r="G241" i="45"/>
  <c r="D244" i="45"/>
  <c r="M7" i="45"/>
  <c r="G79" i="45"/>
  <c r="N79" i="45"/>
  <c r="D82" i="45"/>
  <c r="G199" i="45"/>
  <c r="I211" i="45"/>
  <c r="N211" i="45"/>
  <c r="D214" i="45"/>
  <c r="J241" i="45"/>
  <c r="L277" i="45"/>
  <c r="K415" i="45"/>
  <c r="J187" i="45"/>
  <c r="L187" i="45"/>
  <c r="N313" i="45"/>
  <c r="L355" i="45"/>
  <c r="D370" i="45"/>
  <c r="H415" i="45"/>
  <c r="M415" i="45"/>
  <c r="J427" i="45"/>
  <c r="G445" i="45"/>
  <c r="D448" i="45"/>
  <c r="G448" i="45" s="1"/>
  <c r="J448" i="45" s="1"/>
  <c r="M448" i="45" s="1"/>
  <c r="P448" i="45" s="1"/>
  <c r="H457" i="45"/>
  <c r="N457" i="45"/>
  <c r="D472" i="45"/>
  <c r="O7" i="45"/>
  <c r="K55" i="45"/>
  <c r="C58" i="45"/>
  <c r="F58" i="45" s="1"/>
  <c r="I58" i="45" s="1"/>
  <c r="L58" i="45" s="1"/>
  <c r="O58" i="45" s="1"/>
  <c r="R58" i="45" s="1"/>
  <c r="E58" i="45"/>
  <c r="I67" i="45"/>
  <c r="N67" i="45"/>
  <c r="F71" i="45"/>
  <c r="I71" i="45" s="1"/>
  <c r="L71" i="45" s="1"/>
  <c r="O71" i="45" s="1"/>
  <c r="R71" i="45" s="1"/>
  <c r="I145" i="45"/>
  <c r="G169" i="45"/>
  <c r="N187" i="45"/>
  <c r="G223" i="45"/>
  <c r="I241" i="45"/>
  <c r="F245" i="45"/>
  <c r="I245" i="45" s="1"/>
  <c r="L245" i="45" s="1"/>
  <c r="O245" i="45" s="1"/>
  <c r="R245" i="45" s="1"/>
  <c r="G277" i="45"/>
  <c r="I277" i="45"/>
  <c r="N277" i="45"/>
  <c r="D280" i="45"/>
  <c r="S22" i="45"/>
  <c r="S32" i="45"/>
  <c r="S59" i="45"/>
  <c r="S112" i="45"/>
  <c r="S184" i="45"/>
  <c r="S201" i="45"/>
  <c r="T220" i="45"/>
  <c r="S225" i="45"/>
  <c r="T238" i="45"/>
  <c r="T243" i="45"/>
  <c r="T268" i="45"/>
  <c r="E304" i="45"/>
  <c r="G331" i="45"/>
  <c r="T346" i="45"/>
  <c r="N355" i="45"/>
  <c r="G367" i="45"/>
  <c r="S369" i="45"/>
  <c r="H391" i="45"/>
  <c r="C394" i="45"/>
  <c r="F394" i="45" s="1"/>
  <c r="I394" i="45" s="1"/>
  <c r="L394" i="45" s="1"/>
  <c r="O394" i="45" s="1"/>
  <c r="R394" i="45" s="1"/>
  <c r="E394" i="45"/>
  <c r="G415" i="45"/>
  <c r="S420" i="45"/>
  <c r="T424" i="45"/>
  <c r="S442" i="45"/>
  <c r="S447" i="45"/>
  <c r="K31" i="45"/>
  <c r="E34" i="45"/>
  <c r="H34" i="45" s="1"/>
  <c r="K34" i="45" s="1"/>
  <c r="N34" i="45" s="1"/>
  <c r="Q34" i="45" s="1"/>
  <c r="S40" i="45"/>
  <c r="H55" i="45"/>
  <c r="M55" i="45"/>
  <c r="O55" i="45"/>
  <c r="S64" i="45"/>
  <c r="H79" i="45"/>
  <c r="C82" i="45"/>
  <c r="E82" i="45"/>
  <c r="H82" i="45" s="1"/>
  <c r="K82" i="45" s="1"/>
  <c r="N82" i="45" s="1"/>
  <c r="Q82" i="45" s="1"/>
  <c r="L91" i="45"/>
  <c r="E148" i="45"/>
  <c r="M169" i="45"/>
  <c r="C172" i="45"/>
  <c r="F172" i="45" s="1"/>
  <c r="I172" i="45" s="1"/>
  <c r="L172" i="45" s="1"/>
  <c r="O172" i="45" s="1"/>
  <c r="R172" i="45" s="1"/>
  <c r="E172" i="45"/>
  <c r="T172" i="45" s="1"/>
  <c r="D202" i="45"/>
  <c r="H211" i="45"/>
  <c r="C214" i="45"/>
  <c r="E214" i="45"/>
  <c r="T214" i="45" s="1"/>
  <c r="D226" i="45"/>
  <c r="G226" i="45" s="1"/>
  <c r="J226" i="45" s="1"/>
  <c r="M226" i="45" s="1"/>
  <c r="P226" i="45" s="1"/>
  <c r="H241" i="45"/>
  <c r="M241" i="45"/>
  <c r="P241" i="45"/>
  <c r="E244" i="45"/>
  <c r="T242" i="45"/>
  <c r="T245" i="45"/>
  <c r="T246" i="45"/>
  <c r="S256" i="45"/>
  <c r="T286" i="45"/>
  <c r="T290" i="45"/>
  <c r="S322" i="45"/>
  <c r="T382" i="45"/>
  <c r="T400" i="45"/>
  <c r="T478" i="45"/>
  <c r="O39" i="234"/>
  <c r="X39" i="234" s="1"/>
  <c r="AG39" i="234" s="1"/>
  <c r="O43" i="234"/>
  <c r="X43" i="234" s="1"/>
  <c r="AG43" i="234" s="1"/>
  <c r="O47" i="234"/>
  <c r="X47" i="234" s="1"/>
  <c r="AG47" i="234" s="1"/>
  <c r="E28" i="98"/>
  <c r="E22" i="234" s="1"/>
  <c r="AL22" i="234" s="1"/>
  <c r="F8" i="98"/>
  <c r="F8" i="234" s="1"/>
  <c r="AM8" i="234" s="1"/>
  <c r="E8" i="98"/>
  <c r="E8" i="234" s="1"/>
  <c r="AL8" i="234" s="1"/>
  <c r="D8" i="98"/>
  <c r="D8" i="234" s="1"/>
  <c r="AK8" i="234" s="1"/>
  <c r="H46" i="45"/>
  <c r="K46" i="45" s="1"/>
  <c r="N46" i="45" s="1"/>
  <c r="Q46" i="45" s="1"/>
  <c r="G57" i="45"/>
  <c r="J57" i="45" s="1"/>
  <c r="M57" i="45" s="1"/>
  <c r="P57" i="45" s="1"/>
  <c r="H80" i="45"/>
  <c r="K80" i="45" s="1"/>
  <c r="N80" i="45" s="1"/>
  <c r="Q80" i="45" s="1"/>
  <c r="H81" i="45"/>
  <c r="K81" i="45" s="1"/>
  <c r="N81" i="45" s="1"/>
  <c r="Q81" i="45" s="1"/>
  <c r="H83" i="45"/>
  <c r="K83" i="45" s="1"/>
  <c r="N83" i="45" s="1"/>
  <c r="Q83" i="45" s="1"/>
  <c r="G88" i="45"/>
  <c r="J88" i="45" s="1"/>
  <c r="M88" i="45" s="1"/>
  <c r="P88" i="45" s="1"/>
  <c r="H100" i="45"/>
  <c r="K100" i="45" s="1"/>
  <c r="N100" i="45" s="1"/>
  <c r="Q100" i="45" s="1"/>
  <c r="H118" i="45"/>
  <c r="K118" i="45" s="1"/>
  <c r="N118" i="45" s="1"/>
  <c r="Q118" i="45" s="1"/>
  <c r="H130" i="45"/>
  <c r="K130" i="45" s="1"/>
  <c r="N130" i="45" s="1"/>
  <c r="Q130" i="45" s="1"/>
  <c r="G160" i="45"/>
  <c r="J160" i="45" s="1"/>
  <c r="M160" i="45" s="1"/>
  <c r="P160" i="45" s="1"/>
  <c r="H170" i="45"/>
  <c r="K170" i="45" s="1"/>
  <c r="N170" i="45" s="1"/>
  <c r="Q170" i="45" s="1"/>
  <c r="T170" i="45"/>
  <c r="H173" i="45"/>
  <c r="K173" i="45" s="1"/>
  <c r="N173" i="45" s="1"/>
  <c r="Q173" i="45" s="1"/>
  <c r="T173" i="45"/>
  <c r="F174" i="45"/>
  <c r="I174" i="45" s="1"/>
  <c r="L174" i="45" s="1"/>
  <c r="O174" i="45" s="1"/>
  <c r="R174" i="45" s="1"/>
  <c r="T174" i="45"/>
  <c r="H178" i="45"/>
  <c r="K178" i="45" s="1"/>
  <c r="N178" i="45" s="1"/>
  <c r="Q178" i="45" s="1"/>
  <c r="G188" i="45"/>
  <c r="J188" i="45" s="1"/>
  <c r="M188" i="45" s="1"/>
  <c r="P188" i="45" s="1"/>
  <c r="G200" i="45"/>
  <c r="J200" i="45" s="1"/>
  <c r="M200" i="45" s="1"/>
  <c r="P200" i="45" s="1"/>
  <c r="G203" i="45"/>
  <c r="J203" i="45" s="1"/>
  <c r="M203" i="45" s="1"/>
  <c r="P203" i="45" s="1"/>
  <c r="S204" i="45"/>
  <c r="H208" i="45"/>
  <c r="K208" i="45" s="1"/>
  <c r="N208" i="45" s="1"/>
  <c r="Q208" i="45" s="1"/>
  <c r="H212" i="45"/>
  <c r="K212" i="45" s="1"/>
  <c r="N212" i="45" s="1"/>
  <c r="Q212" i="45" s="1"/>
  <c r="H213" i="45"/>
  <c r="K213" i="45" s="1"/>
  <c r="N213" i="45" s="1"/>
  <c r="Q213" i="45" s="1"/>
  <c r="H215" i="45"/>
  <c r="K215" i="45" s="1"/>
  <c r="N215" i="45" s="1"/>
  <c r="Q215" i="45" s="1"/>
  <c r="G224" i="45"/>
  <c r="J224" i="45" s="1"/>
  <c r="M224" i="45" s="1"/>
  <c r="P224" i="45" s="1"/>
  <c r="G227" i="45"/>
  <c r="J227" i="45" s="1"/>
  <c r="M227" i="45" s="1"/>
  <c r="P227" i="45" s="1"/>
  <c r="S228" i="45"/>
  <c r="H232" i="45"/>
  <c r="K232" i="45" s="1"/>
  <c r="N232" i="45" s="1"/>
  <c r="Q232" i="45" s="1"/>
  <c r="H250" i="45"/>
  <c r="K250" i="45" s="1"/>
  <c r="N250" i="45" s="1"/>
  <c r="Q250" i="45" s="1"/>
  <c r="H278" i="45"/>
  <c r="K278" i="45" s="1"/>
  <c r="N278" i="45" s="1"/>
  <c r="Q278" i="45" s="1"/>
  <c r="H279" i="45"/>
  <c r="K279" i="45" s="1"/>
  <c r="N279" i="45" s="1"/>
  <c r="Q279" i="45" s="1"/>
  <c r="H281" i="45"/>
  <c r="K281" i="45" s="1"/>
  <c r="N281" i="45" s="1"/>
  <c r="Q281" i="45" s="1"/>
  <c r="G303" i="45"/>
  <c r="J303" i="45" s="1"/>
  <c r="M303" i="45" s="1"/>
  <c r="P303" i="45" s="1"/>
  <c r="C304" i="45"/>
  <c r="F304" i="45" s="1"/>
  <c r="I304" i="45" s="1"/>
  <c r="L304" i="45" s="1"/>
  <c r="O304" i="45" s="1"/>
  <c r="R304" i="45" s="1"/>
  <c r="G310" i="45"/>
  <c r="J310" i="45" s="1"/>
  <c r="M310" i="45" s="1"/>
  <c r="P310" i="45" s="1"/>
  <c r="H352" i="45"/>
  <c r="K352" i="45" s="1"/>
  <c r="N352" i="45" s="1"/>
  <c r="Q352" i="45" s="1"/>
  <c r="H388" i="45"/>
  <c r="K388" i="45" s="1"/>
  <c r="N388" i="45" s="1"/>
  <c r="Q388" i="45" s="1"/>
  <c r="H392" i="45"/>
  <c r="K392" i="45" s="1"/>
  <c r="N392" i="45" s="1"/>
  <c r="Q392" i="45" s="1"/>
  <c r="H393" i="45"/>
  <c r="K393" i="45" s="1"/>
  <c r="N393" i="45" s="1"/>
  <c r="Q393" i="45" s="1"/>
  <c r="H395" i="45"/>
  <c r="K395" i="45" s="1"/>
  <c r="N395" i="45" s="1"/>
  <c r="Q395" i="45" s="1"/>
  <c r="G417" i="45"/>
  <c r="J417" i="45" s="1"/>
  <c r="M417" i="45" s="1"/>
  <c r="P417" i="45" s="1"/>
  <c r="G446" i="45"/>
  <c r="J446" i="45" s="1"/>
  <c r="M446" i="45" s="1"/>
  <c r="P446" i="45" s="1"/>
  <c r="G449" i="45"/>
  <c r="J449" i="45" s="1"/>
  <c r="M449" i="45" s="1"/>
  <c r="P449" i="45" s="1"/>
  <c r="H454" i="45"/>
  <c r="K454" i="45" s="1"/>
  <c r="N454" i="45" s="1"/>
  <c r="Q454" i="45" s="1"/>
  <c r="H459" i="45"/>
  <c r="K459" i="45" s="1"/>
  <c r="N459" i="45" s="1"/>
  <c r="Q459" i="45" s="1"/>
  <c r="E460" i="45"/>
  <c r="H460" i="45" s="1"/>
  <c r="K460" i="45" s="1"/>
  <c r="N460" i="45" s="1"/>
  <c r="Q460" i="45" s="1"/>
  <c r="T461" i="45"/>
  <c r="G470" i="45"/>
  <c r="J470" i="45" s="1"/>
  <c r="M470" i="45" s="1"/>
  <c r="P470" i="45" s="1"/>
  <c r="S471" i="45"/>
  <c r="G473" i="45"/>
  <c r="J473" i="45" s="1"/>
  <c r="M473" i="45" s="1"/>
  <c r="P473" i="45" s="1"/>
  <c r="T26" i="45"/>
  <c r="O31" i="45"/>
  <c r="G55" i="45"/>
  <c r="I55" i="45"/>
  <c r="D58" i="45"/>
  <c r="S58" i="45" s="1"/>
  <c r="G56" i="45"/>
  <c r="J56" i="45" s="1"/>
  <c r="M56" i="45" s="1"/>
  <c r="P56" i="45" s="1"/>
  <c r="J79" i="45"/>
  <c r="M79" i="45"/>
  <c r="O79" i="45"/>
  <c r="F80" i="45"/>
  <c r="I80" i="45" s="1"/>
  <c r="L80" i="45" s="1"/>
  <c r="O80" i="45" s="1"/>
  <c r="R80" i="45" s="1"/>
  <c r="T80" i="45"/>
  <c r="H91" i="45"/>
  <c r="H121" i="45"/>
  <c r="L169" i="45"/>
  <c r="F170" i="45"/>
  <c r="I170" i="45" s="1"/>
  <c r="L170" i="45" s="1"/>
  <c r="O170" i="45" s="1"/>
  <c r="R170" i="45" s="1"/>
  <c r="H171" i="45"/>
  <c r="K171" i="45" s="1"/>
  <c r="N171" i="45" s="1"/>
  <c r="Q171" i="45" s="1"/>
  <c r="H199" i="45"/>
  <c r="K199" i="45"/>
  <c r="C202" i="45"/>
  <c r="E202" i="45"/>
  <c r="T202" i="45" s="1"/>
  <c r="S200" i="45"/>
  <c r="J211" i="45"/>
  <c r="M211" i="45"/>
  <c r="O211" i="45"/>
  <c r="F212" i="45"/>
  <c r="I212" i="45" s="1"/>
  <c r="L212" i="45" s="1"/>
  <c r="O212" i="45" s="1"/>
  <c r="R212" i="45" s="1"/>
  <c r="T212" i="45"/>
  <c r="F215" i="45"/>
  <c r="I215" i="45" s="1"/>
  <c r="L215" i="45" s="1"/>
  <c r="O215" i="45" s="1"/>
  <c r="R215" i="45" s="1"/>
  <c r="T215" i="45"/>
  <c r="H223" i="45"/>
  <c r="K223" i="45"/>
  <c r="C226" i="45"/>
  <c r="E226" i="45"/>
  <c r="T226" i="45" s="1"/>
  <c r="S224" i="45"/>
  <c r="N241" i="45"/>
  <c r="H242" i="45"/>
  <c r="K242" i="45" s="1"/>
  <c r="N242" i="45" s="1"/>
  <c r="Q242" i="45" s="1"/>
  <c r="I259" i="45"/>
  <c r="J277" i="45"/>
  <c r="M277" i="45"/>
  <c r="O277" i="45"/>
  <c r="F278" i="45"/>
  <c r="I278" i="45" s="1"/>
  <c r="L278" i="45" s="1"/>
  <c r="O278" i="45" s="1"/>
  <c r="R278" i="45" s="1"/>
  <c r="T278" i="45"/>
  <c r="F281" i="45"/>
  <c r="I281" i="45" s="1"/>
  <c r="L281" i="45" s="1"/>
  <c r="O281" i="45" s="1"/>
  <c r="R281" i="45" s="1"/>
  <c r="T281" i="45"/>
  <c r="N301" i="45"/>
  <c r="D304" i="45"/>
  <c r="G302" i="45"/>
  <c r="J302" i="45" s="1"/>
  <c r="M302" i="45" s="1"/>
  <c r="P302" i="45" s="1"/>
  <c r="G305" i="45"/>
  <c r="J305" i="45" s="1"/>
  <c r="M305" i="45" s="1"/>
  <c r="P305" i="45" s="1"/>
  <c r="J313" i="45"/>
  <c r="H331" i="45"/>
  <c r="J355" i="45"/>
  <c r="H367" i="45"/>
  <c r="J391" i="45"/>
  <c r="M391" i="45"/>
  <c r="O391" i="45"/>
  <c r="F392" i="45"/>
  <c r="I392" i="45" s="1"/>
  <c r="L392" i="45" s="1"/>
  <c r="O392" i="45" s="1"/>
  <c r="R392" i="45" s="1"/>
  <c r="T392" i="45"/>
  <c r="F395" i="45"/>
  <c r="I395" i="45" s="1"/>
  <c r="L395" i="45" s="1"/>
  <c r="O395" i="45" s="1"/>
  <c r="R395" i="45" s="1"/>
  <c r="T395" i="45"/>
  <c r="N415" i="45"/>
  <c r="D418" i="45"/>
  <c r="G416" i="45"/>
  <c r="J416" i="45" s="1"/>
  <c r="M416" i="45" s="1"/>
  <c r="P416" i="45" s="1"/>
  <c r="G419" i="45"/>
  <c r="J419" i="45" s="1"/>
  <c r="M419" i="45" s="1"/>
  <c r="P419" i="45" s="1"/>
  <c r="H445" i="45"/>
  <c r="K445" i="45"/>
  <c r="C448" i="45"/>
  <c r="F448" i="45" s="1"/>
  <c r="I448" i="45" s="1"/>
  <c r="L448" i="45" s="1"/>
  <c r="O448" i="45" s="1"/>
  <c r="R448" i="45" s="1"/>
  <c r="E448" i="45"/>
  <c r="S446" i="45"/>
  <c r="I457" i="45"/>
  <c r="M457" i="45"/>
  <c r="O457" i="45"/>
  <c r="T458" i="45"/>
  <c r="F459" i="45"/>
  <c r="I459" i="45" s="1"/>
  <c r="L459" i="45" s="1"/>
  <c r="O459" i="45" s="1"/>
  <c r="R459" i="45" s="1"/>
  <c r="K469" i="45"/>
  <c r="S470" i="45"/>
  <c r="T34" i="45"/>
  <c r="R31" i="45"/>
  <c r="P55" i="45"/>
  <c r="T58" i="45"/>
  <c r="H58" i="45"/>
  <c r="K58" i="45" s="1"/>
  <c r="N58" i="45" s="1"/>
  <c r="Q58" i="45" s="1"/>
  <c r="R55" i="45"/>
  <c r="F82" i="45"/>
  <c r="I82" i="45" s="1"/>
  <c r="L82" i="45" s="1"/>
  <c r="O82" i="45" s="1"/>
  <c r="R82" i="45" s="1"/>
  <c r="P79" i="45"/>
  <c r="T82" i="45"/>
  <c r="R79" i="45"/>
  <c r="G58" i="45"/>
  <c r="J58" i="45" s="1"/>
  <c r="M58" i="45" s="1"/>
  <c r="P58" i="45" s="1"/>
  <c r="S82" i="45"/>
  <c r="G82" i="45"/>
  <c r="J82" i="45" s="1"/>
  <c r="M82" i="45" s="1"/>
  <c r="P82" i="45" s="1"/>
  <c r="Q79" i="45"/>
  <c r="S166" i="45"/>
  <c r="G166" i="45"/>
  <c r="J166" i="45" s="1"/>
  <c r="M166" i="45" s="1"/>
  <c r="P166" i="45" s="1"/>
  <c r="S170" i="45"/>
  <c r="G170" i="45"/>
  <c r="J170" i="45" s="1"/>
  <c r="M170" i="45" s="1"/>
  <c r="P170" i="45" s="1"/>
  <c r="K169" i="45"/>
  <c r="S178" i="45"/>
  <c r="G178" i="45"/>
  <c r="J178" i="45" s="1"/>
  <c r="M178" i="45" s="1"/>
  <c r="P178" i="45" s="1"/>
  <c r="T184" i="45"/>
  <c r="H184" i="45"/>
  <c r="K184" i="45" s="1"/>
  <c r="N184" i="45" s="1"/>
  <c r="Q184" i="45" s="1"/>
  <c r="S202" i="45"/>
  <c r="G202" i="45"/>
  <c r="J202" i="45" s="1"/>
  <c r="M202" i="45" s="1"/>
  <c r="P202" i="45" s="1"/>
  <c r="Q199" i="45"/>
  <c r="F214" i="45"/>
  <c r="I214" i="45" s="1"/>
  <c r="L214" i="45" s="1"/>
  <c r="O214" i="45" s="1"/>
  <c r="R214" i="45" s="1"/>
  <c r="P211" i="45"/>
  <c r="H214" i="45"/>
  <c r="K214" i="45" s="1"/>
  <c r="N214" i="45" s="1"/>
  <c r="Q214" i="45" s="1"/>
  <c r="S226" i="45"/>
  <c r="S244" i="45"/>
  <c r="G244" i="45"/>
  <c r="J244" i="45" s="1"/>
  <c r="M244" i="45" s="1"/>
  <c r="P244" i="45" s="1"/>
  <c r="Q241" i="45"/>
  <c r="P277" i="45"/>
  <c r="T280" i="45"/>
  <c r="H280" i="45"/>
  <c r="K280" i="45" s="1"/>
  <c r="N280" i="45" s="1"/>
  <c r="Q280" i="45" s="1"/>
  <c r="R277" i="45"/>
  <c r="T304" i="45"/>
  <c r="H304" i="45"/>
  <c r="K304" i="45" s="1"/>
  <c r="N304" i="45" s="1"/>
  <c r="Q304" i="45" s="1"/>
  <c r="R301" i="45"/>
  <c r="T9" i="45"/>
  <c r="H22" i="45"/>
  <c r="K22" i="45" s="1"/>
  <c r="N22" i="45" s="1"/>
  <c r="Q22" i="45" s="1"/>
  <c r="I31" i="45"/>
  <c r="H32" i="45"/>
  <c r="K32" i="45" s="1"/>
  <c r="N32" i="45" s="1"/>
  <c r="Q32" i="45" s="1"/>
  <c r="T32" i="45"/>
  <c r="D33" i="45"/>
  <c r="G33" i="45" s="1"/>
  <c r="J33" i="45" s="1"/>
  <c r="M33" i="45" s="1"/>
  <c r="P33" i="45" s="1"/>
  <c r="H33" i="45"/>
  <c r="K33" i="45" s="1"/>
  <c r="N33" i="45" s="1"/>
  <c r="Q33" i="45" s="1"/>
  <c r="H35" i="45"/>
  <c r="K35" i="45" s="1"/>
  <c r="N35" i="45" s="1"/>
  <c r="Q35" i="45" s="1"/>
  <c r="T35" i="45"/>
  <c r="H40" i="45"/>
  <c r="K40" i="45" s="1"/>
  <c r="N40" i="45" s="1"/>
  <c r="Q40" i="45" s="1"/>
  <c r="G46" i="45"/>
  <c r="J46" i="45" s="1"/>
  <c r="M46" i="45" s="1"/>
  <c r="P46" i="45" s="1"/>
  <c r="H52" i="45"/>
  <c r="K52" i="45" s="1"/>
  <c r="N52" i="45" s="1"/>
  <c r="Q52" i="45" s="1"/>
  <c r="J55" i="45"/>
  <c r="L55" i="45"/>
  <c r="F56" i="45"/>
  <c r="I56" i="45" s="1"/>
  <c r="L56" i="45" s="1"/>
  <c r="O56" i="45" s="1"/>
  <c r="R56" i="45" s="1"/>
  <c r="H56" i="45"/>
  <c r="K56" i="45" s="1"/>
  <c r="N56" i="45" s="1"/>
  <c r="Q56" i="45" s="1"/>
  <c r="T56" i="45"/>
  <c r="H57" i="45"/>
  <c r="K57" i="45" s="1"/>
  <c r="N57" i="45" s="1"/>
  <c r="Q57" i="45" s="1"/>
  <c r="F59" i="45"/>
  <c r="I59" i="45" s="1"/>
  <c r="L59" i="45" s="1"/>
  <c r="O59" i="45" s="1"/>
  <c r="R59" i="45" s="1"/>
  <c r="H59" i="45"/>
  <c r="K59" i="45" s="1"/>
  <c r="N59" i="45" s="1"/>
  <c r="Q59" i="45" s="1"/>
  <c r="T59" i="45"/>
  <c r="S60" i="45"/>
  <c r="H64" i="45"/>
  <c r="K64" i="45" s="1"/>
  <c r="N64" i="45" s="1"/>
  <c r="Q64" i="45" s="1"/>
  <c r="C70" i="45"/>
  <c r="P67" i="45" s="1"/>
  <c r="T71" i="45"/>
  <c r="K79" i="45"/>
  <c r="G80" i="45"/>
  <c r="J80" i="45" s="1"/>
  <c r="M80" i="45" s="1"/>
  <c r="P80" i="45" s="1"/>
  <c r="S80" i="45"/>
  <c r="G81" i="45"/>
  <c r="J81" i="45" s="1"/>
  <c r="M81" i="45" s="1"/>
  <c r="P81" i="45" s="1"/>
  <c r="G83" i="45"/>
  <c r="J83" i="45" s="1"/>
  <c r="M83" i="45" s="1"/>
  <c r="P83" i="45" s="1"/>
  <c r="S83" i="45"/>
  <c r="F84" i="45"/>
  <c r="I84" i="45" s="1"/>
  <c r="L84" i="45" s="1"/>
  <c r="O84" i="45" s="1"/>
  <c r="R84" i="45" s="1"/>
  <c r="T84" i="45"/>
  <c r="H88" i="45"/>
  <c r="K88" i="45" s="1"/>
  <c r="N88" i="45" s="1"/>
  <c r="Q88" i="45" s="1"/>
  <c r="J91" i="45"/>
  <c r="N91" i="45"/>
  <c r="G100" i="45"/>
  <c r="J100" i="45" s="1"/>
  <c r="M100" i="45" s="1"/>
  <c r="P100" i="45" s="1"/>
  <c r="H112" i="45"/>
  <c r="K112" i="45" s="1"/>
  <c r="N112" i="45" s="1"/>
  <c r="Q112" i="45" s="1"/>
  <c r="G118" i="45"/>
  <c r="J118" i="45" s="1"/>
  <c r="M118" i="45" s="1"/>
  <c r="P118" i="45" s="1"/>
  <c r="M121" i="45"/>
  <c r="G130" i="45"/>
  <c r="J130" i="45" s="1"/>
  <c r="M130" i="45" s="1"/>
  <c r="P130" i="45" s="1"/>
  <c r="J145" i="45"/>
  <c r="T147" i="45"/>
  <c r="H160" i="45"/>
  <c r="K160" i="45" s="1"/>
  <c r="N160" i="45" s="1"/>
  <c r="Q160" i="45" s="1"/>
  <c r="S174" i="45"/>
  <c r="S171" i="45"/>
  <c r="G171" i="45"/>
  <c r="J171" i="45" s="1"/>
  <c r="M171" i="45" s="1"/>
  <c r="P171" i="45" s="1"/>
  <c r="S173" i="45"/>
  <c r="G173" i="45"/>
  <c r="J173" i="45" s="1"/>
  <c r="M173" i="45" s="1"/>
  <c r="P173" i="45" s="1"/>
  <c r="F202" i="45"/>
  <c r="I202" i="45" s="1"/>
  <c r="L202" i="45" s="1"/>
  <c r="O202" i="45" s="1"/>
  <c r="R202" i="45" s="1"/>
  <c r="P199" i="45"/>
  <c r="S214" i="45"/>
  <c r="G214" i="45"/>
  <c r="J214" i="45" s="1"/>
  <c r="M214" i="45" s="1"/>
  <c r="P214" i="45" s="1"/>
  <c r="Q211" i="45"/>
  <c r="F226" i="45"/>
  <c r="I226" i="45" s="1"/>
  <c r="L226" i="45" s="1"/>
  <c r="O226" i="45" s="1"/>
  <c r="R226" i="45" s="1"/>
  <c r="P223" i="45"/>
  <c r="F244" i="45"/>
  <c r="I244" i="45" s="1"/>
  <c r="L244" i="45" s="1"/>
  <c r="O244" i="45" s="1"/>
  <c r="R244" i="45" s="1"/>
  <c r="T244" i="45"/>
  <c r="H244" i="45"/>
  <c r="K244" i="45" s="1"/>
  <c r="N244" i="45" s="1"/>
  <c r="Q244" i="45" s="1"/>
  <c r="R241" i="45"/>
  <c r="S280" i="45"/>
  <c r="G280" i="45"/>
  <c r="J280" i="45" s="1"/>
  <c r="M280" i="45" s="1"/>
  <c r="P280" i="45" s="1"/>
  <c r="Q277" i="45"/>
  <c r="T92" i="45"/>
  <c r="S93" i="45"/>
  <c r="H166" i="45"/>
  <c r="K166" i="45" s="1"/>
  <c r="N166" i="45" s="1"/>
  <c r="Q166" i="45" s="1"/>
  <c r="D172" i="45"/>
  <c r="H172" i="45"/>
  <c r="K172" i="45" s="1"/>
  <c r="N172" i="45" s="1"/>
  <c r="Q172" i="45" s="1"/>
  <c r="T322" i="45"/>
  <c r="H322" i="45"/>
  <c r="K322" i="45" s="1"/>
  <c r="N322" i="45" s="1"/>
  <c r="Q322" i="45" s="1"/>
  <c r="P391" i="45"/>
  <c r="T394" i="45"/>
  <c r="H394" i="45"/>
  <c r="K394" i="45" s="1"/>
  <c r="N394" i="45" s="1"/>
  <c r="Q394" i="45" s="1"/>
  <c r="R391" i="45"/>
  <c r="G187" i="45"/>
  <c r="I187" i="45"/>
  <c r="H188" i="45"/>
  <c r="K188" i="45" s="1"/>
  <c r="N188" i="45" s="1"/>
  <c r="Q188" i="45" s="1"/>
  <c r="S189" i="45"/>
  <c r="J199" i="45"/>
  <c r="L199" i="45"/>
  <c r="F200" i="45"/>
  <c r="I200" i="45" s="1"/>
  <c r="L200" i="45" s="1"/>
  <c r="O200" i="45" s="1"/>
  <c r="R200" i="45" s="1"/>
  <c r="H200" i="45"/>
  <c r="K200" i="45" s="1"/>
  <c r="N200" i="45" s="1"/>
  <c r="Q200" i="45" s="1"/>
  <c r="T200" i="45"/>
  <c r="H201" i="45"/>
  <c r="K201" i="45" s="1"/>
  <c r="N201" i="45" s="1"/>
  <c r="Q201" i="45" s="1"/>
  <c r="H203" i="45"/>
  <c r="K203" i="45" s="1"/>
  <c r="N203" i="45" s="1"/>
  <c r="Q203" i="45" s="1"/>
  <c r="G208" i="45"/>
  <c r="J208" i="45" s="1"/>
  <c r="M208" i="45" s="1"/>
  <c r="P208" i="45" s="1"/>
  <c r="K211" i="45"/>
  <c r="G212" i="45"/>
  <c r="J212" i="45" s="1"/>
  <c r="M212" i="45" s="1"/>
  <c r="P212" i="45" s="1"/>
  <c r="S212" i="45"/>
  <c r="G213" i="45"/>
  <c r="J213" i="45" s="1"/>
  <c r="M213" i="45" s="1"/>
  <c r="P213" i="45" s="1"/>
  <c r="G215" i="45"/>
  <c r="J215" i="45" s="1"/>
  <c r="M215" i="45" s="1"/>
  <c r="P215" i="45" s="1"/>
  <c r="G220" i="45"/>
  <c r="J220" i="45" s="1"/>
  <c r="M220" i="45" s="1"/>
  <c r="P220" i="45" s="1"/>
  <c r="J223" i="45"/>
  <c r="L223" i="45"/>
  <c r="F224" i="45"/>
  <c r="I224" i="45" s="1"/>
  <c r="L224" i="45" s="1"/>
  <c r="O224" i="45" s="1"/>
  <c r="R224" i="45" s="1"/>
  <c r="H224" i="45"/>
  <c r="K224" i="45" s="1"/>
  <c r="N224" i="45" s="1"/>
  <c r="Q224" i="45" s="1"/>
  <c r="T224" i="45"/>
  <c r="H225" i="45"/>
  <c r="K225" i="45" s="1"/>
  <c r="N225" i="45" s="1"/>
  <c r="Q225" i="45" s="1"/>
  <c r="H227" i="45"/>
  <c r="K227" i="45" s="1"/>
  <c r="N227" i="45" s="1"/>
  <c r="Q227" i="45" s="1"/>
  <c r="G232" i="45"/>
  <c r="J232" i="45" s="1"/>
  <c r="M232" i="45" s="1"/>
  <c r="P232" i="45" s="1"/>
  <c r="G238" i="45"/>
  <c r="J238" i="45" s="1"/>
  <c r="M238" i="45" s="1"/>
  <c r="P238" i="45" s="1"/>
  <c r="K241" i="45"/>
  <c r="G242" i="45"/>
  <c r="J242" i="45" s="1"/>
  <c r="M242" i="45" s="1"/>
  <c r="P242" i="45" s="1"/>
  <c r="S242" i="45"/>
  <c r="G243" i="45"/>
  <c r="J243" i="45" s="1"/>
  <c r="M243" i="45" s="1"/>
  <c r="P243" i="45" s="1"/>
  <c r="G245" i="45"/>
  <c r="J245" i="45" s="1"/>
  <c r="M245" i="45" s="1"/>
  <c r="P245" i="45" s="1"/>
  <c r="G250" i="45"/>
  <c r="J250" i="45" s="1"/>
  <c r="M250" i="45" s="1"/>
  <c r="P250" i="45" s="1"/>
  <c r="H256" i="45"/>
  <c r="K256" i="45" s="1"/>
  <c r="N256" i="45" s="1"/>
  <c r="Q256" i="45" s="1"/>
  <c r="M259" i="45"/>
  <c r="G268" i="45"/>
  <c r="J268" i="45" s="1"/>
  <c r="M268" i="45" s="1"/>
  <c r="P268" i="45" s="1"/>
  <c r="K277" i="45"/>
  <c r="G278" i="45"/>
  <c r="J278" i="45" s="1"/>
  <c r="M278" i="45" s="1"/>
  <c r="P278" i="45" s="1"/>
  <c r="S278" i="45"/>
  <c r="G279" i="45"/>
  <c r="J279" i="45" s="1"/>
  <c r="M279" i="45" s="1"/>
  <c r="P279" i="45" s="1"/>
  <c r="G281" i="45"/>
  <c r="J281" i="45" s="1"/>
  <c r="M281" i="45" s="1"/>
  <c r="P281" i="45" s="1"/>
  <c r="G286" i="45"/>
  <c r="J286" i="45" s="1"/>
  <c r="M286" i="45" s="1"/>
  <c r="P286" i="45" s="1"/>
  <c r="I289" i="45"/>
  <c r="K289" i="45"/>
  <c r="G290" i="45"/>
  <c r="J290" i="45" s="1"/>
  <c r="M290" i="45" s="1"/>
  <c r="P290" i="45" s="1"/>
  <c r="D291" i="45"/>
  <c r="S291" i="45" s="1"/>
  <c r="F293" i="45"/>
  <c r="I293" i="45" s="1"/>
  <c r="L293" i="45" s="1"/>
  <c r="O293" i="45" s="1"/>
  <c r="R293" i="45" s="1"/>
  <c r="J301" i="45"/>
  <c r="L301" i="45"/>
  <c r="H302" i="45"/>
  <c r="K302" i="45" s="1"/>
  <c r="N302" i="45" s="1"/>
  <c r="Q302" i="45" s="1"/>
  <c r="T302" i="45"/>
  <c r="H303" i="45"/>
  <c r="K303" i="45" s="1"/>
  <c r="N303" i="45" s="1"/>
  <c r="Q303" i="45" s="1"/>
  <c r="G304" i="45"/>
  <c r="J304" i="45" s="1"/>
  <c r="M304" i="45" s="1"/>
  <c r="P304" i="45" s="1"/>
  <c r="F306" i="45"/>
  <c r="I306" i="45" s="1"/>
  <c r="L306" i="45" s="1"/>
  <c r="O306" i="45" s="1"/>
  <c r="R306" i="45" s="1"/>
  <c r="F305" i="45"/>
  <c r="I305" i="45" s="1"/>
  <c r="L305" i="45" s="1"/>
  <c r="O305" i="45" s="1"/>
  <c r="R305" i="45" s="1"/>
  <c r="T306" i="45"/>
  <c r="T305" i="45"/>
  <c r="H305" i="45"/>
  <c r="K305" i="45" s="1"/>
  <c r="N305" i="45" s="1"/>
  <c r="Q305" i="45" s="1"/>
  <c r="T310" i="45"/>
  <c r="H310" i="45"/>
  <c r="K310" i="45" s="1"/>
  <c r="N310" i="45" s="1"/>
  <c r="Q310" i="45" s="1"/>
  <c r="F204" i="45"/>
  <c r="I204" i="45" s="1"/>
  <c r="L204" i="45" s="1"/>
  <c r="O204" i="45" s="1"/>
  <c r="R204" i="45" s="1"/>
  <c r="T204" i="45"/>
  <c r="S216" i="45"/>
  <c r="F228" i="45"/>
  <c r="I228" i="45" s="1"/>
  <c r="L228" i="45" s="1"/>
  <c r="O228" i="45" s="1"/>
  <c r="R228" i="45" s="1"/>
  <c r="T228" i="45"/>
  <c r="S246" i="45"/>
  <c r="S282" i="45"/>
  <c r="T293" i="45"/>
  <c r="T416" i="45"/>
  <c r="H416" i="45"/>
  <c r="K416" i="45" s="1"/>
  <c r="N416" i="45" s="1"/>
  <c r="Q416" i="45" s="1"/>
  <c r="T419" i="45"/>
  <c r="H419" i="45"/>
  <c r="K419" i="45" s="1"/>
  <c r="N419" i="45" s="1"/>
  <c r="Q419" i="45" s="1"/>
  <c r="S448" i="45"/>
  <c r="Q445" i="45"/>
  <c r="P457" i="45"/>
  <c r="F460" i="45"/>
  <c r="I460" i="45" s="1"/>
  <c r="L460" i="45" s="1"/>
  <c r="O460" i="45" s="1"/>
  <c r="R460" i="45" s="1"/>
  <c r="S472" i="45"/>
  <c r="G472" i="45"/>
  <c r="J472" i="45" s="1"/>
  <c r="M472" i="45" s="1"/>
  <c r="P472" i="45" s="1"/>
  <c r="Q469" i="45"/>
  <c r="D394" i="45"/>
  <c r="S396" i="45"/>
  <c r="E418" i="45"/>
  <c r="F420" i="45"/>
  <c r="I420" i="45" s="1"/>
  <c r="L420" i="45" s="1"/>
  <c r="O420" i="45" s="1"/>
  <c r="R420" i="45" s="1"/>
  <c r="T420" i="45"/>
  <c r="T417" i="45"/>
  <c r="H417" i="45"/>
  <c r="K417" i="45" s="1"/>
  <c r="N417" i="45" s="1"/>
  <c r="Q417" i="45" s="1"/>
  <c r="P445" i="45"/>
  <c r="T448" i="45"/>
  <c r="H448" i="45"/>
  <c r="K448" i="45" s="1"/>
  <c r="N448" i="45" s="1"/>
  <c r="Q448" i="45" s="1"/>
  <c r="R445" i="45"/>
  <c r="F472" i="45"/>
  <c r="I472" i="45" s="1"/>
  <c r="L472" i="45" s="1"/>
  <c r="O472" i="45" s="1"/>
  <c r="R472" i="45" s="1"/>
  <c r="P469" i="45"/>
  <c r="T472" i="45"/>
  <c r="H472" i="45"/>
  <c r="K472" i="45" s="1"/>
  <c r="N472" i="45" s="1"/>
  <c r="Q472" i="45" s="1"/>
  <c r="R469" i="45"/>
  <c r="S306" i="45"/>
  <c r="T314" i="45"/>
  <c r="S315" i="45"/>
  <c r="M331" i="45"/>
  <c r="G346" i="45"/>
  <c r="J346" i="45" s="1"/>
  <c r="M346" i="45" s="1"/>
  <c r="P346" i="45" s="1"/>
  <c r="G352" i="45"/>
  <c r="J352" i="45" s="1"/>
  <c r="M352" i="45" s="1"/>
  <c r="P352" i="45" s="1"/>
  <c r="T356" i="45"/>
  <c r="S357" i="45"/>
  <c r="E370" i="45"/>
  <c r="H369" i="45"/>
  <c r="K369" i="45" s="1"/>
  <c r="N369" i="45" s="1"/>
  <c r="Q369" i="45" s="1"/>
  <c r="G382" i="45"/>
  <c r="J382" i="45" s="1"/>
  <c r="M382" i="45" s="1"/>
  <c r="P382" i="45" s="1"/>
  <c r="G388" i="45"/>
  <c r="J388" i="45" s="1"/>
  <c r="M388" i="45" s="1"/>
  <c r="P388" i="45" s="1"/>
  <c r="K391" i="45"/>
  <c r="G392" i="45"/>
  <c r="J392" i="45" s="1"/>
  <c r="M392" i="45" s="1"/>
  <c r="P392" i="45" s="1"/>
  <c r="G393" i="45"/>
  <c r="J393" i="45" s="1"/>
  <c r="M393" i="45" s="1"/>
  <c r="P393" i="45" s="1"/>
  <c r="G395" i="45"/>
  <c r="J395" i="45" s="1"/>
  <c r="M395" i="45" s="1"/>
  <c r="P395" i="45" s="1"/>
  <c r="G400" i="45"/>
  <c r="J400" i="45" s="1"/>
  <c r="M400" i="45" s="1"/>
  <c r="P400" i="45" s="1"/>
  <c r="H412" i="45"/>
  <c r="K412" i="45" s="1"/>
  <c r="N412" i="45" s="1"/>
  <c r="Q412" i="45" s="1"/>
  <c r="J415" i="45"/>
  <c r="L415" i="45"/>
  <c r="C418" i="45"/>
  <c r="G418" i="45"/>
  <c r="J418" i="45" s="1"/>
  <c r="M418" i="45" s="1"/>
  <c r="P418" i="45" s="1"/>
  <c r="G424" i="45"/>
  <c r="J424" i="45" s="1"/>
  <c r="M424" i="45" s="1"/>
  <c r="P424" i="45" s="1"/>
  <c r="G427" i="45"/>
  <c r="I427" i="45"/>
  <c r="H442" i="45"/>
  <c r="K442" i="45" s="1"/>
  <c r="N442" i="45" s="1"/>
  <c r="Q442" i="45" s="1"/>
  <c r="J445" i="45"/>
  <c r="L445" i="45"/>
  <c r="F446" i="45"/>
  <c r="I446" i="45" s="1"/>
  <c r="L446" i="45" s="1"/>
  <c r="O446" i="45" s="1"/>
  <c r="R446" i="45" s="1"/>
  <c r="H446" i="45"/>
  <c r="K446" i="45" s="1"/>
  <c r="N446" i="45" s="1"/>
  <c r="Q446" i="45" s="1"/>
  <c r="T446" i="45"/>
  <c r="H447" i="45"/>
  <c r="K447" i="45" s="1"/>
  <c r="N447" i="45" s="1"/>
  <c r="Q447" i="45" s="1"/>
  <c r="H449" i="45"/>
  <c r="K449" i="45" s="1"/>
  <c r="N449" i="45" s="1"/>
  <c r="Q449" i="45" s="1"/>
  <c r="S450" i="45"/>
  <c r="G454" i="45"/>
  <c r="J454" i="45" s="1"/>
  <c r="M454" i="45" s="1"/>
  <c r="P454" i="45" s="1"/>
  <c r="K457" i="45"/>
  <c r="R457" i="45"/>
  <c r="S458" i="45"/>
  <c r="G459" i="45"/>
  <c r="J459" i="45" s="1"/>
  <c r="M459" i="45" s="1"/>
  <c r="P459" i="45" s="1"/>
  <c r="D460" i="45"/>
  <c r="T460" i="45"/>
  <c r="S461" i="45"/>
  <c r="T462" i="45"/>
  <c r="H466" i="45"/>
  <c r="K466" i="45" s="1"/>
  <c r="N466" i="45" s="1"/>
  <c r="Q466" i="45" s="1"/>
  <c r="J469" i="45"/>
  <c r="L469" i="45"/>
  <c r="F470" i="45"/>
  <c r="I470" i="45" s="1"/>
  <c r="L470" i="45" s="1"/>
  <c r="O470" i="45" s="1"/>
  <c r="R470" i="45" s="1"/>
  <c r="H470" i="45"/>
  <c r="K470" i="45" s="1"/>
  <c r="N470" i="45" s="1"/>
  <c r="Q470" i="45" s="1"/>
  <c r="T470" i="45"/>
  <c r="H471" i="45"/>
  <c r="K471" i="45" s="1"/>
  <c r="N471" i="45" s="1"/>
  <c r="Q471" i="45" s="1"/>
  <c r="H473" i="45"/>
  <c r="K473" i="45" s="1"/>
  <c r="N473" i="45" s="1"/>
  <c r="Q473" i="45" s="1"/>
  <c r="S474" i="45"/>
  <c r="G478" i="45"/>
  <c r="J478" i="45" s="1"/>
  <c r="M478" i="45" s="1"/>
  <c r="P478" i="45" s="1"/>
  <c r="F450" i="45"/>
  <c r="I450" i="45" s="1"/>
  <c r="L450" i="45" s="1"/>
  <c r="O450" i="45" s="1"/>
  <c r="R450" i="45" s="1"/>
  <c r="T450" i="45"/>
  <c r="G466" i="45"/>
  <c r="J466" i="45" s="1"/>
  <c r="M466" i="45" s="1"/>
  <c r="P466" i="45" s="1"/>
  <c r="F474" i="45"/>
  <c r="I474" i="45" s="1"/>
  <c r="L474" i="45" s="1"/>
  <c r="O474" i="45" s="1"/>
  <c r="R474" i="45" s="1"/>
  <c r="T474" i="45"/>
  <c r="I7" i="45"/>
  <c r="O52" i="198" s="1"/>
  <c r="O54" i="198" s="1"/>
  <c r="R7" i="45"/>
  <c r="L74" i="60"/>
  <c r="C394" i="191"/>
  <c r="A23" i="194"/>
  <c r="A24" i="232"/>
  <c r="A25" i="60"/>
  <c r="A23" i="193"/>
  <c r="A66" i="194"/>
  <c r="A68" i="232"/>
  <c r="A70" i="60"/>
  <c r="A66" i="193"/>
  <c r="A86" i="194"/>
  <c r="A91" i="60"/>
  <c r="A86" i="193"/>
  <c r="A89" i="232"/>
  <c r="A96" i="194"/>
  <c r="A101" i="60"/>
  <c r="A96" i="193"/>
  <c r="A99" i="232"/>
  <c r="A128" i="194"/>
  <c r="A128" i="193"/>
  <c r="A134" i="232"/>
  <c r="A136" i="60"/>
  <c r="A149" i="194"/>
  <c r="A149" i="193"/>
  <c r="A156" i="232"/>
  <c r="A158" i="60"/>
  <c r="A16" i="194"/>
  <c r="A16" i="193"/>
  <c r="A16" i="232"/>
  <c r="A17" i="60"/>
  <c r="A33" i="194"/>
  <c r="A34" i="232"/>
  <c r="A33" i="193"/>
  <c r="A35" i="60"/>
  <c r="A76" i="194"/>
  <c r="A78" i="232"/>
  <c r="A76" i="193"/>
  <c r="A80" i="60"/>
  <c r="A91" i="194"/>
  <c r="A91" i="193"/>
  <c r="A94" i="232"/>
  <c r="A96" i="60"/>
  <c r="A122" i="194"/>
  <c r="A122" i="193"/>
  <c r="A128" i="232"/>
  <c r="A130" i="60"/>
  <c r="A139" i="194"/>
  <c r="A139" i="193"/>
  <c r="A146" i="232"/>
  <c r="A148" i="60"/>
  <c r="A154" i="194"/>
  <c r="A161" i="232"/>
  <c r="A154" i="193"/>
  <c r="A163" i="60"/>
  <c r="D6" i="234"/>
  <c r="D6" i="192"/>
  <c r="A1" i="216"/>
  <c r="A1" i="220"/>
  <c r="A1" i="225"/>
  <c r="A1" i="224"/>
  <c r="A1" i="223"/>
  <c r="A1" i="222"/>
  <c r="A1" i="219"/>
  <c r="A1" i="218"/>
  <c r="A1" i="214"/>
  <c r="A1" i="217"/>
  <c r="A1" i="215"/>
  <c r="A1" i="212"/>
  <c r="A1" i="211"/>
  <c r="A1" i="210"/>
  <c r="A1" i="207"/>
  <c r="A1" i="204"/>
  <c r="A1" i="203"/>
  <c r="A1" i="213"/>
  <c r="A1" i="209"/>
  <c r="A1" i="208"/>
  <c r="A1" i="206"/>
  <c r="A1" i="205"/>
  <c r="A1" i="199"/>
  <c r="A1" i="202"/>
  <c r="A1" i="201"/>
  <c r="A1" i="200"/>
  <c r="A1" i="198"/>
  <c r="A3" i="216"/>
  <c r="A3" i="220"/>
  <c r="A3" i="225"/>
  <c r="A3" i="224"/>
  <c r="A3" i="223"/>
  <c r="A3" i="222"/>
  <c r="A3" i="219"/>
  <c r="A3" i="218"/>
  <c r="A3" i="214"/>
  <c r="A3" i="217"/>
  <c r="A3" i="215"/>
  <c r="A3" i="212"/>
  <c r="A3" i="211"/>
  <c r="A3" i="210"/>
  <c r="A3" i="207"/>
  <c r="A3" i="204"/>
  <c r="A3" i="213"/>
  <c r="A3" i="209"/>
  <c r="A3" i="208"/>
  <c r="A3" i="206"/>
  <c r="A3" i="205"/>
  <c r="A3" i="203"/>
  <c r="A3" i="199"/>
  <c r="A3" i="202"/>
  <c r="A3" i="201"/>
  <c r="A3" i="200"/>
  <c r="A3" i="198"/>
  <c r="B6" i="183"/>
  <c r="B6" i="113"/>
  <c r="B7" i="45"/>
  <c r="B7" i="183"/>
  <c r="B10" i="113"/>
  <c r="B31" i="45"/>
  <c r="B9" i="183"/>
  <c r="B14" i="113"/>
  <c r="B55" i="45"/>
  <c r="B10" i="183"/>
  <c r="B16" i="113"/>
  <c r="B67" i="45"/>
  <c r="B11" i="183"/>
  <c r="B18" i="113"/>
  <c r="B79" i="45"/>
  <c r="B13" i="183"/>
  <c r="B20" i="113"/>
  <c r="B91" i="45"/>
  <c r="B14" i="183"/>
  <c r="B25" i="113"/>
  <c r="B121" i="45"/>
  <c r="B15" i="183"/>
  <c r="B30" i="113"/>
  <c r="B145" i="45"/>
  <c r="B16" i="183"/>
  <c r="B34" i="113"/>
  <c r="B169" i="45"/>
  <c r="B18" i="183"/>
  <c r="B37" i="113"/>
  <c r="B187" i="45"/>
  <c r="B19" i="183"/>
  <c r="B39" i="113"/>
  <c r="B199" i="45"/>
  <c r="B20" i="183"/>
  <c r="B41" i="113"/>
  <c r="B211" i="45"/>
  <c r="B21" i="183"/>
  <c r="B43" i="113"/>
  <c r="B223" i="45"/>
  <c r="B23" i="183"/>
  <c r="B46" i="113"/>
  <c r="B241" i="45"/>
  <c r="B24" i="183"/>
  <c r="B49" i="113"/>
  <c r="B259" i="45"/>
  <c r="B25" i="183"/>
  <c r="B52" i="113"/>
  <c r="B277" i="45"/>
  <c r="B26" i="183"/>
  <c r="B54" i="113"/>
  <c r="B289" i="45"/>
  <c r="B28" i="183"/>
  <c r="B56" i="113"/>
  <c r="B301" i="45"/>
  <c r="B30" i="183"/>
  <c r="B58" i="113"/>
  <c r="B313" i="45"/>
  <c r="B31" i="183"/>
  <c r="B61" i="113"/>
  <c r="B331" i="45"/>
  <c r="B33" i="183"/>
  <c r="B65" i="113"/>
  <c r="B355" i="45"/>
  <c r="B34" i="183"/>
  <c r="B67" i="113"/>
  <c r="B367" i="45"/>
  <c r="B36" i="183"/>
  <c r="B71" i="113"/>
  <c r="B403" i="45"/>
  <c r="B37" i="183"/>
  <c r="B73" i="113"/>
  <c r="B415" i="45"/>
  <c r="B38" i="183"/>
  <c r="B75" i="113"/>
  <c r="B427" i="45"/>
  <c r="B39" i="183"/>
  <c r="B78" i="113"/>
  <c r="B445" i="45"/>
  <c r="B40" i="183"/>
  <c r="B80" i="113"/>
  <c r="B457" i="45"/>
  <c r="G3" i="122"/>
  <c r="I5" i="225"/>
  <c r="I5" i="216"/>
  <c r="I5" i="220"/>
  <c r="I5" i="224"/>
  <c r="I5" i="223"/>
  <c r="I5" i="222"/>
  <c r="I5" i="219"/>
  <c r="I5" i="218"/>
  <c r="I5" i="214"/>
  <c r="I5" i="217"/>
  <c r="I5" i="215"/>
  <c r="I5" i="212"/>
  <c r="I5" i="211"/>
  <c r="I5" i="210"/>
  <c r="I5" i="207"/>
  <c r="I5" i="204"/>
  <c r="I5" i="203"/>
  <c r="I5" i="213"/>
  <c r="I5" i="209"/>
  <c r="I5" i="208"/>
  <c r="I5" i="206"/>
  <c r="I5" i="205"/>
  <c r="I5" i="199"/>
  <c r="I5" i="202"/>
  <c r="I5" i="201"/>
  <c r="I5" i="200"/>
  <c r="I5" i="198"/>
  <c r="A67" i="198"/>
  <c r="B5" i="239"/>
  <c r="B7" i="113"/>
  <c r="B7" i="123" s="1"/>
  <c r="B13" i="45"/>
  <c r="A7" i="198"/>
  <c r="A10" i="194"/>
  <c r="B6" i="239"/>
  <c r="B8" i="113"/>
  <c r="B8" i="123" s="1"/>
  <c r="B19" i="45"/>
  <c r="C10" i="194"/>
  <c r="A145" i="198"/>
  <c r="A9" i="198"/>
  <c r="A12" i="194"/>
  <c r="B7" i="239"/>
  <c r="B9" i="113"/>
  <c r="B9" i="123" s="1"/>
  <c r="B25" i="45"/>
  <c r="C12" i="194"/>
  <c r="A223" i="198"/>
  <c r="A9" i="239"/>
  <c r="A11" i="113"/>
  <c r="A11" i="123" s="1"/>
  <c r="A68" i="199"/>
  <c r="A37" i="45"/>
  <c r="B17" i="194"/>
  <c r="A10" i="239"/>
  <c r="A12" i="113"/>
  <c r="A12" i="123" s="1"/>
  <c r="A146" i="199"/>
  <c r="A43" i="45"/>
  <c r="B19" i="194"/>
  <c r="A11" i="239"/>
  <c r="A13" i="113"/>
  <c r="A13" i="123" s="1"/>
  <c r="A185" i="199"/>
  <c r="A49" i="45"/>
  <c r="A223" i="199"/>
  <c r="A13" i="239"/>
  <c r="A15" i="113"/>
  <c r="A15" i="123" s="1"/>
  <c r="A68" i="200"/>
  <c r="A61" i="45"/>
  <c r="A8" i="200"/>
  <c r="A26" i="194"/>
  <c r="A6" i="201"/>
  <c r="A29" i="194"/>
  <c r="B15" i="239"/>
  <c r="B17" i="113"/>
  <c r="B17" i="123" s="1"/>
  <c r="B73" i="45"/>
  <c r="C29" i="194"/>
  <c r="A30" i="194"/>
  <c r="A7" i="201"/>
  <c r="A17" i="239"/>
  <c r="A19" i="113"/>
  <c r="A19" i="123" s="1"/>
  <c r="A85" i="45"/>
  <c r="B34" i="194"/>
  <c r="A68" i="202"/>
  <c r="A107" i="202"/>
  <c r="B35" i="194"/>
  <c r="A6" i="203"/>
  <c r="A39" i="194"/>
  <c r="B19" i="239"/>
  <c r="B21" i="113"/>
  <c r="B21" i="123" s="1"/>
  <c r="C39" i="194"/>
  <c r="B97" i="45"/>
  <c r="A7" i="203"/>
  <c r="A106" i="203" s="1"/>
  <c r="A40" i="194"/>
  <c r="B20" i="239"/>
  <c r="B22" i="113"/>
  <c r="B22" i="123" s="1"/>
  <c r="B103" i="45"/>
  <c r="C40" i="194"/>
  <c r="A8" i="203"/>
  <c r="A145" i="203" s="1"/>
  <c r="A41" i="194"/>
  <c r="A9" i="203"/>
  <c r="A184" i="203" s="1"/>
  <c r="A42" i="194"/>
  <c r="B21" i="239"/>
  <c r="B23" i="113"/>
  <c r="B23" i="123" s="1"/>
  <c r="B109" i="45"/>
  <c r="C42" i="194"/>
  <c r="A10" i="203"/>
  <c r="A223" i="203" s="1"/>
  <c r="A43" i="194"/>
  <c r="B22" i="239"/>
  <c r="B24" i="113"/>
  <c r="B24" i="123" s="1"/>
  <c r="B115" i="45"/>
  <c r="C43" i="194"/>
  <c r="A11" i="203"/>
  <c r="A262" i="203" s="1"/>
  <c r="A44" i="194"/>
  <c r="A6" i="204"/>
  <c r="A47" i="194"/>
  <c r="B24" i="239"/>
  <c r="B26" i="113"/>
  <c r="B26" i="123" s="1"/>
  <c r="B127" i="45"/>
  <c r="C47" i="194"/>
  <c r="A7" i="204"/>
  <c r="A48" i="194"/>
  <c r="A8" i="204"/>
  <c r="A49" i="194"/>
  <c r="B25" i="239"/>
  <c r="B27" i="113"/>
  <c r="B27" i="123" s="1"/>
  <c r="C49" i="194"/>
  <c r="A9" i="204"/>
  <c r="A50" i="194"/>
  <c r="B26" i="239"/>
  <c r="B28" i="113"/>
  <c r="B28" i="123" s="1"/>
  <c r="B133" i="45"/>
  <c r="C50" i="194"/>
  <c r="A10" i="204"/>
  <c r="A51" i="194"/>
  <c r="B27" i="239"/>
  <c r="B29" i="113"/>
  <c r="B29" i="123" s="1"/>
  <c r="B139" i="45"/>
  <c r="C51" i="194"/>
  <c r="A11" i="204"/>
  <c r="A52" i="194"/>
  <c r="A6" i="205"/>
  <c r="A55" i="194"/>
  <c r="B29" i="239"/>
  <c r="B31" i="113"/>
  <c r="B31" i="123" s="1"/>
  <c r="B151" i="45"/>
  <c r="C55" i="194"/>
  <c r="A7" i="205"/>
  <c r="A56" i="194"/>
  <c r="B30" i="239"/>
  <c r="B32" i="113"/>
  <c r="B32" i="123" s="1"/>
  <c r="B157" i="45"/>
  <c r="C56" i="194"/>
  <c r="A8" i="205"/>
  <c r="A57" i="194"/>
  <c r="B31" i="239"/>
  <c r="B33" i="113"/>
  <c r="B33" i="123" s="1"/>
  <c r="C57" i="194"/>
  <c r="B163" i="45"/>
  <c r="A9" i="205"/>
  <c r="A58" i="194"/>
  <c r="A6" i="206"/>
  <c r="A61" i="194"/>
  <c r="B33" i="239"/>
  <c r="B35" i="113"/>
  <c r="B35" i="123" s="1"/>
  <c r="B175" i="45"/>
  <c r="C61" i="194"/>
  <c r="A7" i="206"/>
  <c r="A62" i="194"/>
  <c r="B34" i="239"/>
  <c r="B36" i="113"/>
  <c r="B36" i="123" s="1"/>
  <c r="B181" i="45"/>
  <c r="C62" i="194"/>
  <c r="A8" i="206"/>
  <c r="A63" i="194"/>
  <c r="A9" i="206"/>
  <c r="A64" i="194"/>
  <c r="A36" i="239"/>
  <c r="A38" i="113"/>
  <c r="A38" i="123" s="1"/>
  <c r="A68" i="207"/>
  <c r="A193" i="45"/>
  <c r="B67" i="194"/>
  <c r="A8" i="207"/>
  <c r="A69" i="194"/>
  <c r="A6" i="208"/>
  <c r="A72" i="194"/>
  <c r="B38" i="239"/>
  <c r="B40" i="113"/>
  <c r="B40" i="123" s="1"/>
  <c r="B205" i="45"/>
  <c r="C72" i="194"/>
  <c r="A7" i="208"/>
  <c r="A73" i="194"/>
  <c r="A40" i="239"/>
  <c r="A42" i="113"/>
  <c r="A42" i="123" s="1"/>
  <c r="A68" i="209"/>
  <c r="A217" i="45"/>
  <c r="B77" i="194"/>
  <c r="A8" i="209"/>
  <c r="A79" i="194"/>
  <c r="A6" i="210"/>
  <c r="A82" i="194"/>
  <c r="B42" i="239"/>
  <c r="B44" i="113"/>
  <c r="B44" i="123" s="1"/>
  <c r="B229" i="45"/>
  <c r="C82" i="194"/>
  <c r="A7" i="210"/>
  <c r="A83" i="194"/>
  <c r="B43" i="239"/>
  <c r="B45" i="113"/>
  <c r="B45" i="123" s="1"/>
  <c r="C83" i="194"/>
  <c r="B235" i="45"/>
  <c r="A8" i="210"/>
  <c r="A84" i="194"/>
  <c r="A45" i="239"/>
  <c r="A47" i="113"/>
  <c r="A47" i="123" s="1"/>
  <c r="A68" i="211"/>
  <c r="A247" i="45"/>
  <c r="B87" i="194"/>
  <c r="A46" i="239"/>
  <c r="A48" i="113"/>
  <c r="A48" i="123" s="1"/>
  <c r="A107" i="211"/>
  <c r="B88" i="194"/>
  <c r="A253" i="45"/>
  <c r="A48" i="239"/>
  <c r="A50" i="113"/>
  <c r="A50" i="123" s="1"/>
  <c r="A68" i="212"/>
  <c r="A265" i="45"/>
  <c r="B92" i="194"/>
  <c r="A49" i="239"/>
  <c r="A51" i="113"/>
  <c r="A51" i="123" s="1"/>
  <c r="A107" i="212"/>
  <c r="A271" i="45"/>
  <c r="B93" i="194"/>
  <c r="A51" i="239"/>
  <c r="A53" i="113"/>
  <c r="A53" i="123" s="1"/>
  <c r="A68" i="213"/>
  <c r="A283" i="45"/>
  <c r="B97" i="194"/>
  <c r="A8" i="213"/>
  <c r="A99" i="194"/>
  <c r="A6" i="214"/>
  <c r="A102" i="194"/>
  <c r="B53" i="239"/>
  <c r="B55" i="113"/>
  <c r="B55" i="123" s="1"/>
  <c r="B295" i="45"/>
  <c r="C102" i="194"/>
  <c r="A7" i="214"/>
  <c r="A103" i="194"/>
  <c r="A6" i="215"/>
  <c r="A107" i="194"/>
  <c r="B55" i="239"/>
  <c r="B57" i="113"/>
  <c r="B57" i="123" s="1"/>
  <c r="B307" i="45"/>
  <c r="C107" i="194"/>
  <c r="A7" i="215"/>
  <c r="A108" i="194"/>
  <c r="A6" i="217"/>
  <c r="A112" i="194"/>
  <c r="B57" i="239"/>
  <c r="B59" i="113"/>
  <c r="B59" i="123" s="1"/>
  <c r="B319" i="45"/>
  <c r="C112" i="194"/>
  <c r="A7" i="217"/>
  <c r="A113" i="194"/>
  <c r="B58" i="239"/>
  <c r="B60" i="113"/>
  <c r="B60" i="123" s="1"/>
  <c r="B325" i="45"/>
  <c r="C113" i="194"/>
  <c r="A8" i="217"/>
  <c r="A114" i="194"/>
  <c r="A6" i="218"/>
  <c r="A117" i="194"/>
  <c r="B60" i="239"/>
  <c r="B62" i="113"/>
  <c r="B62" i="123" s="1"/>
  <c r="B337" i="45"/>
  <c r="C117" i="194"/>
  <c r="A7" i="218"/>
  <c r="A118" i="194"/>
  <c r="B61" i="239"/>
  <c r="B63" i="113"/>
  <c r="B63" i="123" s="1"/>
  <c r="B343" i="45"/>
  <c r="C118" i="194"/>
  <c r="A8" i="218"/>
  <c r="A119" i="194"/>
  <c r="B62" i="239"/>
  <c r="B64" i="113"/>
  <c r="B64" i="123" s="1"/>
  <c r="B349" i="45"/>
  <c r="C119" i="194"/>
  <c r="A9" i="218"/>
  <c r="A120" i="194"/>
  <c r="A64" i="239"/>
  <c r="A66" i="113"/>
  <c r="A66" i="123" s="1"/>
  <c r="A68" i="219"/>
  <c r="A361" i="45"/>
  <c r="B123" i="194"/>
  <c r="A107" i="219"/>
  <c r="B124" i="194"/>
  <c r="A146" i="219"/>
  <c r="B125" i="194"/>
  <c r="A66" i="239"/>
  <c r="A68" i="113"/>
  <c r="A68" i="123" s="1"/>
  <c r="A68" i="220"/>
  <c r="A373" i="45"/>
  <c r="B129" i="194"/>
  <c r="A67" i="239"/>
  <c r="A69" i="113"/>
  <c r="A69" i="123" s="1"/>
  <c r="A107" i="220"/>
  <c r="B130" i="194"/>
  <c r="A379" i="45"/>
  <c r="A68" i="239"/>
  <c r="A70" i="113"/>
  <c r="A70" i="123" s="1"/>
  <c r="A146" i="220"/>
  <c r="A385" i="45"/>
  <c r="B131" i="194"/>
  <c r="A397" i="45"/>
  <c r="B135" i="194"/>
  <c r="A70" i="239"/>
  <c r="A72" i="113"/>
  <c r="A72" i="123" s="1"/>
  <c r="A68" i="222"/>
  <c r="B140" i="194"/>
  <c r="A409" i="45"/>
  <c r="A8" i="222"/>
  <c r="A142" i="194"/>
  <c r="A6" i="223"/>
  <c r="A145" i="194"/>
  <c r="B72" i="239"/>
  <c r="B74" i="113"/>
  <c r="B74" i="123" s="1"/>
  <c r="B421" i="45"/>
  <c r="C145" i="194"/>
  <c r="A7" i="223"/>
  <c r="A146" i="194"/>
  <c r="A74" i="239"/>
  <c r="A76" i="113"/>
  <c r="A76" i="123" s="1"/>
  <c r="A68" i="224"/>
  <c r="A433" i="45"/>
  <c r="B150" i="194"/>
  <c r="A75" i="239"/>
  <c r="A77" i="113"/>
  <c r="A77" i="123" s="1"/>
  <c r="A107" i="224"/>
  <c r="A439" i="45"/>
  <c r="B151" i="194"/>
  <c r="A77" i="239"/>
  <c r="A79" i="113"/>
  <c r="A79" i="123" s="1"/>
  <c r="A68" i="216"/>
  <c r="A451" i="45"/>
  <c r="B155" i="194"/>
  <c r="A8" i="216"/>
  <c r="A157" i="194"/>
  <c r="A6" i="225"/>
  <c r="A160" i="194"/>
  <c r="B79" i="239"/>
  <c r="B81" i="113"/>
  <c r="B81" i="123" s="1"/>
  <c r="B463" i="45"/>
  <c r="C160" i="194"/>
  <c r="A7" i="225"/>
  <c r="A161" i="194"/>
  <c r="A475" i="45"/>
  <c r="B165" i="194"/>
  <c r="A167" i="194"/>
  <c r="A167" i="193"/>
  <c r="X5" i="123"/>
  <c r="T5" i="123"/>
  <c r="D23" i="234"/>
  <c r="AK23" i="234" s="1"/>
  <c r="D28" i="98"/>
  <c r="A222" i="198"/>
  <c r="A183" i="198"/>
  <c r="A105" i="198"/>
  <c r="A261" i="198" s="1"/>
  <c r="A144" i="198"/>
  <c r="H4" i="122"/>
  <c r="A225" i="198"/>
  <c r="A186" i="198"/>
  <c r="A108" i="198"/>
  <c r="A264" i="198" s="1"/>
  <c r="A147" i="198"/>
  <c r="I228" i="198"/>
  <c r="I189" i="198"/>
  <c r="I111" i="198"/>
  <c r="I267" i="198" s="1"/>
  <c r="I150" i="198"/>
  <c r="A232" i="198"/>
  <c r="A193" i="198"/>
  <c r="A115" i="198"/>
  <c r="A271" i="198" s="1"/>
  <c r="A154" i="198"/>
  <c r="A155" i="198"/>
  <c r="A233" i="198"/>
  <c r="A194" i="198"/>
  <c r="A116" i="198"/>
  <c r="A272" i="198" s="1"/>
  <c r="B156" i="198"/>
  <c r="B234" i="198"/>
  <c r="B195" i="198"/>
  <c r="B117" i="198"/>
  <c r="B273" i="198" s="1"/>
  <c r="I155" i="198"/>
  <c r="I233" i="198"/>
  <c r="I194" i="198"/>
  <c r="I116" i="198"/>
  <c r="I272" i="198" s="1"/>
  <c r="A235" i="198"/>
  <c r="A196" i="198"/>
  <c r="A118" i="198"/>
  <c r="A274" i="198" s="1"/>
  <c r="A157" i="198"/>
  <c r="A171" i="198"/>
  <c r="A249" i="198"/>
  <c r="A210" i="198"/>
  <c r="A132" i="198"/>
  <c r="A288" i="198" s="1"/>
  <c r="B172" i="198"/>
  <c r="B250" i="198"/>
  <c r="B211" i="198"/>
  <c r="B133" i="198"/>
  <c r="B289" i="198" s="1"/>
  <c r="I158" i="198"/>
  <c r="I236" i="198"/>
  <c r="I197" i="198"/>
  <c r="I119" i="198"/>
  <c r="I275" i="198" s="1"/>
  <c r="B160" i="198"/>
  <c r="B238" i="198"/>
  <c r="B199" i="198"/>
  <c r="B121" i="198"/>
  <c r="B277" i="198" s="1"/>
  <c r="A239" i="198"/>
  <c r="A122" i="198"/>
  <c r="A278" i="198" s="1"/>
  <c r="A200" i="198"/>
  <c r="A161" i="198"/>
  <c r="A240" i="198"/>
  <c r="A123" i="198"/>
  <c r="A279" i="198" s="1"/>
  <c r="A201" i="198"/>
  <c r="A162" i="198"/>
  <c r="B202" i="198"/>
  <c r="B163" i="198"/>
  <c r="B241" i="198"/>
  <c r="B124" i="198"/>
  <c r="B280" i="198" s="1"/>
  <c r="A242" i="198"/>
  <c r="A125" i="198"/>
  <c r="A281" i="198" s="1"/>
  <c r="A203" i="198"/>
  <c r="A164" i="198"/>
  <c r="A205" i="198"/>
  <c r="A166" i="198"/>
  <c r="A244" i="198"/>
  <c r="A127" i="198"/>
  <c r="A283" i="198" s="1"/>
  <c r="I186" i="199"/>
  <c r="I108" i="199"/>
  <c r="I225" i="199" s="1"/>
  <c r="I147" i="199"/>
  <c r="A150" i="199"/>
  <c r="A189" i="199"/>
  <c r="A111" i="199"/>
  <c r="A228" i="199" s="1"/>
  <c r="I150" i="199"/>
  <c r="I189" i="199"/>
  <c r="I111" i="199"/>
  <c r="I228" i="199" s="1"/>
  <c r="A154" i="199"/>
  <c r="A193" i="199"/>
  <c r="A115" i="199"/>
  <c r="A232" i="199" s="1"/>
  <c r="A194" i="199"/>
  <c r="A116" i="199"/>
  <c r="A233" i="199" s="1"/>
  <c r="A155" i="199"/>
  <c r="B195" i="199"/>
  <c r="B117" i="199"/>
  <c r="B234" i="199" s="1"/>
  <c r="B156" i="199"/>
  <c r="I194" i="199"/>
  <c r="I116" i="199"/>
  <c r="I233" i="199" s="1"/>
  <c r="I155" i="199"/>
  <c r="A157" i="199"/>
  <c r="A196" i="199"/>
  <c r="A118" i="199"/>
  <c r="A235" i="199" s="1"/>
  <c r="A197" i="199"/>
  <c r="A119" i="199"/>
  <c r="A236" i="199" s="1"/>
  <c r="A158" i="199"/>
  <c r="B198" i="199"/>
  <c r="B120" i="199"/>
  <c r="B237" i="199" s="1"/>
  <c r="B159" i="199"/>
  <c r="I197" i="199"/>
  <c r="I119" i="199"/>
  <c r="I236" i="199" s="1"/>
  <c r="I158" i="199"/>
  <c r="B173" i="199"/>
  <c r="B212" i="199"/>
  <c r="B134" i="199"/>
  <c r="B251" i="199" s="1"/>
  <c r="A161" i="199"/>
  <c r="A200" i="199"/>
  <c r="A122" i="199"/>
  <c r="A239" i="199" s="1"/>
  <c r="A162" i="199"/>
  <c r="A201" i="199"/>
  <c r="A123" i="199"/>
  <c r="A240" i="199" s="1"/>
  <c r="B215" i="199"/>
  <c r="B137" i="199"/>
  <c r="B254" i="199" s="1"/>
  <c r="B176" i="199"/>
  <c r="A164" i="199"/>
  <c r="A203" i="199"/>
  <c r="A125" i="199"/>
  <c r="A242" i="199" s="1"/>
  <c r="I213" i="199"/>
  <c r="I135" i="199"/>
  <c r="I252" i="199" s="1"/>
  <c r="I290" i="199" s="1"/>
  <c r="I174" i="199"/>
  <c r="A105" i="200"/>
  <c r="A144" i="200"/>
  <c r="A180" i="200"/>
  <c r="A141" i="200"/>
  <c r="I111" i="200"/>
  <c r="I150" i="200"/>
  <c r="A115" i="200"/>
  <c r="A154" i="200"/>
  <c r="A155" i="200"/>
  <c r="A116" i="200"/>
  <c r="B156" i="200"/>
  <c r="B117" i="200"/>
  <c r="I155" i="200"/>
  <c r="I116" i="200"/>
  <c r="A118" i="200"/>
  <c r="A157" i="200"/>
  <c r="A158" i="200"/>
  <c r="A119" i="200"/>
  <c r="B159" i="200"/>
  <c r="B120" i="200"/>
  <c r="I158" i="200"/>
  <c r="I119" i="200"/>
  <c r="B160" i="200"/>
  <c r="B121" i="200"/>
  <c r="A174" i="200"/>
  <c r="A135" i="200"/>
  <c r="A123" i="200"/>
  <c r="A162" i="200"/>
  <c r="B163" i="200"/>
  <c r="B124" i="200"/>
  <c r="A138" i="200"/>
  <c r="A177" i="200"/>
  <c r="I174" i="200"/>
  <c r="I212" i="200"/>
  <c r="I250" i="200" s="1"/>
  <c r="I288" i="200" s="1"/>
  <c r="I135" i="200"/>
  <c r="A108" i="201"/>
  <c r="A147" i="201"/>
  <c r="I151" i="201"/>
  <c r="I112" i="201"/>
  <c r="A165" i="201"/>
  <c r="A126" i="201"/>
  <c r="B154" i="201"/>
  <c r="B115" i="201"/>
  <c r="I153" i="201"/>
  <c r="I114" i="201"/>
  <c r="B168" i="201"/>
  <c r="B129" i="201"/>
  <c r="I115" i="201"/>
  <c r="I154" i="201"/>
  <c r="B157" i="201"/>
  <c r="B118" i="201"/>
  <c r="I117" i="201"/>
  <c r="I156" i="201"/>
  <c r="B132" i="201"/>
  <c r="B171" i="201"/>
  <c r="I118" i="201"/>
  <c r="I157" i="201"/>
  <c r="A133" i="201"/>
  <c r="A172" i="201"/>
  <c r="A121" i="201"/>
  <c r="A160" i="201"/>
  <c r="B161" i="201"/>
  <c r="B122" i="201"/>
  <c r="I121" i="201"/>
  <c r="I160" i="201"/>
  <c r="B162" i="201"/>
  <c r="B123" i="201"/>
  <c r="A124" i="201"/>
  <c r="A163" i="201"/>
  <c r="B164" i="201"/>
  <c r="B125" i="201"/>
  <c r="I125" i="201"/>
  <c r="I164" i="201"/>
  <c r="A166" i="201"/>
  <c r="A127" i="201"/>
  <c r="I108" i="202"/>
  <c r="I147" i="202"/>
  <c r="I112" i="202"/>
  <c r="I151" i="202"/>
  <c r="A153" i="202"/>
  <c r="A114" i="202"/>
  <c r="B128" i="202"/>
  <c r="B167" i="202"/>
  <c r="I114" i="202"/>
  <c r="I153" i="202"/>
  <c r="B155" i="202"/>
  <c r="B116" i="202"/>
  <c r="I154" i="202"/>
  <c r="I115" i="202"/>
  <c r="A156" i="202"/>
  <c r="A117" i="202"/>
  <c r="B118" i="202"/>
  <c r="B157" i="202"/>
  <c r="I156" i="202"/>
  <c r="I117" i="202"/>
  <c r="B158" i="202"/>
  <c r="B119" i="202"/>
  <c r="I157" i="202"/>
  <c r="I118" i="202"/>
  <c r="A159" i="202"/>
  <c r="A120" i="202"/>
  <c r="A160" i="202"/>
  <c r="A121" i="202"/>
  <c r="B174" i="202"/>
  <c r="B135" i="202"/>
  <c r="I160" i="202"/>
  <c r="I121" i="202"/>
  <c r="B123" i="202"/>
  <c r="B162" i="202"/>
  <c r="A163" i="202"/>
  <c r="A124" i="202"/>
  <c r="B177" i="202"/>
  <c r="B138" i="202"/>
  <c r="I164" i="202"/>
  <c r="I125" i="202"/>
  <c r="A127" i="202"/>
  <c r="A166" i="202"/>
  <c r="D15" i="105"/>
  <c r="G15" i="105" s="1"/>
  <c r="D16" i="105"/>
  <c r="G16" i="105" s="1"/>
  <c r="D17" i="105"/>
  <c r="G17" i="105" s="1"/>
  <c r="D18" i="105"/>
  <c r="D22" i="105"/>
  <c r="G22" i="105" s="1"/>
  <c r="D30" i="105"/>
  <c r="G30" i="105" s="1"/>
  <c r="D31" i="105"/>
  <c r="G31" i="105" s="1"/>
  <c r="D60" i="105"/>
  <c r="G60" i="105"/>
  <c r="D68" i="105"/>
  <c r="G68" i="105"/>
  <c r="D77" i="105"/>
  <c r="G77" i="105"/>
  <c r="D78" i="105"/>
  <c r="G78" i="105"/>
  <c r="D81" i="105"/>
  <c r="G81" i="105"/>
  <c r="D82" i="105"/>
  <c r="G82" i="105" s="1"/>
  <c r="D85" i="105"/>
  <c r="G85" i="105" s="1"/>
  <c r="D109" i="105"/>
  <c r="G109" i="105" s="1"/>
  <c r="D110" i="105"/>
  <c r="G110" i="105" s="1"/>
  <c r="D111" i="105"/>
  <c r="G111" i="105" s="1"/>
  <c r="D114" i="105"/>
  <c r="G114" i="105" s="1"/>
  <c r="D115" i="105"/>
  <c r="G115" i="105" s="1"/>
  <c r="D116" i="105"/>
  <c r="G116" i="105" s="1"/>
  <c r="D119" i="105"/>
  <c r="G119" i="105" s="1"/>
  <c r="D124" i="105"/>
  <c r="G124" i="105" s="1"/>
  <c r="D132" i="105"/>
  <c r="G132" i="105" s="1"/>
  <c r="D133" i="105"/>
  <c r="G133" i="105" s="1"/>
  <c r="D136" i="105"/>
  <c r="G136" i="105" s="1"/>
  <c r="A143" i="105"/>
  <c r="D144" i="105"/>
  <c r="G144" i="105"/>
  <c r="H7" i="60"/>
  <c r="A8" i="60"/>
  <c r="B9" i="60"/>
  <c r="A10" i="60"/>
  <c r="C10" i="60"/>
  <c r="A11" i="60"/>
  <c r="C11" i="60"/>
  <c r="A12" i="60"/>
  <c r="C12" i="60"/>
  <c r="A13" i="60"/>
  <c r="C13" i="60"/>
  <c r="C17" i="60"/>
  <c r="B18" i="60"/>
  <c r="B19" i="60"/>
  <c r="B20" i="60"/>
  <c r="B21" i="60"/>
  <c r="A24" i="60"/>
  <c r="B25" i="60"/>
  <c r="A26" i="60"/>
  <c r="C26" i="60"/>
  <c r="A27" i="60"/>
  <c r="A28" i="60"/>
  <c r="B30" i="60"/>
  <c r="A31" i="60"/>
  <c r="C31" i="60"/>
  <c r="C35" i="60"/>
  <c r="B36" i="60"/>
  <c r="B37" i="60"/>
  <c r="B41" i="60"/>
  <c r="A42" i="60"/>
  <c r="C42" i="60"/>
  <c r="A43" i="60"/>
  <c r="C43" i="60"/>
  <c r="A44" i="60"/>
  <c r="C44" i="60"/>
  <c r="A45" i="60"/>
  <c r="C45" i="60"/>
  <c r="A46" i="60"/>
  <c r="C46" i="60"/>
  <c r="A47" i="60"/>
  <c r="B49" i="60"/>
  <c r="A50" i="60"/>
  <c r="C50" i="60"/>
  <c r="A51" i="60"/>
  <c r="C51" i="60"/>
  <c r="A52" i="60"/>
  <c r="C52" i="60"/>
  <c r="A53" i="60"/>
  <c r="C53" i="60"/>
  <c r="A54" i="60"/>
  <c r="C54" i="60"/>
  <c r="A55" i="60"/>
  <c r="B57" i="60"/>
  <c r="A58" i="60"/>
  <c r="C58" i="60"/>
  <c r="A59" i="60"/>
  <c r="C59" i="60"/>
  <c r="A60" i="60"/>
  <c r="C60" i="60"/>
  <c r="A61" i="60"/>
  <c r="B63" i="60"/>
  <c r="A64" i="60"/>
  <c r="C64" i="60"/>
  <c r="A65" i="60"/>
  <c r="C65" i="60"/>
  <c r="A66" i="60"/>
  <c r="C66" i="60"/>
  <c r="A67" i="60"/>
  <c r="A69" i="60"/>
  <c r="B70" i="60"/>
  <c r="A71" i="60"/>
  <c r="C71" i="60"/>
  <c r="A72" i="60"/>
  <c r="A73" i="60"/>
  <c r="B75" i="60"/>
  <c r="A76" i="60"/>
  <c r="C76" i="60"/>
  <c r="A77" i="60"/>
  <c r="A78" i="60"/>
  <c r="C80" i="60"/>
  <c r="B81" i="60"/>
  <c r="B85" i="60"/>
  <c r="A86" i="60"/>
  <c r="C86" i="60"/>
  <c r="A87" i="60"/>
  <c r="C87" i="60"/>
  <c r="A88" i="60"/>
  <c r="A90" i="60"/>
  <c r="B91" i="60"/>
  <c r="A93" i="60"/>
  <c r="C93" i="60"/>
  <c r="C96" i="60"/>
  <c r="B97" i="60"/>
  <c r="B98" i="60"/>
  <c r="B101" i="60"/>
  <c r="A103" i="60"/>
  <c r="A104" i="60"/>
  <c r="C106" i="60"/>
  <c r="A111" i="60"/>
  <c r="B112" i="60"/>
  <c r="A113" i="60"/>
  <c r="C113" i="60"/>
  <c r="A114" i="60"/>
  <c r="A115" i="60"/>
  <c r="B118" i="60"/>
  <c r="A119" i="60"/>
  <c r="C119" i="60"/>
  <c r="A120" i="60"/>
  <c r="C120" i="60"/>
  <c r="A121" i="60"/>
  <c r="B123" i="60"/>
  <c r="A124" i="60"/>
  <c r="C124" i="60"/>
  <c r="A125" i="60"/>
  <c r="C125" i="60"/>
  <c r="A126" i="60"/>
  <c r="C126" i="60"/>
  <c r="A127" i="60"/>
  <c r="C130" i="60"/>
  <c r="B131" i="60"/>
  <c r="B132" i="60"/>
  <c r="B133" i="60"/>
  <c r="C136" i="60"/>
  <c r="B137" i="60"/>
  <c r="B138" i="60"/>
  <c r="B139" i="60"/>
  <c r="A142" i="60"/>
  <c r="C142" i="60"/>
  <c r="B143" i="60"/>
  <c r="C148" i="60"/>
  <c r="B149" i="60"/>
  <c r="B153" i="60"/>
  <c r="A154" i="60"/>
  <c r="C154" i="60"/>
  <c r="A155" i="60"/>
  <c r="A156" i="60"/>
  <c r="C158" i="60"/>
  <c r="B159" i="60"/>
  <c r="B160" i="60"/>
  <c r="C163" i="60"/>
  <c r="B164" i="60"/>
  <c r="B168" i="60"/>
  <c r="A169" i="60"/>
  <c r="C169" i="60"/>
  <c r="A170" i="60"/>
  <c r="A171" i="60"/>
  <c r="C173" i="60"/>
  <c r="B174" i="60"/>
  <c r="B8" i="232"/>
  <c r="A9" i="232"/>
  <c r="C9" i="232"/>
  <c r="B10" i="232"/>
  <c r="A11" i="232"/>
  <c r="C11" i="232"/>
  <c r="B12" i="232"/>
  <c r="A13" i="232"/>
  <c r="B16" i="232"/>
  <c r="A17" i="232"/>
  <c r="C17" i="232"/>
  <c r="B18" i="232"/>
  <c r="A19" i="232"/>
  <c r="C19" i="232"/>
  <c r="B20" i="232"/>
  <c r="A21" i="232"/>
  <c r="B24" i="232"/>
  <c r="A27" i="232"/>
  <c r="C29" i="232"/>
  <c r="A31" i="232"/>
  <c r="B34" i="232"/>
  <c r="B36" i="232"/>
  <c r="B40" i="232"/>
  <c r="A41" i="232"/>
  <c r="C41" i="232"/>
  <c r="A43" i="232"/>
  <c r="C43" i="232"/>
  <c r="A45" i="232"/>
  <c r="C45" i="232"/>
  <c r="C47" i="232"/>
  <c r="B48" i="232"/>
  <c r="A49" i="232"/>
  <c r="C49" i="232"/>
  <c r="B50" i="232"/>
  <c r="A51" i="232"/>
  <c r="C51" i="232"/>
  <c r="B52" i="232"/>
  <c r="A53" i="232"/>
  <c r="C55" i="232"/>
  <c r="B56" i="232"/>
  <c r="A57" i="232"/>
  <c r="C57" i="232"/>
  <c r="B58" i="232"/>
  <c r="A59" i="232"/>
  <c r="C61" i="232"/>
  <c r="B62" i="232"/>
  <c r="A63" i="232"/>
  <c r="C63" i="232"/>
  <c r="B64" i="232"/>
  <c r="A65" i="232"/>
  <c r="B68" i="232"/>
  <c r="A71" i="232"/>
  <c r="C73" i="232"/>
  <c r="A75" i="232"/>
  <c r="B78" i="232"/>
  <c r="A81" i="232"/>
  <c r="C83" i="232"/>
  <c r="A85" i="232"/>
  <c r="C85" i="232"/>
  <c r="C89" i="232"/>
  <c r="B90" i="232"/>
  <c r="A91" i="232"/>
  <c r="C91" i="232"/>
  <c r="B94" i="232"/>
  <c r="A95" i="232"/>
  <c r="C95" i="232"/>
  <c r="B96" i="232"/>
  <c r="A97" i="232"/>
  <c r="C99" i="232"/>
  <c r="B100" i="232"/>
  <c r="A101" i="232"/>
  <c r="B104" i="232"/>
  <c r="A105" i="232"/>
  <c r="C105" i="232"/>
  <c r="A107" i="232"/>
  <c r="B110" i="232"/>
  <c r="A111" i="232"/>
  <c r="C111" i="232"/>
  <c r="B116" i="232"/>
  <c r="A117" i="232"/>
  <c r="C117" i="232"/>
  <c r="B118" i="232"/>
  <c r="A119" i="232"/>
  <c r="B121" i="232"/>
  <c r="A122" i="232"/>
  <c r="C122" i="232"/>
  <c r="A124" i="232"/>
  <c r="C124" i="232"/>
  <c r="C128" i="232"/>
  <c r="B129" i="232"/>
  <c r="A130" i="232"/>
  <c r="C130" i="232"/>
  <c r="B131" i="232"/>
  <c r="A132" i="232"/>
  <c r="C134" i="232"/>
  <c r="B135" i="232"/>
  <c r="A136" i="232"/>
  <c r="C136" i="232"/>
  <c r="B137" i="232"/>
  <c r="A138" i="232"/>
  <c r="A140" i="232"/>
  <c r="C140" i="232"/>
  <c r="B141" i="232"/>
  <c r="A142" i="232"/>
  <c r="C146" i="232"/>
  <c r="B147" i="232"/>
  <c r="B151" i="232"/>
  <c r="A152" i="232"/>
  <c r="C152" i="232"/>
  <c r="C156" i="232"/>
  <c r="B157" i="232"/>
  <c r="B161" i="232"/>
  <c r="A164" i="232"/>
  <c r="C166" i="232"/>
  <c r="A168" i="232"/>
  <c r="B171" i="232"/>
  <c r="A172" i="232"/>
  <c r="A174" i="232"/>
  <c r="D6" i="98"/>
  <c r="E6" i="193"/>
  <c r="H4" i="2" s="1"/>
  <c r="F7" i="193"/>
  <c r="B8" i="193"/>
  <c r="A9" i="193"/>
  <c r="C9" i="193"/>
  <c r="B10" i="193"/>
  <c r="A11" i="193"/>
  <c r="C11" i="193"/>
  <c r="A13" i="193"/>
  <c r="B16" i="193"/>
  <c r="A17" i="193"/>
  <c r="C17" i="193"/>
  <c r="B18" i="193"/>
  <c r="A19" i="193"/>
  <c r="B20" i="193"/>
  <c r="A21" i="193"/>
  <c r="C23" i="193"/>
  <c r="B24" i="193"/>
  <c r="A25" i="193"/>
  <c r="B28" i="193"/>
  <c r="A29" i="193"/>
  <c r="C29" i="193"/>
  <c r="C33" i="193"/>
  <c r="B34" i="193"/>
  <c r="C35" i="193"/>
  <c r="C38" i="193"/>
  <c r="A40" i="193"/>
  <c r="C40" i="193"/>
  <c r="A42" i="193"/>
  <c r="C42" i="193"/>
  <c r="A44" i="193"/>
  <c r="C46" i="193"/>
  <c r="A48" i="193"/>
  <c r="C48" i="193"/>
  <c r="A50" i="193"/>
  <c r="C50" i="193"/>
  <c r="A52" i="193"/>
  <c r="C54" i="193"/>
  <c r="A56" i="193"/>
  <c r="C56" i="193"/>
  <c r="A58" i="193"/>
  <c r="C60" i="193"/>
  <c r="A62" i="193"/>
  <c r="C62" i="193"/>
  <c r="A64" i="193"/>
  <c r="C66" i="193"/>
  <c r="B67" i="193"/>
  <c r="B71" i="193"/>
  <c r="A72" i="193"/>
  <c r="C72" i="193"/>
  <c r="C76" i="193"/>
  <c r="B77" i="193"/>
  <c r="B81" i="193"/>
  <c r="A82" i="193"/>
  <c r="C82" i="193"/>
  <c r="A84" i="193"/>
  <c r="C86" i="193"/>
  <c r="B87" i="193"/>
  <c r="B91" i="193"/>
  <c r="B93" i="193"/>
  <c r="C96" i="193"/>
  <c r="B97" i="193"/>
  <c r="B101" i="193"/>
  <c r="A102" i="193"/>
  <c r="C102" i="193"/>
  <c r="C106" i="193"/>
  <c r="A108" i="193"/>
  <c r="B111" i="193"/>
  <c r="A112" i="193"/>
  <c r="C112" i="193"/>
  <c r="A114" i="193"/>
  <c r="C116" i="193"/>
  <c r="A118" i="193"/>
  <c r="C118" i="193"/>
  <c r="A120" i="193"/>
  <c r="C122" i="193"/>
  <c r="B123" i="193"/>
  <c r="C124" i="193"/>
  <c r="B125" i="193"/>
  <c r="C128" i="193"/>
  <c r="B129" i="193"/>
  <c r="B131" i="193"/>
  <c r="A134" i="193"/>
  <c r="C134" i="193"/>
  <c r="B135" i="193"/>
  <c r="A136" i="193"/>
  <c r="B139" i="193"/>
  <c r="A142" i="193"/>
  <c r="C144" i="193"/>
  <c r="A146" i="193"/>
  <c r="B149" i="193"/>
  <c r="B151" i="193"/>
  <c r="C154" i="193"/>
  <c r="B155" i="193"/>
  <c r="B159" i="193"/>
  <c r="A160" i="193"/>
  <c r="C160" i="193"/>
  <c r="C164" i="193"/>
  <c r="B165" i="193"/>
  <c r="A166" i="193"/>
  <c r="E6" i="194"/>
  <c r="A9" i="194"/>
  <c r="C11" i="194"/>
  <c r="A13" i="194"/>
  <c r="B16" i="194"/>
  <c r="A19" i="194"/>
  <c r="B20" i="194"/>
  <c r="C23" i="194"/>
  <c r="A25" i="194"/>
  <c r="C4" i="200"/>
  <c r="C5" i="183"/>
  <c r="C4" i="113"/>
  <c r="C4" i="123" s="1"/>
  <c r="B6" i="106"/>
  <c r="D5" i="183"/>
  <c r="D4" i="113"/>
  <c r="C6" i="106"/>
  <c r="E5" i="183"/>
  <c r="E4" i="113"/>
  <c r="B1" i="225"/>
  <c r="B1" i="224"/>
  <c r="B1" i="223"/>
  <c r="B1" i="222"/>
  <c r="B1" i="216"/>
  <c r="B1" i="220"/>
  <c r="B1" i="217"/>
  <c r="B1" i="215"/>
  <c r="B1" i="219"/>
  <c r="B1" i="218"/>
  <c r="B1" i="214"/>
  <c r="B1" i="213"/>
  <c r="B1" i="209"/>
  <c r="B1" i="208"/>
  <c r="B1" i="206"/>
  <c r="B1" i="205"/>
  <c r="B1" i="212"/>
  <c r="B1" i="211"/>
  <c r="B1" i="210"/>
  <c r="B1" i="207"/>
  <c r="B1" i="204"/>
  <c r="B1" i="203"/>
  <c r="B1" i="202"/>
  <c r="B1" i="201"/>
  <c r="B1" i="200"/>
  <c r="B1" i="198"/>
  <c r="B1" i="199"/>
  <c r="C3" i="225"/>
  <c r="C3" i="224"/>
  <c r="C3" i="223"/>
  <c r="C3" i="222"/>
  <c r="C3" i="216"/>
  <c r="C3" i="220"/>
  <c r="C3" i="217"/>
  <c r="C3" i="215"/>
  <c r="C3" i="219"/>
  <c r="C3" i="218"/>
  <c r="C3" i="214"/>
  <c r="C3" i="213"/>
  <c r="C3" i="209"/>
  <c r="C3" i="208"/>
  <c r="C3" i="206"/>
  <c r="C3" i="205"/>
  <c r="C3" i="203"/>
  <c r="C3" i="212"/>
  <c r="C3" i="211"/>
  <c r="C3" i="210"/>
  <c r="C3" i="207"/>
  <c r="C3" i="204"/>
  <c r="C3" i="202"/>
  <c r="C3" i="201"/>
  <c r="C3" i="200"/>
  <c r="C3" i="198"/>
  <c r="C3" i="199"/>
  <c r="A6" i="183"/>
  <c r="A6" i="113"/>
  <c r="B2" i="225"/>
  <c r="B14" i="225" s="1"/>
  <c r="B66" i="225" s="1"/>
  <c r="B105" i="225" s="1"/>
  <c r="B2" i="224"/>
  <c r="B14" i="224" s="1"/>
  <c r="B66" i="224" s="1"/>
  <c r="B144" i="224" s="1"/>
  <c r="B2" i="223"/>
  <c r="B14" i="223" s="1"/>
  <c r="B66" i="223" s="1"/>
  <c r="B144" i="223" s="1"/>
  <c r="B2" i="222"/>
  <c r="B14" i="222" s="1"/>
  <c r="B66" i="222" s="1"/>
  <c r="B105" i="222" s="1"/>
  <c r="B2" i="213"/>
  <c r="B14" i="213" s="1"/>
  <c r="B66" i="213" s="1"/>
  <c r="B105" i="213" s="1"/>
  <c r="B2" i="201"/>
  <c r="B14" i="201" s="1"/>
  <c r="B66" i="201" s="1"/>
  <c r="B105" i="201" s="1"/>
  <c r="B2" i="200"/>
  <c r="B14" i="200" s="1"/>
  <c r="B66" i="200" s="1"/>
  <c r="B144" i="200" s="1"/>
  <c r="B2" i="199"/>
  <c r="B14" i="199" s="1"/>
  <c r="B66" i="199" s="1"/>
  <c r="B183" i="199" s="1"/>
  <c r="A7" i="45"/>
  <c r="A7" i="183"/>
  <c r="A10" i="113"/>
  <c r="A31" i="45"/>
  <c r="A9" i="183"/>
  <c r="A14" i="113"/>
  <c r="A55" i="45"/>
  <c r="A10" i="183"/>
  <c r="A16" i="113"/>
  <c r="A67" i="45"/>
  <c r="A11" i="183"/>
  <c r="A18" i="113"/>
  <c r="A79" i="45"/>
  <c r="A13" i="183"/>
  <c r="A20" i="113"/>
  <c r="A91" i="45"/>
  <c r="A14" i="183"/>
  <c r="A25" i="113"/>
  <c r="A121" i="45"/>
  <c r="A15" i="183"/>
  <c r="A30" i="113"/>
  <c r="A145" i="45"/>
  <c r="A16" i="183"/>
  <c r="A34" i="113"/>
  <c r="A169" i="45"/>
  <c r="A18" i="183"/>
  <c r="A37" i="113"/>
  <c r="A187" i="45"/>
  <c r="A19" i="183"/>
  <c r="A39" i="113"/>
  <c r="A199" i="45"/>
  <c r="A20" i="183"/>
  <c r="A41" i="113"/>
  <c r="A211" i="45"/>
  <c r="A21" i="183"/>
  <c r="A43" i="113"/>
  <c r="A223" i="45"/>
  <c r="A23" i="183"/>
  <c r="A46" i="113"/>
  <c r="A241" i="45"/>
  <c r="A24" i="183"/>
  <c r="A49" i="113"/>
  <c r="A259" i="45"/>
  <c r="A25" i="183"/>
  <c r="A52" i="113"/>
  <c r="A277" i="45"/>
  <c r="A26" i="183"/>
  <c r="A54" i="113"/>
  <c r="A289" i="45"/>
  <c r="A28" i="183"/>
  <c r="A56" i="113"/>
  <c r="A301" i="45"/>
  <c r="A30" i="183"/>
  <c r="A58" i="113"/>
  <c r="A313" i="45"/>
  <c r="A31" i="183"/>
  <c r="A61" i="113"/>
  <c r="A331" i="45"/>
  <c r="A33" i="183"/>
  <c r="A65" i="113"/>
  <c r="A355" i="45"/>
  <c r="A34" i="183"/>
  <c r="A67" i="113"/>
  <c r="A367" i="45"/>
  <c r="A36" i="183"/>
  <c r="A71" i="113"/>
  <c r="A403" i="45"/>
  <c r="A37" i="183"/>
  <c r="A73" i="113"/>
  <c r="A415" i="45"/>
  <c r="A38" i="183"/>
  <c r="A75" i="113"/>
  <c r="A427" i="45"/>
  <c r="A39" i="183"/>
  <c r="A78" i="113"/>
  <c r="A445" i="45"/>
  <c r="A40" i="183"/>
  <c r="A80" i="113"/>
  <c r="A457" i="45"/>
  <c r="C5" i="225"/>
  <c r="C5" i="224"/>
  <c r="C5" i="223"/>
  <c r="C5" i="222"/>
  <c r="C5" i="216"/>
  <c r="C5" i="220"/>
  <c r="C5" i="217"/>
  <c r="C5" i="215"/>
  <c r="C5" i="219"/>
  <c r="C5" i="218"/>
  <c r="C5" i="214"/>
  <c r="C5" i="213"/>
  <c r="C5" i="209"/>
  <c r="C5" i="208"/>
  <c r="C5" i="206"/>
  <c r="C5" i="205"/>
  <c r="C5" i="212"/>
  <c r="C5" i="211"/>
  <c r="C5" i="210"/>
  <c r="C5" i="207"/>
  <c r="C5" i="204"/>
  <c r="C5" i="203"/>
  <c r="C5" i="202"/>
  <c r="C5" i="201"/>
  <c r="C5" i="200"/>
  <c r="C5" i="198"/>
  <c r="C5" i="199"/>
  <c r="G24" i="122"/>
  <c r="L5" i="225"/>
  <c r="L5" i="224"/>
  <c r="L5" i="223"/>
  <c r="L5" i="222"/>
  <c r="L5" i="216"/>
  <c r="L5" i="220"/>
  <c r="L5" i="217"/>
  <c r="L5" i="215"/>
  <c r="L5" i="219"/>
  <c r="L5" i="218"/>
  <c r="L5" i="214"/>
  <c r="L5" i="213"/>
  <c r="L5" i="209"/>
  <c r="L5" i="208"/>
  <c r="L5" i="206"/>
  <c r="L5" i="205"/>
  <c r="L5" i="212"/>
  <c r="L5" i="211"/>
  <c r="L5" i="210"/>
  <c r="L5" i="207"/>
  <c r="L5" i="204"/>
  <c r="L5" i="203"/>
  <c r="L5" i="202"/>
  <c r="L5" i="201"/>
  <c r="L5" i="200"/>
  <c r="L5" i="198"/>
  <c r="L5" i="199"/>
  <c r="A5" i="239"/>
  <c r="A7" i="113"/>
  <c r="A7" i="123" s="1"/>
  <c r="A68" i="198"/>
  <c r="A13" i="45"/>
  <c r="B9" i="194"/>
  <c r="A6" i="239"/>
  <c r="A8" i="113"/>
  <c r="A8" i="123" s="1"/>
  <c r="A107" i="198"/>
  <c r="A19" i="45"/>
  <c r="A146" i="198"/>
  <c r="B11" i="194"/>
  <c r="A7" i="239"/>
  <c r="A9" i="113"/>
  <c r="A9" i="123" s="1"/>
  <c r="A185" i="198"/>
  <c r="A25" i="45"/>
  <c r="A11" i="198"/>
  <c r="A14" i="194"/>
  <c r="A67" i="199"/>
  <c r="B9" i="239"/>
  <c r="B11" i="113"/>
  <c r="B11" i="123" s="1"/>
  <c r="B37" i="45"/>
  <c r="A7" i="199"/>
  <c r="A18" i="194"/>
  <c r="A145" i="199"/>
  <c r="B10" i="239"/>
  <c r="B12" i="113"/>
  <c r="B12" i="123" s="1"/>
  <c r="B43" i="45"/>
  <c r="A9" i="199"/>
  <c r="A20" i="194"/>
  <c r="B11" i="239"/>
  <c r="B13" i="113"/>
  <c r="B13" i="123" s="1"/>
  <c r="B49" i="45"/>
  <c r="C20" i="194"/>
  <c r="A6" i="200"/>
  <c r="A24" i="194"/>
  <c r="B13" i="239"/>
  <c r="B15" i="113"/>
  <c r="B15" i="123" s="1"/>
  <c r="B61" i="45"/>
  <c r="C24" i="194"/>
  <c r="A106" i="200"/>
  <c r="A15" i="239"/>
  <c r="A17" i="113"/>
  <c r="A17" i="123" s="1"/>
  <c r="A68" i="201"/>
  <c r="A73" i="45"/>
  <c r="B29" i="194"/>
  <c r="A8" i="201"/>
  <c r="A31" i="194"/>
  <c r="A6" i="202"/>
  <c r="A34" i="194"/>
  <c r="B17" i="239"/>
  <c r="B19" i="113"/>
  <c r="B19" i="123" s="1"/>
  <c r="B85" i="45"/>
  <c r="C34" i="194"/>
  <c r="A35" i="194"/>
  <c r="A7" i="202"/>
  <c r="A8" i="202"/>
  <c r="A36" i="194"/>
  <c r="A19" i="239"/>
  <c r="A21" i="113"/>
  <c r="A21" i="123" s="1"/>
  <c r="A68" i="203"/>
  <c r="A97" i="45"/>
  <c r="B39" i="194"/>
  <c r="A20" i="239"/>
  <c r="A22" i="113"/>
  <c r="A22" i="123" s="1"/>
  <c r="A107" i="203"/>
  <c r="A103" i="45"/>
  <c r="B40" i="194"/>
  <c r="A146" i="203"/>
  <c r="B41" i="194"/>
  <c r="A21" i="239"/>
  <c r="A23" i="113"/>
  <c r="A23" i="123" s="1"/>
  <c r="A185" i="203"/>
  <c r="B42" i="194"/>
  <c r="A109" i="45"/>
  <c r="A22" i="239"/>
  <c r="A24" i="113"/>
  <c r="A24" i="123" s="1"/>
  <c r="A224" i="203"/>
  <c r="A115" i="45"/>
  <c r="B43" i="194"/>
  <c r="A24" i="239"/>
  <c r="A26" i="113"/>
  <c r="A26" i="123" s="1"/>
  <c r="A68" i="204"/>
  <c r="A127" i="45"/>
  <c r="B47" i="194"/>
  <c r="A107" i="204"/>
  <c r="B48" i="194"/>
  <c r="A25" i="239"/>
  <c r="A27" i="113"/>
  <c r="A27" i="123" s="1"/>
  <c r="A146" i="204"/>
  <c r="B49" i="194"/>
  <c r="A26" i="239"/>
  <c r="A28" i="113"/>
  <c r="A28" i="123" s="1"/>
  <c r="A185" i="204"/>
  <c r="B50" i="194"/>
  <c r="A133" i="45"/>
  <c r="A27" i="239"/>
  <c r="A29" i="113"/>
  <c r="A29" i="123" s="1"/>
  <c r="A224" i="204"/>
  <c r="A139" i="45"/>
  <c r="B51" i="194"/>
  <c r="A29" i="239"/>
  <c r="A31" i="113"/>
  <c r="A31" i="123" s="1"/>
  <c r="A68" i="205"/>
  <c r="A151" i="45"/>
  <c r="B55" i="194"/>
  <c r="A30" i="239"/>
  <c r="A32" i="113"/>
  <c r="A32" i="123" s="1"/>
  <c r="A107" i="205"/>
  <c r="A157" i="45"/>
  <c r="B56" i="194"/>
  <c r="A31" i="239"/>
  <c r="A33" i="113"/>
  <c r="A33" i="123" s="1"/>
  <c r="A146" i="205"/>
  <c r="A163" i="45"/>
  <c r="B57" i="194"/>
  <c r="A33" i="239"/>
  <c r="A35" i="113"/>
  <c r="A35" i="123" s="1"/>
  <c r="A68" i="206"/>
  <c r="A175" i="45"/>
  <c r="B61" i="194"/>
  <c r="A34" i="239"/>
  <c r="A36" i="113"/>
  <c r="A36" i="123" s="1"/>
  <c r="A107" i="206"/>
  <c r="B62" i="194"/>
  <c r="A181" i="45"/>
  <c r="A146" i="206"/>
  <c r="B63" i="194"/>
  <c r="A6" i="207"/>
  <c r="A67" i="194"/>
  <c r="B36" i="239"/>
  <c r="B38" i="113"/>
  <c r="B38" i="123" s="1"/>
  <c r="B193" i="45"/>
  <c r="C67" i="194"/>
  <c r="A7" i="207"/>
  <c r="A68" i="194"/>
  <c r="A38" i="239"/>
  <c r="A40" i="113"/>
  <c r="A40" i="123" s="1"/>
  <c r="A68" i="208"/>
  <c r="A205" i="45"/>
  <c r="B72" i="194"/>
  <c r="A8" i="208"/>
  <c r="A74" i="194"/>
  <c r="A6" i="209"/>
  <c r="A77" i="194"/>
  <c r="B40" i="239"/>
  <c r="B42" i="113"/>
  <c r="B42" i="123" s="1"/>
  <c r="B217" i="45"/>
  <c r="C77" i="194"/>
  <c r="A7" i="209"/>
  <c r="A78" i="194"/>
  <c r="A42" i="239"/>
  <c r="A44" i="113"/>
  <c r="A44" i="123" s="1"/>
  <c r="A68" i="210"/>
  <c r="A229" i="45"/>
  <c r="B82" i="194"/>
  <c r="A43" i="239"/>
  <c r="A45" i="113"/>
  <c r="A45" i="123" s="1"/>
  <c r="A107" i="210"/>
  <c r="A235" i="45"/>
  <c r="B83" i="194"/>
  <c r="A6" i="211"/>
  <c r="A87" i="194"/>
  <c r="B45" i="239"/>
  <c r="B47" i="113"/>
  <c r="B47" i="123" s="1"/>
  <c r="B247" i="45"/>
  <c r="C87" i="194"/>
  <c r="A7" i="211"/>
  <c r="A88" i="194"/>
  <c r="B46" i="239"/>
  <c r="B48" i="113"/>
  <c r="B48" i="123" s="1"/>
  <c r="B253" i="45"/>
  <c r="C88" i="194"/>
  <c r="A8" i="211"/>
  <c r="A89" i="194"/>
  <c r="A6" i="212"/>
  <c r="A92" i="194"/>
  <c r="B48" i="239"/>
  <c r="B50" i="113"/>
  <c r="B50" i="123" s="1"/>
  <c r="B265" i="45"/>
  <c r="C92" i="194"/>
  <c r="A7" i="212"/>
  <c r="A93" i="194"/>
  <c r="B49" i="239"/>
  <c r="B51" i="113"/>
  <c r="B51" i="123" s="1"/>
  <c r="C93" i="194"/>
  <c r="B271" i="45"/>
  <c r="A8" i="212"/>
  <c r="A94" i="194"/>
  <c r="A6" i="213"/>
  <c r="A97" i="194"/>
  <c r="B51" i="239"/>
  <c r="B53" i="113"/>
  <c r="B53" i="123" s="1"/>
  <c r="B283" i="45"/>
  <c r="C97" i="194"/>
  <c r="A7" i="213"/>
  <c r="A98" i="194"/>
  <c r="A53" i="239"/>
  <c r="A55" i="113"/>
  <c r="A55" i="123" s="1"/>
  <c r="A68" i="214"/>
  <c r="A295" i="45"/>
  <c r="B102" i="194"/>
  <c r="A8" i="214"/>
  <c r="A104" i="194"/>
  <c r="A55" i="239"/>
  <c r="A57" i="113"/>
  <c r="A57" i="123" s="1"/>
  <c r="A68" i="215"/>
  <c r="A307" i="45"/>
  <c r="B107" i="194"/>
  <c r="A8" i="215"/>
  <c r="A109" i="194"/>
  <c r="A57" i="239"/>
  <c r="A59" i="113"/>
  <c r="A59" i="123" s="1"/>
  <c r="A68" i="217"/>
  <c r="B112" i="194"/>
  <c r="A319" i="45"/>
  <c r="A58" i="239"/>
  <c r="A60" i="113"/>
  <c r="A60" i="123" s="1"/>
  <c r="A107" i="217"/>
  <c r="A325" i="45"/>
  <c r="B113" i="194"/>
  <c r="A60" i="239"/>
  <c r="A62" i="113"/>
  <c r="A62" i="123" s="1"/>
  <c r="A68" i="218"/>
  <c r="A337" i="45"/>
  <c r="B117" i="194"/>
  <c r="A61" i="239"/>
  <c r="A63" i="113"/>
  <c r="A63" i="123" s="1"/>
  <c r="A107" i="218"/>
  <c r="B118" i="194"/>
  <c r="A343" i="45"/>
  <c r="A62" i="239"/>
  <c r="A64" i="113"/>
  <c r="A64" i="123" s="1"/>
  <c r="A146" i="218"/>
  <c r="A349" i="45"/>
  <c r="B119" i="194"/>
  <c r="A6" i="219"/>
  <c r="A123" i="194"/>
  <c r="B64" i="239"/>
  <c r="B66" i="113"/>
  <c r="B66" i="123" s="1"/>
  <c r="B361" i="45"/>
  <c r="C123" i="194"/>
  <c r="A7" i="219"/>
  <c r="A124" i="194"/>
  <c r="A8" i="219"/>
  <c r="A125" i="194"/>
  <c r="A9" i="219"/>
  <c r="A126" i="194"/>
  <c r="A6" i="220"/>
  <c r="A129" i="194"/>
  <c r="B66" i="239"/>
  <c r="B68" i="113"/>
  <c r="B68" i="123" s="1"/>
  <c r="C129" i="194"/>
  <c r="B373" i="45"/>
  <c r="A7" i="220"/>
  <c r="A130" i="194"/>
  <c r="B67" i="239"/>
  <c r="B69" i="113"/>
  <c r="B69" i="123" s="1"/>
  <c r="B379" i="45"/>
  <c r="C130" i="194"/>
  <c r="A8" i="220"/>
  <c r="A131" i="194"/>
  <c r="B68" i="239"/>
  <c r="B70" i="113"/>
  <c r="B70" i="123" s="1"/>
  <c r="B385" i="45"/>
  <c r="C131" i="194"/>
  <c r="A9" i="220"/>
  <c r="A132" i="194"/>
  <c r="C135" i="194"/>
  <c r="B397" i="45"/>
  <c r="A6" i="222"/>
  <c r="A140" i="194"/>
  <c r="B70" i="239"/>
  <c r="B72" i="113"/>
  <c r="B72" i="123" s="1"/>
  <c r="B409" i="45"/>
  <c r="C140" i="194"/>
  <c r="A7" i="222"/>
  <c r="A141" i="194"/>
  <c r="A72" i="239"/>
  <c r="A74" i="113"/>
  <c r="A74" i="123" s="1"/>
  <c r="A68" i="223"/>
  <c r="A421" i="45"/>
  <c r="B145" i="194"/>
  <c r="A8" i="223"/>
  <c r="A147" i="194"/>
  <c r="A6" i="224"/>
  <c r="A150" i="194"/>
  <c r="B74" i="239"/>
  <c r="B76" i="113"/>
  <c r="B76" i="123" s="1"/>
  <c r="B433" i="45"/>
  <c r="C150" i="194"/>
  <c r="A7" i="224"/>
  <c r="A151" i="194"/>
  <c r="B75" i="239"/>
  <c r="B77" i="113"/>
  <c r="B77" i="123" s="1"/>
  <c r="B439" i="45"/>
  <c r="C151" i="194"/>
  <c r="A8" i="224"/>
  <c r="A152" i="194"/>
  <c r="A6" i="216"/>
  <c r="A155" i="194"/>
  <c r="B77" i="239"/>
  <c r="B79" i="113"/>
  <c r="B79" i="123" s="1"/>
  <c r="C155" i="194"/>
  <c r="B451" i="45"/>
  <c r="A7" i="216"/>
  <c r="A156" i="194"/>
  <c r="A79" i="239"/>
  <c r="A81" i="113"/>
  <c r="A81" i="123" s="1"/>
  <c r="A68" i="225"/>
  <c r="B160" i="194"/>
  <c r="A463" i="45"/>
  <c r="A8" i="225"/>
  <c r="A162" i="194"/>
  <c r="C165" i="194"/>
  <c r="B475" i="45"/>
  <c r="Y5" i="123"/>
  <c r="U5" i="123"/>
  <c r="I151" i="198"/>
  <c r="I229" i="198"/>
  <c r="I190" i="198"/>
  <c r="I112" i="198"/>
  <c r="I268" i="198" s="1"/>
  <c r="A231" i="198"/>
  <c r="A192" i="198"/>
  <c r="A114" i="198"/>
  <c r="A270" i="198" s="1"/>
  <c r="A153" i="198"/>
  <c r="B154" i="198"/>
  <c r="B232" i="198"/>
  <c r="B193" i="198"/>
  <c r="B115" i="198"/>
  <c r="B271" i="198" s="1"/>
  <c r="I153" i="198"/>
  <c r="I231" i="198"/>
  <c r="I192" i="198"/>
  <c r="I114" i="198"/>
  <c r="I270" i="198" s="1"/>
  <c r="B233" i="198"/>
  <c r="B194" i="198"/>
  <c r="B116" i="198"/>
  <c r="B272" i="198" s="1"/>
  <c r="B155" i="198"/>
  <c r="I232" i="198"/>
  <c r="I193" i="198"/>
  <c r="I115" i="198"/>
  <c r="I271" i="198" s="1"/>
  <c r="I154" i="198"/>
  <c r="A234" i="198"/>
  <c r="A195" i="198"/>
  <c r="A117" i="198"/>
  <c r="A273" i="198" s="1"/>
  <c r="A156" i="198"/>
  <c r="B157" i="198"/>
  <c r="B235" i="198"/>
  <c r="B196" i="198"/>
  <c r="B118" i="198"/>
  <c r="B274" i="198" s="1"/>
  <c r="I234" i="198"/>
  <c r="I195" i="198"/>
  <c r="I117" i="198"/>
  <c r="I273" i="198" s="1"/>
  <c r="I156" i="198"/>
  <c r="B236" i="198"/>
  <c r="B197" i="198"/>
  <c r="B119" i="198"/>
  <c r="B275" i="198" s="1"/>
  <c r="B158" i="198"/>
  <c r="I235" i="198"/>
  <c r="I196" i="198"/>
  <c r="I118" i="198"/>
  <c r="I274" i="198" s="1"/>
  <c r="I157" i="198"/>
  <c r="A237" i="198"/>
  <c r="A198" i="198"/>
  <c r="A120" i="198"/>
  <c r="A276" i="198" s="1"/>
  <c r="A159" i="198"/>
  <c r="A238" i="198"/>
  <c r="A199" i="198"/>
  <c r="A121" i="198"/>
  <c r="A277" i="198" s="1"/>
  <c r="A160" i="198"/>
  <c r="B252" i="198"/>
  <c r="B213" i="198"/>
  <c r="B135" i="198"/>
  <c r="B291" i="198" s="1"/>
  <c r="B174" i="198"/>
  <c r="I238" i="198"/>
  <c r="I199" i="198"/>
  <c r="I121" i="198"/>
  <c r="I277" i="198" s="1"/>
  <c r="I160" i="198"/>
  <c r="B201" i="198"/>
  <c r="B162" i="198"/>
  <c r="B240" i="198"/>
  <c r="B123" i="198"/>
  <c r="B279" i="198" s="1"/>
  <c r="A241" i="198"/>
  <c r="A124" i="198"/>
  <c r="A280" i="198" s="1"/>
  <c r="A202" i="198"/>
  <c r="A163" i="198"/>
  <c r="B177" i="198"/>
  <c r="B255" i="198"/>
  <c r="B216" i="198"/>
  <c r="B138" i="198"/>
  <c r="B294" i="198" s="1"/>
  <c r="I242" i="198"/>
  <c r="I125" i="198"/>
  <c r="I281" i="198" s="1"/>
  <c r="I203" i="198"/>
  <c r="I164" i="198"/>
  <c r="I244" i="198"/>
  <c r="I127" i="198"/>
  <c r="I205" i="198"/>
  <c r="I166" i="198"/>
  <c r="B248" i="198"/>
  <c r="B209" i="198"/>
  <c r="B131" i="198"/>
  <c r="B287" i="198" s="1"/>
  <c r="B170" i="198"/>
  <c r="I174" i="198"/>
  <c r="I213" i="198"/>
  <c r="I252" i="198" s="1"/>
  <c r="I291" i="198" s="1"/>
  <c r="I135" i="198"/>
  <c r="A147" i="199"/>
  <c r="A186" i="199"/>
  <c r="A108" i="199"/>
  <c r="A225" i="199" s="1"/>
  <c r="I190" i="199"/>
  <c r="I112" i="199"/>
  <c r="I229" i="199" s="1"/>
  <c r="I151" i="199"/>
  <c r="A153" i="199"/>
  <c r="A192" i="199"/>
  <c r="A114" i="199"/>
  <c r="A231" i="199" s="1"/>
  <c r="B193" i="199"/>
  <c r="B115" i="199"/>
  <c r="B232" i="199" s="1"/>
  <c r="B154" i="199"/>
  <c r="I192" i="199"/>
  <c r="I114" i="199"/>
  <c r="I231" i="199" s="1"/>
  <c r="I153" i="199"/>
  <c r="B155" i="199"/>
  <c r="B194" i="199"/>
  <c r="B116" i="199"/>
  <c r="B233" i="199" s="1"/>
  <c r="I154" i="199"/>
  <c r="I193" i="199"/>
  <c r="I115" i="199"/>
  <c r="I232" i="199" s="1"/>
  <c r="A156" i="199"/>
  <c r="A195" i="199"/>
  <c r="A117" i="199"/>
  <c r="A234" i="199" s="1"/>
  <c r="B170" i="199"/>
  <c r="B209" i="199"/>
  <c r="B131" i="199"/>
  <c r="B248" i="199" s="1"/>
  <c r="I156" i="199"/>
  <c r="I195" i="199"/>
  <c r="I117" i="199"/>
  <c r="I234" i="199" s="1"/>
  <c r="B158" i="199"/>
  <c r="B197" i="199"/>
  <c r="B119" i="199"/>
  <c r="B236" i="199" s="1"/>
  <c r="I157" i="199"/>
  <c r="I196" i="199"/>
  <c r="I118" i="199"/>
  <c r="I235" i="199" s="1"/>
  <c r="A159" i="199"/>
  <c r="A198" i="199"/>
  <c r="A120" i="199"/>
  <c r="A237" i="199" s="1"/>
  <c r="A160" i="199"/>
  <c r="A199" i="199"/>
  <c r="A121" i="199"/>
  <c r="A238" i="199" s="1"/>
  <c r="B200" i="199"/>
  <c r="B122" i="199"/>
  <c r="B239" i="199" s="1"/>
  <c r="B161" i="199"/>
  <c r="I160" i="199"/>
  <c r="I199" i="199"/>
  <c r="I121" i="199"/>
  <c r="I238" i="199" s="1"/>
  <c r="B214" i="199"/>
  <c r="B136" i="199"/>
  <c r="B253" i="199" s="1"/>
  <c r="B175" i="199"/>
  <c r="A163" i="199"/>
  <c r="A202" i="199"/>
  <c r="A124" i="199"/>
  <c r="A241" i="199" s="1"/>
  <c r="B203" i="199"/>
  <c r="B125" i="199"/>
  <c r="B242" i="199" s="1"/>
  <c r="B164" i="199"/>
  <c r="I164" i="199"/>
  <c r="I203" i="199"/>
  <c r="I125" i="199"/>
  <c r="I242" i="199" s="1"/>
  <c r="A205" i="199"/>
  <c r="A127" i="199"/>
  <c r="A244" i="199" s="1"/>
  <c r="A166" i="199"/>
  <c r="A108" i="200"/>
  <c r="A147" i="200"/>
  <c r="I151" i="200"/>
  <c r="I112" i="200"/>
  <c r="A165" i="200"/>
  <c r="A126" i="200"/>
  <c r="B154" i="200"/>
  <c r="B115" i="200"/>
  <c r="B116" i="200"/>
  <c r="B155" i="200"/>
  <c r="J15" i="113"/>
  <c r="I115" i="200"/>
  <c r="I154" i="200"/>
  <c r="B157" i="200"/>
  <c r="B118" i="200"/>
  <c r="I117" i="200"/>
  <c r="I156" i="200"/>
  <c r="B132" i="200"/>
  <c r="B171" i="200"/>
  <c r="I118" i="200"/>
  <c r="I157" i="200"/>
  <c r="A133" i="200"/>
  <c r="A172" i="200"/>
  <c r="A121" i="200"/>
  <c r="A160" i="200"/>
  <c r="B161" i="200"/>
  <c r="B122" i="200"/>
  <c r="I121" i="200"/>
  <c r="I160" i="200"/>
  <c r="B162" i="200"/>
  <c r="B123" i="200"/>
  <c r="A124" i="200"/>
  <c r="A163" i="200"/>
  <c r="B164" i="200"/>
  <c r="B125" i="200"/>
  <c r="I125" i="200"/>
  <c r="I164" i="200"/>
  <c r="A166" i="200"/>
  <c r="A127" i="200"/>
  <c r="A105" i="201"/>
  <c r="A144" i="201"/>
  <c r="I147" i="201"/>
  <c r="I108" i="201"/>
  <c r="A180" i="201"/>
  <c r="A141" i="201"/>
  <c r="I111" i="201"/>
  <c r="I150" i="201"/>
  <c r="A128" i="201"/>
  <c r="A167" i="201"/>
  <c r="A155" i="201"/>
  <c r="A116" i="201"/>
  <c r="B156" i="201"/>
  <c r="B117" i="201"/>
  <c r="I155" i="201"/>
  <c r="I116" i="201"/>
  <c r="A118" i="201"/>
  <c r="A157" i="201"/>
  <c r="A158" i="201"/>
  <c r="A119" i="201"/>
  <c r="B159" i="201"/>
  <c r="B120" i="201"/>
  <c r="I158" i="201"/>
  <c r="I119" i="201"/>
  <c r="B160" i="201"/>
  <c r="B121" i="201"/>
  <c r="A174" i="201"/>
  <c r="A135" i="201"/>
  <c r="A123" i="201"/>
  <c r="A162" i="201"/>
  <c r="B163" i="201"/>
  <c r="B124" i="201"/>
  <c r="A138" i="201"/>
  <c r="A177" i="201"/>
  <c r="I174" i="201"/>
  <c r="I212" i="201"/>
  <c r="I250" i="201" s="1"/>
  <c r="I288" i="201" s="1"/>
  <c r="I135" i="201"/>
  <c r="A66" i="202"/>
  <c r="A147" i="202"/>
  <c r="A108" i="202"/>
  <c r="I150" i="202"/>
  <c r="I111" i="202"/>
  <c r="A154" i="202"/>
  <c r="A115" i="202"/>
  <c r="A168" i="202"/>
  <c r="A129" i="202"/>
  <c r="B130" i="202"/>
  <c r="B169" i="202"/>
  <c r="I116" i="202"/>
  <c r="I155" i="202"/>
  <c r="A157" i="202"/>
  <c r="A118" i="202"/>
  <c r="A171" i="202"/>
  <c r="A132" i="202"/>
  <c r="B172" i="202"/>
  <c r="B133" i="202"/>
  <c r="I119" i="202"/>
  <c r="I158" i="202"/>
  <c r="B121" i="202"/>
  <c r="B160" i="202"/>
  <c r="A161" i="202"/>
  <c r="A122" i="202"/>
  <c r="A162" i="202"/>
  <c r="A123" i="202"/>
  <c r="B124" i="202"/>
  <c r="B163" i="202"/>
  <c r="A164" i="202"/>
  <c r="A125" i="202"/>
  <c r="I212" i="202"/>
  <c r="I250" i="202" s="1"/>
  <c r="I288" i="202" s="1"/>
  <c r="I174" i="202"/>
  <c r="I135" i="202"/>
  <c r="A7" i="105"/>
  <c r="G8" i="105"/>
  <c r="D9" i="105"/>
  <c r="G9" i="105" s="1"/>
  <c r="D10" i="105"/>
  <c r="G10" i="105" s="1"/>
  <c r="D11" i="105"/>
  <c r="G11" i="105" s="1"/>
  <c r="A25" i="105"/>
  <c r="D26" i="105"/>
  <c r="G26" i="105" s="1"/>
  <c r="A34" i="105"/>
  <c r="D35" i="105"/>
  <c r="G35" i="105" s="1"/>
  <c r="D36" i="105"/>
  <c r="G36" i="105" s="1"/>
  <c r="D37" i="105"/>
  <c r="G37" i="105" s="1"/>
  <c r="D38" i="105"/>
  <c r="G38" i="105" s="1"/>
  <c r="D39" i="105"/>
  <c r="G39" i="105" s="1"/>
  <c r="A41" i="105"/>
  <c r="D42" i="105"/>
  <c r="G42" i="105" s="1"/>
  <c r="D43" i="105"/>
  <c r="G43" i="105" s="1"/>
  <c r="D44" i="105"/>
  <c r="G44" i="105" s="1"/>
  <c r="D45" i="105"/>
  <c r="G45" i="105" s="1"/>
  <c r="D46" i="105"/>
  <c r="G46" i="105" s="1"/>
  <c r="A48" i="105"/>
  <c r="D49" i="105"/>
  <c r="G49" i="105" s="1"/>
  <c r="D50" i="105"/>
  <c r="G50" i="105" s="1"/>
  <c r="D51" i="105"/>
  <c r="G51" i="105" s="1"/>
  <c r="A53" i="105"/>
  <c r="D54" i="105"/>
  <c r="G54" i="105" s="1"/>
  <c r="D55" i="105"/>
  <c r="G55" i="105" s="1"/>
  <c r="D56" i="105"/>
  <c r="G56" i="105" s="1"/>
  <c r="A63" i="105"/>
  <c r="D64" i="105"/>
  <c r="G64" i="105" s="1"/>
  <c r="A71" i="105"/>
  <c r="D72" i="105"/>
  <c r="G72" i="105" s="1"/>
  <c r="D73" i="105"/>
  <c r="G73" i="105" s="1"/>
  <c r="A88" i="105"/>
  <c r="D89" i="105"/>
  <c r="G89" i="105" s="1"/>
  <c r="A93" i="105"/>
  <c r="D94" i="105"/>
  <c r="G94" i="105" s="1"/>
  <c r="A98" i="105"/>
  <c r="D99" i="105"/>
  <c r="G99" i="105" s="1"/>
  <c r="D100" i="105"/>
  <c r="G100" i="105" s="1"/>
  <c r="A102" i="105"/>
  <c r="D103" i="105"/>
  <c r="G103" i="105" s="1"/>
  <c r="D104" i="105"/>
  <c r="G104" i="105" s="1"/>
  <c r="D105" i="105"/>
  <c r="G105" i="105" s="1"/>
  <c r="A127" i="105"/>
  <c r="D128" i="105"/>
  <c r="G128" i="105" s="1"/>
  <c r="A139" i="105"/>
  <c r="G140" i="105"/>
  <c r="C9" i="60"/>
  <c r="B10" i="60"/>
  <c r="B11" i="60"/>
  <c r="B12" i="60"/>
  <c r="B13" i="60"/>
  <c r="A14" i="60"/>
  <c r="A15" i="60"/>
  <c r="A18" i="60"/>
  <c r="C18" i="60"/>
  <c r="A19" i="60"/>
  <c r="C19" i="60"/>
  <c r="A20" i="60"/>
  <c r="C20" i="60"/>
  <c r="A21" i="60"/>
  <c r="C21" i="60"/>
  <c r="A22" i="60"/>
  <c r="C25" i="60"/>
  <c r="B26" i="60"/>
  <c r="C30" i="60"/>
  <c r="B31" i="60"/>
  <c r="A32" i="60"/>
  <c r="A33" i="60"/>
  <c r="B35" i="60"/>
  <c r="A36" i="60"/>
  <c r="C36" i="60"/>
  <c r="A37" i="60"/>
  <c r="C37" i="60"/>
  <c r="A38" i="60"/>
  <c r="C41" i="60"/>
  <c r="B42" i="60"/>
  <c r="B43" i="60"/>
  <c r="B44" i="60"/>
  <c r="B45" i="60"/>
  <c r="B46" i="60"/>
  <c r="C49" i="60"/>
  <c r="B50" i="60"/>
  <c r="B51" i="60"/>
  <c r="B52" i="60"/>
  <c r="B53" i="60"/>
  <c r="B54" i="60"/>
  <c r="C57" i="60"/>
  <c r="B58" i="60"/>
  <c r="B59" i="60"/>
  <c r="B60" i="60"/>
  <c r="C63" i="60"/>
  <c r="B64" i="60"/>
  <c r="B65" i="60"/>
  <c r="B66" i="60"/>
  <c r="C70" i="60"/>
  <c r="B71" i="60"/>
  <c r="C75" i="60"/>
  <c r="B76" i="60"/>
  <c r="B80" i="60"/>
  <c r="A81" i="60"/>
  <c r="C81" i="60"/>
  <c r="A82" i="60"/>
  <c r="A83" i="60"/>
  <c r="C85" i="60"/>
  <c r="B86" i="60"/>
  <c r="B87" i="60"/>
  <c r="C91" i="60"/>
  <c r="B92" i="60"/>
  <c r="B93" i="60"/>
  <c r="B96" i="60"/>
  <c r="A97" i="60"/>
  <c r="C97" i="60"/>
  <c r="A98" i="60"/>
  <c r="C98" i="60"/>
  <c r="A99" i="60"/>
  <c r="C101" i="60"/>
  <c r="B102" i="60"/>
  <c r="B106" i="60"/>
  <c r="A107" i="60"/>
  <c r="C107" i="60"/>
  <c r="A108" i="60"/>
  <c r="A109" i="60"/>
  <c r="C112" i="60"/>
  <c r="B113" i="60"/>
  <c r="C118" i="60"/>
  <c r="B119" i="60"/>
  <c r="B120" i="60"/>
  <c r="C123" i="60"/>
  <c r="B124" i="60"/>
  <c r="B125" i="60"/>
  <c r="B126" i="60"/>
  <c r="A129" i="60"/>
  <c r="B130" i="60"/>
  <c r="A131" i="60"/>
  <c r="C131" i="60"/>
  <c r="A132" i="60"/>
  <c r="C132" i="60"/>
  <c r="A133" i="60"/>
  <c r="C133" i="60"/>
  <c r="A134" i="60"/>
  <c r="B136" i="60"/>
  <c r="A137" i="60"/>
  <c r="C137" i="60"/>
  <c r="A138" i="60"/>
  <c r="C138" i="60"/>
  <c r="A139" i="60"/>
  <c r="C139" i="60"/>
  <c r="A140" i="60"/>
  <c r="B142" i="60"/>
  <c r="A143" i="60"/>
  <c r="C143" i="60"/>
  <c r="A144" i="60"/>
  <c r="A145" i="60"/>
  <c r="A147" i="60"/>
  <c r="B148" i="60"/>
  <c r="A149" i="60"/>
  <c r="C149" i="60"/>
  <c r="A150" i="60"/>
  <c r="A151" i="60"/>
  <c r="C153" i="60"/>
  <c r="B154" i="60"/>
  <c r="B158" i="60"/>
  <c r="A159" i="60"/>
  <c r="C159" i="60"/>
  <c r="A160" i="60"/>
  <c r="C160" i="60"/>
  <c r="A161" i="60"/>
  <c r="B163" i="60"/>
  <c r="A164" i="60"/>
  <c r="C164" i="60"/>
  <c r="A165" i="60"/>
  <c r="A166" i="60"/>
  <c r="C168" i="60"/>
  <c r="B169" i="60"/>
  <c r="B173" i="60"/>
  <c r="A174" i="60"/>
  <c r="C174" i="60"/>
  <c r="A175" i="60"/>
  <c r="A176" i="60"/>
  <c r="C8" i="232"/>
  <c r="B9" i="232"/>
  <c r="A10" i="232"/>
  <c r="C10" i="232"/>
  <c r="B11" i="232"/>
  <c r="A12" i="232"/>
  <c r="C12" i="232"/>
  <c r="A14" i="232"/>
  <c r="C16" i="232"/>
  <c r="B17" i="232"/>
  <c r="A18" i="232"/>
  <c r="C18" i="232"/>
  <c r="B19" i="232"/>
  <c r="A20" i="232"/>
  <c r="C20" i="232"/>
  <c r="B25" i="232"/>
  <c r="A26" i="232"/>
  <c r="B29" i="232"/>
  <c r="A30" i="232"/>
  <c r="C30" i="232"/>
  <c r="A32" i="232"/>
  <c r="C34" i="232"/>
  <c r="B35" i="232"/>
  <c r="A36" i="232"/>
  <c r="C36" i="232"/>
  <c r="C40" i="232"/>
  <c r="B41" i="232"/>
  <c r="A42" i="232"/>
  <c r="C42" i="232"/>
  <c r="B43" i="232"/>
  <c r="A44" i="232"/>
  <c r="C44" i="232"/>
  <c r="B45" i="232"/>
  <c r="B47" i="232"/>
  <c r="A48" i="232"/>
  <c r="C48" i="232"/>
  <c r="B49" i="232"/>
  <c r="A50" i="232"/>
  <c r="C50" i="232"/>
  <c r="B51" i="232"/>
  <c r="A52" i="232"/>
  <c r="C52" i="232"/>
  <c r="B55" i="232"/>
  <c r="A56" i="232"/>
  <c r="C56" i="232"/>
  <c r="B57" i="232"/>
  <c r="A58" i="232"/>
  <c r="C58" i="232"/>
  <c r="B61" i="232"/>
  <c r="A62" i="232"/>
  <c r="C62" i="232"/>
  <c r="B63" i="232"/>
  <c r="A64" i="232"/>
  <c r="C64" i="232"/>
  <c r="C68" i="232"/>
  <c r="B69" i="232"/>
  <c r="A70" i="232"/>
  <c r="B73" i="232"/>
  <c r="A74" i="232"/>
  <c r="C74" i="232"/>
  <c r="A76" i="232"/>
  <c r="C78" i="232"/>
  <c r="B79" i="232"/>
  <c r="A80" i="232"/>
  <c r="B83" i="232"/>
  <c r="A84" i="232"/>
  <c r="C84" i="232"/>
  <c r="B85" i="232"/>
  <c r="A86" i="232"/>
  <c r="B89" i="232"/>
  <c r="A90" i="232"/>
  <c r="C90" i="232"/>
  <c r="B91" i="232"/>
  <c r="A92" i="232"/>
  <c r="C94" i="232"/>
  <c r="B95" i="232"/>
  <c r="A96" i="232"/>
  <c r="C96" i="232"/>
  <c r="B99" i="232"/>
  <c r="A100" i="232"/>
  <c r="C100" i="232"/>
  <c r="A102" i="232"/>
  <c r="C104" i="232"/>
  <c r="B105" i="232"/>
  <c r="A106" i="232"/>
  <c r="C110" i="232"/>
  <c r="B111" i="232"/>
  <c r="A112" i="232"/>
  <c r="C116" i="232"/>
  <c r="B117" i="232"/>
  <c r="A118" i="232"/>
  <c r="C118" i="232"/>
  <c r="C121" i="232"/>
  <c r="B122" i="232"/>
  <c r="A123" i="232"/>
  <c r="C123" i="232"/>
  <c r="B124" i="232"/>
  <c r="A125" i="232"/>
  <c r="B128" i="232"/>
  <c r="A129" i="232"/>
  <c r="C129" i="232"/>
  <c r="B130" i="232"/>
  <c r="A131" i="232"/>
  <c r="C131" i="232"/>
  <c r="B134" i="232"/>
  <c r="A135" i="232"/>
  <c r="C135" i="232"/>
  <c r="B136" i="232"/>
  <c r="A137" i="232"/>
  <c r="C137" i="232"/>
  <c r="B140" i="232"/>
  <c r="A141" i="232"/>
  <c r="C141" i="232"/>
  <c r="A143" i="232"/>
  <c r="B146" i="232"/>
  <c r="A147" i="232"/>
  <c r="C147" i="232"/>
  <c r="A149" i="232"/>
  <c r="C151" i="232"/>
  <c r="B152" i="232"/>
  <c r="A153" i="232"/>
  <c r="B156" i="232"/>
  <c r="A157" i="232"/>
  <c r="C157" i="232"/>
  <c r="B158" i="232"/>
  <c r="A159" i="232"/>
  <c r="C161" i="232"/>
  <c r="B162" i="232"/>
  <c r="A163" i="232"/>
  <c r="B166" i="232"/>
  <c r="A167" i="232"/>
  <c r="C167" i="232"/>
  <c r="A169" i="232"/>
  <c r="C171" i="232"/>
  <c r="B172" i="232"/>
  <c r="A173" i="232"/>
  <c r="D6" i="193"/>
  <c r="G4" i="2" s="1"/>
  <c r="F6" i="193"/>
  <c r="I4" i="2" s="1"/>
  <c r="C8" i="193"/>
  <c r="B9" i="193"/>
  <c r="A10" i="193"/>
  <c r="C10" i="193"/>
  <c r="B11" i="193"/>
  <c r="A12" i="193"/>
  <c r="C12" i="193"/>
  <c r="A14" i="193"/>
  <c r="C16" i="193"/>
  <c r="B17" i="193"/>
  <c r="A18" i="193"/>
  <c r="C18" i="193"/>
  <c r="B19" i="193"/>
  <c r="A20" i="193"/>
  <c r="C20" i="193"/>
  <c r="B23" i="193"/>
  <c r="A24" i="193"/>
  <c r="C24" i="193"/>
  <c r="A26" i="193"/>
  <c r="C28" i="193"/>
  <c r="B29" i="193"/>
  <c r="A30" i="193"/>
  <c r="B33" i="193"/>
  <c r="A34" i="193"/>
  <c r="C34" i="193"/>
  <c r="B35" i="193"/>
  <c r="A36" i="193"/>
  <c r="B38" i="193"/>
  <c r="A39" i="193"/>
  <c r="C39" i="193"/>
  <c r="B40" i="193"/>
  <c r="A41" i="193"/>
  <c r="C41" i="193"/>
  <c r="B42" i="193"/>
  <c r="A43" i="193"/>
  <c r="C43" i="193"/>
  <c r="B46" i="193"/>
  <c r="A47" i="193"/>
  <c r="C47" i="193"/>
  <c r="B48" i="193"/>
  <c r="A49" i="193"/>
  <c r="C49" i="193"/>
  <c r="B50" i="193"/>
  <c r="A51" i="193"/>
  <c r="C51" i="193"/>
  <c r="B54" i="193"/>
  <c r="A55" i="193"/>
  <c r="C55" i="193"/>
  <c r="B56" i="193"/>
  <c r="A57" i="193"/>
  <c r="C57" i="193"/>
  <c r="B60" i="193"/>
  <c r="A61" i="193"/>
  <c r="C61" i="193"/>
  <c r="B62" i="193"/>
  <c r="A63" i="193"/>
  <c r="C63" i="193"/>
  <c r="B66" i="193"/>
  <c r="A67" i="193"/>
  <c r="C67" i="193"/>
  <c r="A69" i="193"/>
  <c r="C71" i="193"/>
  <c r="B72" i="193"/>
  <c r="A73" i="193"/>
  <c r="B76" i="193"/>
  <c r="A77" i="193"/>
  <c r="C77" i="193"/>
  <c r="A79" i="193"/>
  <c r="C81" i="193"/>
  <c r="B82" i="193"/>
  <c r="A83" i="193"/>
  <c r="C83" i="193"/>
  <c r="B86" i="193"/>
  <c r="A87" i="193"/>
  <c r="C87" i="193"/>
  <c r="B88" i="193"/>
  <c r="A89" i="193"/>
  <c r="C91" i="193"/>
  <c r="B92" i="193"/>
  <c r="A93" i="193"/>
  <c r="C93" i="193"/>
  <c r="B96" i="193"/>
  <c r="A97" i="193"/>
  <c r="C97" i="193"/>
  <c r="A99" i="193"/>
  <c r="C101" i="193"/>
  <c r="B102" i="193"/>
  <c r="A103" i="193"/>
  <c r="B106" i="193"/>
  <c r="A107" i="193"/>
  <c r="C107" i="193"/>
  <c r="A109" i="193"/>
  <c r="C111" i="193"/>
  <c r="B112" i="193"/>
  <c r="A113" i="193"/>
  <c r="C113" i="193"/>
  <c r="B116" i="193"/>
  <c r="A117" i="193"/>
  <c r="C117" i="193"/>
  <c r="B118" i="193"/>
  <c r="A119" i="193"/>
  <c r="C119" i="193"/>
  <c r="B122" i="193"/>
  <c r="A123" i="193"/>
  <c r="C123" i="193"/>
  <c r="B124" i="193"/>
  <c r="A125" i="193"/>
  <c r="C125" i="193"/>
  <c r="B128" i="193"/>
  <c r="A129" i="193"/>
  <c r="C129" i="193"/>
  <c r="B130" i="193"/>
  <c r="A131" i="193"/>
  <c r="C131" i="193"/>
  <c r="B134" i="193"/>
  <c r="A135" i="193"/>
  <c r="C135" i="193"/>
  <c r="A137" i="193"/>
  <c r="C139" i="193"/>
  <c r="B140" i="193"/>
  <c r="A141" i="193"/>
  <c r="B144" i="193"/>
  <c r="A145" i="193"/>
  <c r="C145" i="193"/>
  <c r="A147" i="193"/>
  <c r="C149" i="193"/>
  <c r="B150" i="193"/>
  <c r="A151" i="193"/>
  <c r="C151" i="193"/>
  <c r="B154" i="193"/>
  <c r="A155" i="193"/>
  <c r="C155" i="193"/>
  <c r="A157" i="193"/>
  <c r="C159" i="193"/>
  <c r="B160" i="193"/>
  <c r="A161" i="193"/>
  <c r="B164" i="193"/>
  <c r="A165" i="193"/>
  <c r="C165" i="193"/>
  <c r="C9" i="194"/>
  <c r="A11" i="194"/>
  <c r="B12" i="194"/>
  <c r="A17" i="194"/>
  <c r="B18" i="194"/>
  <c r="C19" i="194"/>
  <c r="A21" i="194"/>
  <c r="B24" i="194"/>
  <c r="C4" i="199"/>
  <c r="C4" i="201"/>
  <c r="F44" i="2"/>
  <c r="O50" i="192"/>
  <c r="I264" i="204"/>
  <c r="I147" i="204"/>
  <c r="I225" i="204"/>
  <c r="I186" i="204"/>
  <c r="I108" i="204"/>
  <c r="I151" i="204"/>
  <c r="I268" i="204"/>
  <c r="I229" i="204"/>
  <c r="I190" i="204"/>
  <c r="I112" i="204"/>
  <c r="A270" i="204"/>
  <c r="A231" i="204"/>
  <c r="A192" i="204"/>
  <c r="A114" i="204"/>
  <c r="A153" i="204"/>
  <c r="B154" i="204"/>
  <c r="B271" i="204"/>
  <c r="B232" i="204"/>
  <c r="B193" i="204"/>
  <c r="B115" i="204"/>
  <c r="I153" i="204"/>
  <c r="I270" i="204"/>
  <c r="I231" i="204"/>
  <c r="I192" i="204"/>
  <c r="I114" i="204"/>
  <c r="B168" i="204"/>
  <c r="B285" i="204"/>
  <c r="B246" i="204"/>
  <c r="B207" i="204"/>
  <c r="B129" i="204"/>
  <c r="I271" i="204"/>
  <c r="I232" i="204"/>
  <c r="I193" i="204"/>
  <c r="I115" i="204"/>
  <c r="I154" i="204"/>
  <c r="B157" i="204"/>
  <c r="B274" i="204"/>
  <c r="B235" i="204"/>
  <c r="B196" i="204"/>
  <c r="B118" i="204"/>
  <c r="I273" i="204"/>
  <c r="I234" i="204"/>
  <c r="I195" i="204"/>
  <c r="I117" i="204"/>
  <c r="I156" i="204"/>
  <c r="B288" i="204"/>
  <c r="B249" i="204"/>
  <c r="B210" i="204"/>
  <c r="B132" i="204"/>
  <c r="B171" i="204"/>
  <c r="I274" i="204"/>
  <c r="I235" i="204"/>
  <c r="I196" i="204"/>
  <c r="I118" i="204"/>
  <c r="I157" i="204"/>
  <c r="A289" i="204"/>
  <c r="A250" i="204"/>
  <c r="A211" i="204"/>
  <c r="A133" i="204"/>
  <c r="A172" i="204"/>
  <c r="A277" i="204"/>
  <c r="A238" i="204"/>
  <c r="A199" i="204"/>
  <c r="A121" i="204"/>
  <c r="A160" i="204"/>
  <c r="B161" i="204"/>
  <c r="B278" i="204"/>
  <c r="B239" i="204"/>
  <c r="B200" i="204"/>
  <c r="B122" i="204"/>
  <c r="I277" i="204"/>
  <c r="I238" i="204"/>
  <c r="I199" i="204"/>
  <c r="I121" i="204"/>
  <c r="I160" i="204"/>
  <c r="B162" i="204"/>
  <c r="B279" i="204"/>
  <c r="B240" i="204"/>
  <c r="B201" i="204"/>
  <c r="B123" i="204"/>
  <c r="A280" i="204"/>
  <c r="A241" i="204"/>
  <c r="A202" i="204"/>
  <c r="A124" i="204"/>
  <c r="A163" i="204"/>
  <c r="B164" i="204"/>
  <c r="B281" i="204"/>
  <c r="B242" i="204"/>
  <c r="B203" i="204"/>
  <c r="B125" i="204"/>
  <c r="I283" i="204"/>
  <c r="I244" i="204"/>
  <c r="I205" i="204"/>
  <c r="I127" i="204"/>
  <c r="I166" i="204"/>
  <c r="A166" i="204"/>
  <c r="A283" i="204"/>
  <c r="A244" i="204"/>
  <c r="A205" i="204"/>
  <c r="A127" i="204"/>
  <c r="I147" i="205"/>
  <c r="I186" i="205"/>
  <c r="I108" i="205"/>
  <c r="I151" i="205"/>
  <c r="I190" i="205"/>
  <c r="I112" i="205"/>
  <c r="A165" i="205"/>
  <c r="A204" i="205"/>
  <c r="A126" i="205"/>
  <c r="B154" i="205"/>
  <c r="B193" i="205"/>
  <c r="B115" i="205"/>
  <c r="I153" i="205"/>
  <c r="I192" i="205"/>
  <c r="I114" i="205"/>
  <c r="B168" i="205"/>
  <c r="B207" i="205"/>
  <c r="B129" i="205"/>
  <c r="I193" i="205"/>
  <c r="I115" i="205"/>
  <c r="I154" i="205"/>
  <c r="B157" i="205"/>
  <c r="B196" i="205"/>
  <c r="B118" i="205"/>
  <c r="I195" i="205"/>
  <c r="I117" i="205"/>
  <c r="I156" i="205"/>
  <c r="B210" i="205"/>
  <c r="B132" i="205"/>
  <c r="B171" i="205"/>
  <c r="I196" i="205"/>
  <c r="I118" i="205"/>
  <c r="I157" i="205"/>
  <c r="A211" i="205"/>
  <c r="A133" i="205"/>
  <c r="A172" i="205"/>
  <c r="A199" i="205"/>
  <c r="A121" i="205"/>
  <c r="A160" i="205"/>
  <c r="B161" i="205"/>
  <c r="B200" i="205"/>
  <c r="B122" i="205"/>
  <c r="I199" i="205"/>
  <c r="I121" i="205"/>
  <c r="I160" i="205"/>
  <c r="B162" i="205"/>
  <c r="B201" i="205"/>
  <c r="B123" i="205"/>
  <c r="A202" i="205"/>
  <c r="A124" i="205"/>
  <c r="A163" i="205"/>
  <c r="B164" i="205"/>
  <c r="B203" i="205"/>
  <c r="B125" i="205"/>
  <c r="I205" i="205"/>
  <c r="I127" i="205"/>
  <c r="I166" i="205"/>
  <c r="I174" i="205"/>
  <c r="I213" i="205"/>
  <c r="I251" i="205" s="1"/>
  <c r="I289" i="205" s="1"/>
  <c r="I135" i="205"/>
  <c r="A66" i="206"/>
  <c r="A147" i="206"/>
  <c r="A186" i="206"/>
  <c r="A108" i="206"/>
  <c r="I150" i="206"/>
  <c r="I189" i="206"/>
  <c r="I111" i="206"/>
  <c r="A154" i="206"/>
  <c r="A193" i="206"/>
  <c r="A115" i="206"/>
  <c r="A168" i="206"/>
  <c r="A207" i="206"/>
  <c r="A129" i="206"/>
  <c r="B208" i="206"/>
  <c r="B130" i="206"/>
  <c r="B169" i="206"/>
  <c r="I194" i="206"/>
  <c r="I116" i="206"/>
  <c r="I155" i="206"/>
  <c r="A157" i="206"/>
  <c r="A196" i="206"/>
  <c r="A118" i="206"/>
  <c r="A210" i="206"/>
  <c r="A132" i="206"/>
  <c r="A171" i="206"/>
  <c r="B211" i="206"/>
  <c r="B133" i="206"/>
  <c r="B172" i="206"/>
  <c r="I197" i="206"/>
  <c r="I119" i="206"/>
  <c r="I158" i="206"/>
  <c r="B199" i="206"/>
  <c r="B121" i="206"/>
  <c r="B160" i="206"/>
  <c r="A161" i="206"/>
  <c r="A200" i="206"/>
  <c r="A122" i="206"/>
  <c r="A162" i="206"/>
  <c r="A201" i="206"/>
  <c r="A123" i="206"/>
  <c r="B202" i="206"/>
  <c r="B124" i="206"/>
  <c r="B163" i="206"/>
  <c r="A164" i="206"/>
  <c r="A203" i="206"/>
  <c r="A125" i="206"/>
  <c r="I213" i="206"/>
  <c r="I251" i="206" s="1"/>
  <c r="I289" i="206" s="1"/>
  <c r="I135" i="206"/>
  <c r="I174" i="206"/>
  <c r="A152" i="207"/>
  <c r="A113" i="207"/>
  <c r="I151" i="207"/>
  <c r="I112" i="207"/>
  <c r="A165" i="207"/>
  <c r="A126" i="207"/>
  <c r="B154" i="207"/>
  <c r="B115" i="207"/>
  <c r="I153" i="207"/>
  <c r="I114" i="207"/>
  <c r="B168" i="207"/>
  <c r="B129" i="207"/>
  <c r="I115" i="207"/>
  <c r="I154" i="207"/>
  <c r="B157" i="207"/>
  <c r="B118" i="207"/>
  <c r="I117" i="207"/>
  <c r="I156" i="207"/>
  <c r="B132" i="207"/>
  <c r="B171" i="207"/>
  <c r="I118" i="207"/>
  <c r="I157" i="207"/>
  <c r="A133" i="207"/>
  <c r="A172" i="207"/>
  <c r="A121" i="207"/>
  <c r="A160" i="207"/>
  <c r="B161" i="207"/>
  <c r="B122" i="207"/>
  <c r="I121" i="207"/>
  <c r="I160" i="207"/>
  <c r="B162" i="207"/>
  <c r="B123" i="207"/>
  <c r="A124" i="207"/>
  <c r="A163" i="207"/>
  <c r="B164" i="207"/>
  <c r="B125" i="207"/>
  <c r="I125" i="207"/>
  <c r="I164" i="207"/>
  <c r="A166" i="207"/>
  <c r="A127" i="207"/>
  <c r="I147" i="208"/>
  <c r="I108" i="208"/>
  <c r="I111" i="208"/>
  <c r="I150" i="208"/>
  <c r="A115" i="208"/>
  <c r="A154" i="208"/>
  <c r="A155" i="208"/>
  <c r="A116" i="208"/>
  <c r="B156" i="208"/>
  <c r="B117" i="208"/>
  <c r="I155" i="208"/>
  <c r="I116" i="208"/>
  <c r="A118" i="208"/>
  <c r="A157" i="208"/>
  <c r="A158" i="208"/>
  <c r="A119" i="208"/>
  <c r="B159" i="208"/>
  <c r="B120" i="208"/>
  <c r="I158" i="208"/>
  <c r="I119" i="208"/>
  <c r="B160" i="208"/>
  <c r="B121" i="208"/>
  <c r="A174" i="208"/>
  <c r="A135" i="208"/>
  <c r="A123" i="208"/>
  <c r="A162" i="208"/>
  <c r="B163" i="208"/>
  <c r="B124" i="208"/>
  <c r="A138" i="208"/>
  <c r="A177" i="208"/>
  <c r="I174" i="208"/>
  <c r="I212" i="208"/>
  <c r="I250" i="208" s="1"/>
  <c r="I288" i="208" s="1"/>
  <c r="I135" i="208"/>
  <c r="I108" i="209"/>
  <c r="I147" i="209"/>
  <c r="I112" i="209"/>
  <c r="I151" i="209"/>
  <c r="A153" i="209"/>
  <c r="A114" i="209"/>
  <c r="B128" i="209"/>
  <c r="B167" i="209"/>
  <c r="I114" i="209"/>
  <c r="I153" i="209"/>
  <c r="B155" i="209"/>
  <c r="B116" i="209"/>
  <c r="I154" i="209"/>
  <c r="I115" i="209"/>
  <c r="A156" i="209"/>
  <c r="A117" i="209"/>
  <c r="B118" i="209"/>
  <c r="B157" i="209"/>
  <c r="I156" i="209"/>
  <c r="I117" i="209"/>
  <c r="B158" i="209"/>
  <c r="B119" i="209"/>
  <c r="I157" i="209"/>
  <c r="I118" i="209"/>
  <c r="A159" i="209"/>
  <c r="A120" i="209"/>
  <c r="A160" i="209"/>
  <c r="A121" i="209"/>
  <c r="B174" i="209"/>
  <c r="B135" i="209"/>
  <c r="I160" i="209"/>
  <c r="I121" i="209"/>
  <c r="B123" i="209"/>
  <c r="B162" i="209"/>
  <c r="A163" i="209"/>
  <c r="A124" i="209"/>
  <c r="B138" i="209"/>
  <c r="B177" i="209"/>
  <c r="I164" i="209"/>
  <c r="I125" i="209"/>
  <c r="A127" i="209"/>
  <c r="A166" i="209"/>
  <c r="A152" i="210"/>
  <c r="A113" i="210"/>
  <c r="I150" i="210"/>
  <c r="I111" i="210"/>
  <c r="A167" i="210"/>
  <c r="A128" i="210"/>
  <c r="A155" i="210"/>
  <c r="A116" i="210"/>
  <c r="B156" i="210"/>
  <c r="B117" i="210"/>
  <c r="I155" i="210"/>
  <c r="I116" i="210"/>
  <c r="A157" i="210"/>
  <c r="A118" i="210"/>
  <c r="A158" i="210"/>
  <c r="A119" i="210"/>
  <c r="B159" i="210"/>
  <c r="B120" i="210"/>
  <c r="I158" i="210"/>
  <c r="I119" i="210"/>
  <c r="B160" i="210"/>
  <c r="B121" i="210"/>
  <c r="A135" i="210"/>
  <c r="A174" i="210"/>
  <c r="A162" i="210"/>
  <c r="A123" i="210"/>
  <c r="B163" i="210"/>
  <c r="B124" i="210"/>
  <c r="A164" i="210"/>
  <c r="A125" i="210"/>
  <c r="I212" i="210"/>
  <c r="I250" i="210" s="1"/>
  <c r="I288" i="210" s="1"/>
  <c r="I135" i="210"/>
  <c r="I174" i="210"/>
  <c r="A139" i="210"/>
  <c r="A178" i="210"/>
  <c r="I108" i="211"/>
  <c r="I147" i="211"/>
  <c r="I112" i="211"/>
  <c r="I151" i="211"/>
  <c r="A153" i="211"/>
  <c r="A114" i="211"/>
  <c r="B115" i="211"/>
  <c r="B154" i="211"/>
  <c r="I114" i="211"/>
  <c r="I153" i="211"/>
  <c r="B155" i="211"/>
  <c r="B116" i="211"/>
  <c r="I154" i="211"/>
  <c r="I115" i="211"/>
  <c r="A156" i="211"/>
  <c r="A117" i="211"/>
  <c r="B118" i="211"/>
  <c r="B157" i="211"/>
  <c r="I156" i="211"/>
  <c r="I117" i="211"/>
  <c r="B158" i="211"/>
  <c r="B119" i="211"/>
  <c r="I157" i="211"/>
  <c r="I118" i="211"/>
  <c r="A159" i="211"/>
  <c r="A120" i="211"/>
  <c r="A160" i="211"/>
  <c r="A121" i="211"/>
  <c r="B122" i="211"/>
  <c r="B161" i="211"/>
  <c r="I160" i="211"/>
  <c r="I121" i="211"/>
  <c r="B123" i="211"/>
  <c r="B162" i="211"/>
  <c r="A163" i="211"/>
  <c r="A124" i="211"/>
  <c r="B138" i="211"/>
  <c r="B177" i="211"/>
  <c r="I164" i="211"/>
  <c r="I125" i="211"/>
  <c r="A127" i="211"/>
  <c r="A166" i="211"/>
  <c r="B129" i="211"/>
  <c r="B168" i="211"/>
  <c r="A169" i="211"/>
  <c r="B133" i="211"/>
  <c r="B172" i="211"/>
  <c r="A134" i="211"/>
  <c r="A173" i="211"/>
  <c r="B174" i="211"/>
  <c r="B135" i="211"/>
  <c r="A175" i="211"/>
  <c r="I212" i="211"/>
  <c r="I250" i="211" s="1"/>
  <c r="I288" i="211" s="1"/>
  <c r="I135" i="211"/>
  <c r="I174" i="211"/>
  <c r="A147" i="212"/>
  <c r="A108" i="212"/>
  <c r="I150" i="212"/>
  <c r="I111" i="212"/>
  <c r="A154" i="212"/>
  <c r="A115" i="212"/>
  <c r="A155" i="212"/>
  <c r="A116" i="212"/>
  <c r="B156" i="212"/>
  <c r="B117" i="212"/>
  <c r="I155" i="212"/>
  <c r="I116" i="212"/>
  <c r="A157" i="212"/>
  <c r="A118" i="212"/>
  <c r="A171" i="212"/>
  <c r="A132" i="212"/>
  <c r="B172" i="212"/>
  <c r="B133" i="212"/>
  <c r="I158" i="212"/>
  <c r="I119" i="212"/>
  <c r="B160" i="212"/>
  <c r="B121" i="212"/>
  <c r="A161" i="212"/>
  <c r="A122" i="212"/>
  <c r="A162" i="212"/>
  <c r="A123" i="212"/>
  <c r="B163" i="212"/>
  <c r="B124" i="212"/>
  <c r="A164" i="212"/>
  <c r="A125" i="212"/>
  <c r="I174" i="212"/>
  <c r="I212" i="212"/>
  <c r="I250" i="212" s="1"/>
  <c r="I288" i="212" s="1"/>
  <c r="I135" i="212"/>
  <c r="A144" i="213"/>
  <c r="A105" i="213"/>
  <c r="I147" i="213"/>
  <c r="I108" i="213"/>
  <c r="I150" i="213"/>
  <c r="I111" i="213"/>
  <c r="A154" i="213"/>
  <c r="A115" i="213"/>
  <c r="A157" i="213"/>
  <c r="A118" i="213"/>
  <c r="A158" i="213"/>
  <c r="A119" i="213"/>
  <c r="B159" i="213"/>
  <c r="B120" i="213"/>
  <c r="I158" i="213"/>
  <c r="I119" i="213"/>
  <c r="A161" i="213"/>
  <c r="A122" i="213"/>
  <c r="A162" i="213"/>
  <c r="A123" i="213"/>
  <c r="B163" i="213"/>
  <c r="B124" i="213"/>
  <c r="A177" i="213"/>
  <c r="A138" i="213"/>
  <c r="B171" i="213"/>
  <c r="B132" i="213"/>
  <c r="N58" i="198"/>
  <c r="A14" i="45"/>
  <c r="A16" i="45"/>
  <c r="A17" i="45"/>
  <c r="A18" i="45"/>
  <c r="G18" i="45"/>
  <c r="J18" i="45" s="1"/>
  <c r="M18" i="45" s="1"/>
  <c r="P18" i="45" s="1"/>
  <c r="A20" i="45"/>
  <c r="A21" i="45"/>
  <c r="A22" i="45"/>
  <c r="G24" i="45"/>
  <c r="J24" i="45" s="1"/>
  <c r="M24" i="45" s="1"/>
  <c r="P24" i="45" s="1"/>
  <c r="A26" i="45"/>
  <c r="A29" i="45"/>
  <c r="A30" i="45"/>
  <c r="H30" i="45"/>
  <c r="K30" i="45" s="1"/>
  <c r="N30" i="45" s="1"/>
  <c r="Q30" i="45" s="1"/>
  <c r="A33" i="45"/>
  <c r="A35" i="45"/>
  <c r="S36" i="45"/>
  <c r="A38" i="45"/>
  <c r="A39" i="45"/>
  <c r="A40" i="45"/>
  <c r="G42" i="45"/>
  <c r="J42" i="45" s="1"/>
  <c r="M42" i="45" s="1"/>
  <c r="P42" i="45" s="1"/>
  <c r="A44" i="45"/>
  <c r="A45" i="45"/>
  <c r="A46" i="45"/>
  <c r="G48" i="45"/>
  <c r="J48" i="45" s="1"/>
  <c r="M48" i="45" s="1"/>
  <c r="P48" i="45" s="1"/>
  <c r="A50" i="45"/>
  <c r="A51" i="45"/>
  <c r="A52" i="45"/>
  <c r="G54" i="45"/>
  <c r="J54" i="45" s="1"/>
  <c r="M54" i="45" s="1"/>
  <c r="P54" i="45" s="1"/>
  <c r="A57" i="45"/>
  <c r="A59" i="45"/>
  <c r="G60" i="45"/>
  <c r="J60" i="45" s="1"/>
  <c r="M60" i="45" s="1"/>
  <c r="P60" i="45" s="1"/>
  <c r="A62" i="45"/>
  <c r="A63" i="45"/>
  <c r="A64" i="45"/>
  <c r="G66" i="45"/>
  <c r="J66" i="45" s="1"/>
  <c r="M66" i="45" s="1"/>
  <c r="P66" i="45" s="1"/>
  <c r="A68" i="45"/>
  <c r="A69" i="45"/>
  <c r="A70" i="45"/>
  <c r="G78" i="45"/>
  <c r="J78" i="45" s="1"/>
  <c r="M78" i="45" s="1"/>
  <c r="P78" i="45" s="1"/>
  <c r="A80" i="45"/>
  <c r="A82" i="45"/>
  <c r="A84" i="45"/>
  <c r="H84" i="45"/>
  <c r="K84" i="45" s="1"/>
  <c r="N84" i="45" s="1"/>
  <c r="Q84" i="45" s="1"/>
  <c r="A89" i="45"/>
  <c r="A90" i="45"/>
  <c r="H90" i="45"/>
  <c r="K90" i="45" s="1"/>
  <c r="N90" i="45" s="1"/>
  <c r="Q90" i="45" s="1"/>
  <c r="A94" i="45"/>
  <c r="A101" i="45"/>
  <c r="A102" i="45"/>
  <c r="H102" i="45"/>
  <c r="K102" i="45" s="1"/>
  <c r="N102" i="45" s="1"/>
  <c r="Q102" i="45" s="1"/>
  <c r="A105" i="45"/>
  <c r="A107" i="45"/>
  <c r="A108" i="45"/>
  <c r="H108" i="45"/>
  <c r="K108" i="45" s="1"/>
  <c r="N108" i="45" s="1"/>
  <c r="Q108" i="45" s="1"/>
  <c r="A110" i="45"/>
  <c r="A111" i="45"/>
  <c r="A112" i="45"/>
  <c r="G114" i="45"/>
  <c r="J114" i="45" s="1"/>
  <c r="M114" i="45" s="1"/>
  <c r="P114" i="45" s="1"/>
  <c r="A116" i="45"/>
  <c r="A117" i="45"/>
  <c r="A118" i="45"/>
  <c r="G120" i="45"/>
  <c r="J120" i="45" s="1"/>
  <c r="M120" i="45" s="1"/>
  <c r="P120" i="45" s="1"/>
  <c r="A125" i="45"/>
  <c r="A126" i="45"/>
  <c r="A128" i="45"/>
  <c r="A129" i="45"/>
  <c r="A130" i="45"/>
  <c r="G132" i="45"/>
  <c r="J132" i="45" s="1"/>
  <c r="M132" i="45" s="1"/>
  <c r="P132" i="45" s="1"/>
  <c r="A134" i="45"/>
  <c r="A135" i="45"/>
  <c r="A136" i="45"/>
  <c r="A137" i="45"/>
  <c r="G138" i="45"/>
  <c r="J138" i="45" s="1"/>
  <c r="M138" i="45" s="1"/>
  <c r="P138" i="45" s="1"/>
  <c r="A140" i="45"/>
  <c r="A141" i="45"/>
  <c r="A142" i="45"/>
  <c r="A143" i="45"/>
  <c r="A144" i="45"/>
  <c r="H144" i="45"/>
  <c r="K144" i="45" s="1"/>
  <c r="N144" i="45" s="1"/>
  <c r="Q144" i="45" s="1"/>
  <c r="A149" i="45"/>
  <c r="A150" i="45"/>
  <c r="A152" i="45"/>
  <c r="A154" i="45"/>
  <c r="G156" i="45"/>
  <c r="J156" i="45" s="1"/>
  <c r="M156" i="45" s="1"/>
  <c r="P156" i="45" s="1"/>
  <c r="A161" i="45"/>
  <c r="A162" i="45"/>
  <c r="H162" i="45"/>
  <c r="K162" i="45" s="1"/>
  <c r="N162" i="45" s="1"/>
  <c r="Q162" i="45" s="1"/>
  <c r="A167" i="45"/>
  <c r="A168" i="45"/>
  <c r="H168" i="45"/>
  <c r="K168" i="45" s="1"/>
  <c r="N168" i="45" s="1"/>
  <c r="Q168" i="45" s="1"/>
  <c r="A171" i="45"/>
  <c r="A173" i="45"/>
  <c r="G174" i="45"/>
  <c r="J174" i="45" s="1"/>
  <c r="M174" i="45" s="1"/>
  <c r="P174" i="45" s="1"/>
  <c r="A176" i="45"/>
  <c r="A177" i="45"/>
  <c r="A178" i="45"/>
  <c r="G180" i="45"/>
  <c r="J180" i="45" s="1"/>
  <c r="M180" i="45" s="1"/>
  <c r="P180" i="45" s="1"/>
  <c r="A182" i="45"/>
  <c r="A183" i="45"/>
  <c r="A184" i="45"/>
  <c r="G186" i="45"/>
  <c r="J186" i="45" s="1"/>
  <c r="M186" i="45" s="1"/>
  <c r="P186" i="45" s="1"/>
  <c r="A189" i="45"/>
  <c r="A191" i="45"/>
  <c r="A192" i="45"/>
  <c r="A194" i="45"/>
  <c r="A195" i="45"/>
  <c r="A197" i="45"/>
  <c r="A198" i="45"/>
  <c r="H198" i="45"/>
  <c r="K198" i="45" s="1"/>
  <c r="N198" i="45" s="1"/>
  <c r="Q198" i="45" s="1"/>
  <c r="A200" i="45"/>
  <c r="A202" i="45"/>
  <c r="A204" i="45"/>
  <c r="H204" i="45"/>
  <c r="K204" i="45" s="1"/>
  <c r="N204" i="45" s="1"/>
  <c r="Q204" i="45" s="1"/>
  <c r="A209" i="45"/>
  <c r="A210" i="45"/>
  <c r="H210" i="45"/>
  <c r="K210" i="45" s="1"/>
  <c r="N210" i="45" s="1"/>
  <c r="Q210" i="45" s="1"/>
  <c r="A213" i="45"/>
  <c r="A215" i="45"/>
  <c r="G216" i="45"/>
  <c r="J216" i="45" s="1"/>
  <c r="M216" i="45" s="1"/>
  <c r="P216" i="45" s="1"/>
  <c r="A218" i="45"/>
  <c r="A219" i="45"/>
  <c r="A220" i="45"/>
  <c r="G222" i="45"/>
  <c r="J222" i="45" s="1"/>
  <c r="M222" i="45" s="1"/>
  <c r="P222" i="45" s="1"/>
  <c r="A224" i="45"/>
  <c r="A226" i="45"/>
  <c r="A228" i="45"/>
  <c r="H228" i="45"/>
  <c r="K228" i="45" s="1"/>
  <c r="N228" i="45" s="1"/>
  <c r="Q228" i="45" s="1"/>
  <c r="A233" i="45"/>
  <c r="A234" i="45"/>
  <c r="H234" i="45"/>
  <c r="K234" i="45" s="1"/>
  <c r="N234" i="45" s="1"/>
  <c r="Q234" i="45" s="1"/>
  <c r="A239" i="45"/>
  <c r="A240" i="45"/>
  <c r="H240" i="45"/>
  <c r="K240" i="45" s="1"/>
  <c r="N240" i="45" s="1"/>
  <c r="Q240" i="45" s="1"/>
  <c r="A243" i="45"/>
  <c r="A245" i="45"/>
  <c r="G246" i="45"/>
  <c r="J246" i="45" s="1"/>
  <c r="M246" i="45" s="1"/>
  <c r="P246" i="45" s="1"/>
  <c r="A248" i="45"/>
  <c r="A249" i="45"/>
  <c r="A250" i="45"/>
  <c r="G252" i="45"/>
  <c r="J252" i="45" s="1"/>
  <c r="M252" i="45" s="1"/>
  <c r="P252" i="45" s="1"/>
  <c r="A254" i="45"/>
  <c r="A255" i="45"/>
  <c r="A256" i="45"/>
  <c r="G258" i="45"/>
  <c r="J258" i="45" s="1"/>
  <c r="M258" i="45" s="1"/>
  <c r="P258" i="45" s="1"/>
  <c r="A260" i="45"/>
  <c r="A261" i="45"/>
  <c r="A262" i="45"/>
  <c r="A269" i="45"/>
  <c r="A270" i="45"/>
  <c r="H270" i="45"/>
  <c r="K270" i="45" s="1"/>
  <c r="N270" i="45" s="1"/>
  <c r="Q270" i="45" s="1"/>
  <c r="A276" i="45"/>
  <c r="H276" i="45"/>
  <c r="K276" i="45" s="1"/>
  <c r="N276" i="45" s="1"/>
  <c r="Q276" i="45" s="1"/>
  <c r="A279" i="45"/>
  <c r="A281" i="45"/>
  <c r="G282" i="45"/>
  <c r="J282" i="45" s="1"/>
  <c r="M282" i="45" s="1"/>
  <c r="P282" i="45" s="1"/>
  <c r="A284" i="45"/>
  <c r="A285" i="45"/>
  <c r="A286" i="45"/>
  <c r="G288" i="45"/>
  <c r="J288" i="45" s="1"/>
  <c r="M288" i="45" s="1"/>
  <c r="P288" i="45" s="1"/>
  <c r="A291" i="45"/>
  <c r="A292" i="45"/>
  <c r="A299" i="45"/>
  <c r="A300" i="45"/>
  <c r="H300" i="45"/>
  <c r="K300" i="45" s="1"/>
  <c r="N300" i="45" s="1"/>
  <c r="Q300" i="45" s="1"/>
  <c r="A303" i="45"/>
  <c r="A305" i="45"/>
  <c r="G306" i="45"/>
  <c r="J306" i="45" s="1"/>
  <c r="M306" i="45" s="1"/>
  <c r="P306" i="45" s="1"/>
  <c r="A308" i="45"/>
  <c r="A309" i="45"/>
  <c r="A310" i="45"/>
  <c r="G312" i="45"/>
  <c r="J312" i="45" s="1"/>
  <c r="M312" i="45" s="1"/>
  <c r="P312" i="45" s="1"/>
  <c r="A314" i="45"/>
  <c r="A315" i="45"/>
  <c r="A317" i="45"/>
  <c r="A318" i="45"/>
  <c r="A320" i="45"/>
  <c r="A321" i="45"/>
  <c r="A322" i="45"/>
  <c r="G324" i="45"/>
  <c r="J324" i="45" s="1"/>
  <c r="M324" i="45" s="1"/>
  <c r="P324" i="45" s="1"/>
  <c r="A326" i="45"/>
  <c r="A328" i="45"/>
  <c r="G330" i="45"/>
  <c r="J330" i="45" s="1"/>
  <c r="M330" i="45" s="1"/>
  <c r="P330" i="45" s="1"/>
  <c r="A335" i="45"/>
  <c r="A336" i="45"/>
  <c r="A338" i="45"/>
  <c r="A339" i="45"/>
  <c r="A340" i="45"/>
  <c r="A341" i="45"/>
  <c r="G342" i="45"/>
  <c r="J342" i="45" s="1"/>
  <c r="M342" i="45" s="1"/>
  <c r="P342" i="45" s="1"/>
  <c r="A344" i="45"/>
  <c r="A345" i="45"/>
  <c r="A346" i="45"/>
  <c r="G348" i="45"/>
  <c r="J348" i="45" s="1"/>
  <c r="M348" i="45" s="1"/>
  <c r="P348" i="45" s="1"/>
  <c r="A350" i="45"/>
  <c r="A351" i="45"/>
  <c r="A352" i="45"/>
  <c r="G354" i="45"/>
  <c r="J354" i="45" s="1"/>
  <c r="M354" i="45" s="1"/>
  <c r="P354" i="45" s="1"/>
  <c r="A356" i="45"/>
  <c r="A357" i="45"/>
  <c r="A359" i="45"/>
  <c r="A360" i="45"/>
  <c r="A362" i="45"/>
  <c r="A364" i="45"/>
  <c r="G366" i="45"/>
  <c r="J366" i="45" s="1"/>
  <c r="M366" i="45" s="1"/>
  <c r="P366" i="45" s="1"/>
  <c r="T366" i="45"/>
  <c r="A368" i="45"/>
  <c r="A369" i="45"/>
  <c r="A371" i="45"/>
  <c r="A372" i="45"/>
  <c r="A378" i="45"/>
  <c r="G378" i="45"/>
  <c r="J378" i="45" s="1"/>
  <c r="M378" i="45" s="1"/>
  <c r="P378" i="45" s="1"/>
  <c r="A380" i="45"/>
  <c r="A381" i="45"/>
  <c r="A382" i="45"/>
  <c r="A386" i="45"/>
  <c r="A387" i="45"/>
  <c r="A388" i="45"/>
  <c r="A392" i="45"/>
  <c r="A394" i="45"/>
  <c r="A396" i="45"/>
  <c r="A401" i="45"/>
  <c r="A402" i="45"/>
  <c r="A405" i="45"/>
  <c r="A406" i="45"/>
  <c r="A410" i="45"/>
  <c r="A411" i="45"/>
  <c r="A414" i="45"/>
  <c r="G414" i="45"/>
  <c r="J414" i="45" s="1"/>
  <c r="M414" i="45" s="1"/>
  <c r="P414" i="45" s="1"/>
  <c r="A417" i="45"/>
  <c r="A419" i="45"/>
  <c r="A422" i="45"/>
  <c r="A423" i="45"/>
  <c r="A424" i="45"/>
  <c r="A428" i="45"/>
  <c r="A431" i="45"/>
  <c r="G438" i="45"/>
  <c r="J438" i="45" s="1"/>
  <c r="M438" i="45" s="1"/>
  <c r="P438" i="45" s="1"/>
  <c r="A440" i="45"/>
  <c r="A441" i="45"/>
  <c r="A442" i="45"/>
  <c r="G444" i="45"/>
  <c r="J444" i="45" s="1"/>
  <c r="M444" i="45" s="1"/>
  <c r="P444" i="45" s="1"/>
  <c r="A446" i="45"/>
  <c r="A448" i="45"/>
  <c r="A450" i="45"/>
  <c r="H450" i="45"/>
  <c r="K450" i="45" s="1"/>
  <c r="N450" i="45" s="1"/>
  <c r="Q450" i="45" s="1"/>
  <c r="A455" i="45"/>
  <c r="A456" i="45"/>
  <c r="H456" i="45"/>
  <c r="K456" i="45" s="1"/>
  <c r="N456" i="45" s="1"/>
  <c r="Q456" i="45" s="1"/>
  <c r="A458" i="45"/>
  <c r="A459" i="45"/>
  <c r="H462" i="45"/>
  <c r="K462" i="45" s="1"/>
  <c r="N462" i="45" s="1"/>
  <c r="Q462" i="45" s="1"/>
  <c r="S462" i="45"/>
  <c r="A464" i="45"/>
  <c r="A465" i="45"/>
  <c r="A466" i="45"/>
  <c r="H468" i="45"/>
  <c r="K468" i="45" s="1"/>
  <c r="N468" i="45" s="1"/>
  <c r="Q468" i="45" s="1"/>
  <c r="S468" i="45"/>
  <c r="A470" i="45"/>
  <c r="A472" i="45"/>
  <c r="A474" i="45"/>
  <c r="H474" i="45"/>
  <c r="K474" i="45" s="1"/>
  <c r="N474" i="45" s="1"/>
  <c r="Q474" i="45" s="1"/>
  <c r="A479" i="45"/>
  <c r="A480" i="45"/>
  <c r="H480" i="45"/>
  <c r="K480" i="45" s="1"/>
  <c r="N480" i="45" s="1"/>
  <c r="Q480" i="45" s="1"/>
  <c r="W6" i="192"/>
  <c r="O14" i="192"/>
  <c r="G12" i="2" s="1"/>
  <c r="O21" i="192"/>
  <c r="G19" i="2" s="1"/>
  <c r="O27" i="192"/>
  <c r="G25" i="2" s="1"/>
  <c r="E30" i="192"/>
  <c r="E76" i="192" s="1"/>
  <c r="M30" i="192"/>
  <c r="V30" i="192" s="1"/>
  <c r="AE30" i="192" s="1"/>
  <c r="X36" i="192"/>
  <c r="AT27" i="234"/>
  <c r="C4" i="198"/>
  <c r="A20" i="198"/>
  <c r="A74" i="198" s="1"/>
  <c r="A33" i="198"/>
  <c r="A87" i="198" s="1"/>
  <c r="B35" i="198"/>
  <c r="B89" i="198" s="1"/>
  <c r="A36" i="198"/>
  <c r="A90" i="198" s="1"/>
  <c r="B37" i="198"/>
  <c r="B91" i="198" s="1"/>
  <c r="B39" i="198"/>
  <c r="B93" i="198" s="1"/>
  <c r="J39" i="198"/>
  <c r="A40" i="198"/>
  <c r="A94" i="198" s="1"/>
  <c r="B41" i="198"/>
  <c r="B95" i="198" s="1"/>
  <c r="A42" i="198"/>
  <c r="A96" i="198" s="1"/>
  <c r="B43" i="198"/>
  <c r="B97" i="198" s="1"/>
  <c r="B44" i="198"/>
  <c r="B98" i="198" s="1"/>
  <c r="A45" i="198"/>
  <c r="A99" i="198" s="1"/>
  <c r="A46" i="198"/>
  <c r="A100" i="198" s="1"/>
  <c r="I69" i="198"/>
  <c r="A80" i="198"/>
  <c r="B81" i="198"/>
  <c r="B83" i="198"/>
  <c r="B86" i="198"/>
  <c r="I91" i="198"/>
  <c r="I130" i="198" s="1"/>
  <c r="I169" i="198" s="1"/>
  <c r="J94" i="198"/>
  <c r="J133" i="198" s="1"/>
  <c r="J172" i="198" s="1"/>
  <c r="J208" i="198"/>
  <c r="J247" i="198" s="1"/>
  <c r="J286" i="198" s="1"/>
  <c r="I209" i="198"/>
  <c r="I248" i="198" s="1"/>
  <c r="I287" i="198" s="1"/>
  <c r="A14" i="199"/>
  <c r="A33" i="199"/>
  <c r="A87" i="199" s="1"/>
  <c r="B35" i="199"/>
  <c r="B89" i="199" s="1"/>
  <c r="A36" i="199"/>
  <c r="A90" i="199" s="1"/>
  <c r="B37" i="199"/>
  <c r="B91" i="199" s="1"/>
  <c r="A38" i="199"/>
  <c r="A92" i="199" s="1"/>
  <c r="J38" i="199"/>
  <c r="J92" i="199" s="1"/>
  <c r="J131" i="199" s="1"/>
  <c r="J170" i="199" s="1"/>
  <c r="J209" i="199" s="1"/>
  <c r="J248" i="199" s="1"/>
  <c r="A39" i="199"/>
  <c r="A93" i="199" s="1"/>
  <c r="B40" i="199"/>
  <c r="B94" i="199" s="1"/>
  <c r="A41" i="199"/>
  <c r="A95" i="199" s="1"/>
  <c r="B42" i="199"/>
  <c r="B96" i="199" s="1"/>
  <c r="A43" i="199"/>
  <c r="A97" i="199" s="1"/>
  <c r="A44" i="199"/>
  <c r="A98" i="199" s="1"/>
  <c r="B45" i="199"/>
  <c r="B99" i="199" s="1"/>
  <c r="A46" i="199"/>
  <c r="A100" i="199" s="1"/>
  <c r="A48" i="199"/>
  <c r="A102" i="199" s="1"/>
  <c r="B79" i="199"/>
  <c r="B82" i="199"/>
  <c r="B84" i="199"/>
  <c r="B85" i="199"/>
  <c r="A20" i="200"/>
  <c r="A74" i="200" s="1"/>
  <c r="I34" i="200"/>
  <c r="I88" i="200" s="1"/>
  <c r="A35" i="200"/>
  <c r="A89" i="200" s="1"/>
  <c r="B36" i="200"/>
  <c r="B90" i="200" s="1"/>
  <c r="A37" i="200"/>
  <c r="A91" i="200" s="1"/>
  <c r="A38" i="200"/>
  <c r="A92" i="200" s="1"/>
  <c r="J38" i="200"/>
  <c r="J92" i="200" s="1"/>
  <c r="J131" i="200" s="1"/>
  <c r="J170" i="200" s="1"/>
  <c r="A39" i="200"/>
  <c r="A93" i="200" s="1"/>
  <c r="B40" i="200"/>
  <c r="B94" i="200" s="1"/>
  <c r="A41" i="200"/>
  <c r="A95" i="200" s="1"/>
  <c r="B42" i="200"/>
  <c r="B96" i="200" s="1"/>
  <c r="A43" i="200"/>
  <c r="A97" i="200" s="1"/>
  <c r="A44" i="200"/>
  <c r="A98" i="200" s="1"/>
  <c r="B45" i="200"/>
  <c r="B99" i="200" s="1"/>
  <c r="A72" i="200"/>
  <c r="A75" i="200"/>
  <c r="A78" i="200"/>
  <c r="B80" i="200"/>
  <c r="A81" i="200"/>
  <c r="A83" i="200"/>
  <c r="A86" i="200"/>
  <c r="A20" i="201"/>
  <c r="A74" i="201" s="1"/>
  <c r="I34" i="201"/>
  <c r="I88" i="201" s="1"/>
  <c r="B35" i="201"/>
  <c r="B89" i="201" s="1"/>
  <c r="A36" i="201"/>
  <c r="A90" i="201" s="1"/>
  <c r="B37" i="201"/>
  <c r="B91" i="201" s="1"/>
  <c r="A38" i="201"/>
  <c r="A92" i="201" s="1"/>
  <c r="J38" i="201"/>
  <c r="J92" i="201" s="1"/>
  <c r="J131" i="201" s="1"/>
  <c r="J170" i="201" s="1"/>
  <c r="A39" i="201"/>
  <c r="A93" i="201" s="1"/>
  <c r="B40" i="201"/>
  <c r="B94" i="201" s="1"/>
  <c r="A41" i="201"/>
  <c r="A95" i="201" s="1"/>
  <c r="B42" i="201"/>
  <c r="B96" i="201" s="1"/>
  <c r="A43" i="201"/>
  <c r="A97" i="201" s="1"/>
  <c r="A44" i="201"/>
  <c r="A98" i="201" s="1"/>
  <c r="B45" i="201"/>
  <c r="B99" i="201" s="1"/>
  <c r="A46" i="201"/>
  <c r="A100" i="201" s="1"/>
  <c r="A72" i="201"/>
  <c r="A75" i="201"/>
  <c r="A76" i="201"/>
  <c r="B77" i="201"/>
  <c r="A78" i="201"/>
  <c r="B80" i="201"/>
  <c r="A81" i="201"/>
  <c r="A83" i="201"/>
  <c r="A86" i="201"/>
  <c r="C4" i="202"/>
  <c r="A20" i="202"/>
  <c r="A74" i="202" s="1"/>
  <c r="I34" i="202"/>
  <c r="I88" i="202" s="1"/>
  <c r="A35" i="202"/>
  <c r="A89" i="202" s="1"/>
  <c r="B36" i="202"/>
  <c r="B90" i="202" s="1"/>
  <c r="A37" i="202"/>
  <c r="A91" i="202" s="1"/>
  <c r="B38" i="202"/>
  <c r="B92" i="202" s="1"/>
  <c r="B39" i="202"/>
  <c r="B93" i="202" s="1"/>
  <c r="J39" i="202"/>
  <c r="J93" i="202" s="1"/>
  <c r="J132" i="202" s="1"/>
  <c r="J171" i="202" s="1"/>
  <c r="A40" i="202"/>
  <c r="A94" i="202" s="1"/>
  <c r="B41" i="202"/>
  <c r="B95" i="202" s="1"/>
  <c r="A42" i="202"/>
  <c r="A96" i="202" s="1"/>
  <c r="B43" i="202"/>
  <c r="B97" i="202" s="1"/>
  <c r="B44" i="202"/>
  <c r="B98" i="202" s="1"/>
  <c r="A45" i="202"/>
  <c r="A99" i="202" s="1"/>
  <c r="A46" i="202"/>
  <c r="A100" i="202" s="1"/>
  <c r="B76" i="202"/>
  <c r="A77" i="202"/>
  <c r="B78" i="202"/>
  <c r="A80" i="202"/>
  <c r="B81" i="202"/>
  <c r="B83" i="202"/>
  <c r="B86" i="202"/>
  <c r="C4" i="207"/>
  <c r="C4" i="210"/>
  <c r="C4" i="212"/>
  <c r="C4" i="213"/>
  <c r="F43" i="2"/>
  <c r="O49" i="192"/>
  <c r="X49" i="192" s="1"/>
  <c r="O101" i="192"/>
  <c r="G92" i="2" s="1"/>
  <c r="G94" i="2"/>
  <c r="H32" i="122"/>
  <c r="G37" i="122" s="1"/>
  <c r="G14" i="122"/>
  <c r="A152" i="204"/>
  <c r="A269" i="204"/>
  <c r="A230" i="204"/>
  <c r="A191" i="204"/>
  <c r="A113" i="204"/>
  <c r="I267" i="204"/>
  <c r="I228" i="204"/>
  <c r="I189" i="204"/>
  <c r="I111" i="204"/>
  <c r="I150" i="204"/>
  <c r="A284" i="204"/>
  <c r="A245" i="204"/>
  <c r="A206" i="204"/>
  <c r="A128" i="204"/>
  <c r="A167" i="204"/>
  <c r="A155" i="204"/>
  <c r="A272" i="204"/>
  <c r="A233" i="204"/>
  <c r="A194" i="204"/>
  <c r="A116" i="204"/>
  <c r="B156" i="204"/>
  <c r="B273" i="204"/>
  <c r="B234" i="204"/>
  <c r="B195" i="204"/>
  <c r="B117" i="204"/>
  <c r="I155" i="204"/>
  <c r="I272" i="204"/>
  <c r="I233" i="204"/>
  <c r="I194" i="204"/>
  <c r="I116" i="204"/>
  <c r="A274" i="204"/>
  <c r="A235" i="204"/>
  <c r="A196" i="204"/>
  <c r="A118" i="204"/>
  <c r="A157" i="204"/>
  <c r="A158" i="204"/>
  <c r="A275" i="204"/>
  <c r="A236" i="204"/>
  <c r="A197" i="204"/>
  <c r="A119" i="204"/>
  <c r="B159" i="204"/>
  <c r="B276" i="204"/>
  <c r="B237" i="204"/>
  <c r="B198" i="204"/>
  <c r="B120" i="204"/>
  <c r="I158" i="204"/>
  <c r="I275" i="204"/>
  <c r="I236" i="204"/>
  <c r="I197" i="204"/>
  <c r="I119" i="204"/>
  <c r="B160" i="204"/>
  <c r="B277" i="204"/>
  <c r="B238" i="204"/>
  <c r="B199" i="204"/>
  <c r="B121" i="204"/>
  <c r="A174" i="204"/>
  <c r="A291" i="204"/>
  <c r="A252" i="204"/>
  <c r="A213" i="204"/>
  <c r="A135" i="204"/>
  <c r="A279" i="204"/>
  <c r="A240" i="204"/>
  <c r="A201" i="204"/>
  <c r="A123" i="204"/>
  <c r="A162" i="204"/>
  <c r="B163" i="204"/>
  <c r="B280" i="204"/>
  <c r="B241" i="204"/>
  <c r="B202" i="204"/>
  <c r="B124" i="204"/>
  <c r="A294" i="204"/>
  <c r="A255" i="204"/>
  <c r="A216" i="204"/>
  <c r="A138" i="204"/>
  <c r="A177" i="204"/>
  <c r="I174" i="204"/>
  <c r="I213" i="204"/>
  <c r="I252" i="204" s="1"/>
  <c r="I291" i="204" s="1"/>
  <c r="I135" i="204"/>
  <c r="A183" i="205"/>
  <c r="A105" i="205"/>
  <c r="A144" i="205"/>
  <c r="A72" i="205"/>
  <c r="A48" i="205"/>
  <c r="A102" i="205" s="1"/>
  <c r="I189" i="205"/>
  <c r="I111" i="205"/>
  <c r="I150" i="205"/>
  <c r="A206" i="205"/>
  <c r="A128" i="205"/>
  <c r="A167" i="205"/>
  <c r="A155" i="205"/>
  <c r="A194" i="205"/>
  <c r="A116" i="205"/>
  <c r="B156" i="205"/>
  <c r="B195" i="205"/>
  <c r="B117" i="205"/>
  <c r="I155" i="205"/>
  <c r="I194" i="205"/>
  <c r="I116" i="205"/>
  <c r="A196" i="205"/>
  <c r="A118" i="205"/>
  <c r="A157" i="205"/>
  <c r="A158" i="205"/>
  <c r="A197" i="205"/>
  <c r="A119" i="205"/>
  <c r="B159" i="205"/>
  <c r="B198" i="205"/>
  <c r="B120" i="205"/>
  <c r="I158" i="205"/>
  <c r="I197" i="205"/>
  <c r="I119" i="205"/>
  <c r="B160" i="205"/>
  <c r="B199" i="205"/>
  <c r="B121" i="205"/>
  <c r="A174" i="205"/>
  <c r="A213" i="205"/>
  <c r="A135" i="205"/>
  <c r="A201" i="205"/>
  <c r="A123" i="205"/>
  <c r="A162" i="205"/>
  <c r="B163" i="205"/>
  <c r="B202" i="205"/>
  <c r="B124" i="205"/>
  <c r="A216" i="205"/>
  <c r="A138" i="205"/>
  <c r="A177" i="205"/>
  <c r="A166" i="205"/>
  <c r="A205" i="205"/>
  <c r="A127" i="205"/>
  <c r="I186" i="206"/>
  <c r="I108" i="206"/>
  <c r="I147" i="206"/>
  <c r="I190" i="206"/>
  <c r="I112" i="206"/>
  <c r="I151" i="206"/>
  <c r="A153" i="206"/>
  <c r="A192" i="206"/>
  <c r="A114" i="206"/>
  <c r="B206" i="206"/>
  <c r="B128" i="206"/>
  <c r="B167" i="206"/>
  <c r="I192" i="206"/>
  <c r="I114" i="206"/>
  <c r="I153" i="206"/>
  <c r="B155" i="206"/>
  <c r="B194" i="206"/>
  <c r="B116" i="206"/>
  <c r="I154" i="206"/>
  <c r="I193" i="206"/>
  <c r="I115" i="206"/>
  <c r="A156" i="206"/>
  <c r="A195" i="206"/>
  <c r="A117" i="206"/>
  <c r="B196" i="206"/>
  <c r="B118" i="206"/>
  <c r="B157" i="206"/>
  <c r="I156" i="206"/>
  <c r="I195" i="206"/>
  <c r="I117" i="206"/>
  <c r="B158" i="206"/>
  <c r="B197" i="206"/>
  <c r="B119" i="206"/>
  <c r="I157" i="206"/>
  <c r="I196" i="206"/>
  <c r="I118" i="206"/>
  <c r="A159" i="206"/>
  <c r="A198" i="206"/>
  <c r="A120" i="206"/>
  <c r="A160" i="206"/>
  <c r="A199" i="206"/>
  <c r="A121" i="206"/>
  <c r="B174" i="206"/>
  <c r="B213" i="206"/>
  <c r="B135" i="206"/>
  <c r="I160" i="206"/>
  <c r="I199" i="206"/>
  <c r="I121" i="206"/>
  <c r="B201" i="206"/>
  <c r="B123" i="206"/>
  <c r="B162" i="206"/>
  <c r="A163" i="206"/>
  <c r="A202" i="206"/>
  <c r="A124" i="206"/>
  <c r="B216" i="206"/>
  <c r="B138" i="206"/>
  <c r="B177" i="206"/>
  <c r="I164" i="206"/>
  <c r="I203" i="206"/>
  <c r="I125" i="206"/>
  <c r="A205" i="206"/>
  <c r="A127" i="206"/>
  <c r="A166" i="206"/>
  <c r="I147" i="207"/>
  <c r="I108" i="207"/>
  <c r="A111" i="207"/>
  <c r="A150" i="207"/>
  <c r="I111" i="207"/>
  <c r="I150" i="207"/>
  <c r="A128" i="207"/>
  <c r="A167" i="207"/>
  <c r="A155" i="207"/>
  <c r="A116" i="207"/>
  <c r="B156" i="207"/>
  <c r="B117" i="207"/>
  <c r="I155" i="207"/>
  <c r="I116" i="207"/>
  <c r="A118" i="207"/>
  <c r="A157" i="207"/>
  <c r="A158" i="207"/>
  <c r="A119" i="207"/>
  <c r="B159" i="207"/>
  <c r="B120" i="207"/>
  <c r="I158" i="207"/>
  <c r="I119" i="207"/>
  <c r="B160" i="207"/>
  <c r="B121" i="207"/>
  <c r="A174" i="207"/>
  <c r="A135" i="207"/>
  <c r="A123" i="207"/>
  <c r="A162" i="207"/>
  <c r="B163" i="207"/>
  <c r="B124" i="207"/>
  <c r="A138" i="207"/>
  <c r="A177" i="207"/>
  <c r="I174" i="207"/>
  <c r="I212" i="207"/>
  <c r="I250" i="207" s="1"/>
  <c r="I288" i="207" s="1"/>
  <c r="I135" i="207"/>
  <c r="A66" i="208"/>
  <c r="A108" i="208"/>
  <c r="A147" i="208"/>
  <c r="I151" i="208"/>
  <c r="I112" i="208"/>
  <c r="A165" i="208"/>
  <c r="A126" i="208"/>
  <c r="B154" i="208"/>
  <c r="B115" i="208"/>
  <c r="I153" i="208"/>
  <c r="I114" i="208"/>
  <c r="B116" i="208"/>
  <c r="B155" i="208"/>
  <c r="I115" i="208"/>
  <c r="I154" i="208"/>
  <c r="B157" i="208"/>
  <c r="B118" i="208"/>
  <c r="I117" i="208"/>
  <c r="I156" i="208"/>
  <c r="B132" i="208"/>
  <c r="B171" i="208"/>
  <c r="I118" i="208"/>
  <c r="I157" i="208"/>
  <c r="A133" i="208"/>
  <c r="A172" i="208"/>
  <c r="A121" i="208"/>
  <c r="A160" i="208"/>
  <c r="B161" i="208"/>
  <c r="B122" i="208"/>
  <c r="I121" i="208"/>
  <c r="I160" i="208"/>
  <c r="B162" i="208"/>
  <c r="B123" i="208"/>
  <c r="A124" i="208"/>
  <c r="A163" i="208"/>
  <c r="B164" i="208"/>
  <c r="B125" i="208"/>
  <c r="I125" i="208"/>
  <c r="I164" i="208"/>
  <c r="A166" i="208"/>
  <c r="A127" i="208"/>
  <c r="A66" i="209"/>
  <c r="A147" i="209"/>
  <c r="A108" i="209"/>
  <c r="I150" i="209"/>
  <c r="I111" i="209"/>
  <c r="A154" i="209"/>
  <c r="A115" i="209"/>
  <c r="A168" i="209"/>
  <c r="A129" i="209"/>
  <c r="B130" i="209"/>
  <c r="B169" i="209"/>
  <c r="I116" i="209"/>
  <c r="I155" i="209"/>
  <c r="A157" i="209"/>
  <c r="A118" i="209"/>
  <c r="A132" i="209"/>
  <c r="A171" i="209"/>
  <c r="B133" i="209"/>
  <c r="B172" i="209"/>
  <c r="I119" i="209"/>
  <c r="I158" i="209"/>
  <c r="B121" i="209"/>
  <c r="B160" i="209"/>
  <c r="A161" i="209"/>
  <c r="A122" i="209"/>
  <c r="A162" i="209"/>
  <c r="A123" i="209"/>
  <c r="B124" i="209"/>
  <c r="B163" i="209"/>
  <c r="A164" i="209"/>
  <c r="A125" i="209"/>
  <c r="I212" i="209"/>
  <c r="I250" i="209" s="1"/>
  <c r="I288" i="209" s="1"/>
  <c r="I135" i="209"/>
  <c r="I174" i="209"/>
  <c r="I147" i="210"/>
  <c r="I108" i="210"/>
  <c r="I151" i="210"/>
  <c r="I112" i="210"/>
  <c r="A153" i="210"/>
  <c r="A114" i="210"/>
  <c r="B154" i="210"/>
  <c r="B115" i="210"/>
  <c r="I153" i="210"/>
  <c r="I114" i="210"/>
  <c r="B155" i="210"/>
  <c r="B116" i="210"/>
  <c r="I154" i="210"/>
  <c r="I115" i="210"/>
  <c r="A156" i="210"/>
  <c r="A117" i="210"/>
  <c r="B157" i="210"/>
  <c r="B118" i="210"/>
  <c r="I156" i="210"/>
  <c r="I117" i="210"/>
  <c r="B171" i="210"/>
  <c r="B132" i="210"/>
  <c r="I157" i="210"/>
  <c r="I118" i="210"/>
  <c r="A172" i="210"/>
  <c r="A133" i="210"/>
  <c r="A160" i="210"/>
  <c r="A121" i="210"/>
  <c r="B161" i="210"/>
  <c r="B122" i="210"/>
  <c r="I160" i="210"/>
  <c r="I121" i="210"/>
  <c r="B162" i="210"/>
  <c r="B123" i="210"/>
  <c r="A163" i="210"/>
  <c r="A124" i="210"/>
  <c r="B164" i="210"/>
  <c r="B125" i="210"/>
  <c r="I166" i="210"/>
  <c r="I127" i="210"/>
  <c r="A166" i="210"/>
  <c r="A127" i="210"/>
  <c r="B168" i="210"/>
  <c r="A169" i="210"/>
  <c r="A130" i="210"/>
  <c r="B170" i="210"/>
  <c r="B131" i="210"/>
  <c r="B137" i="210"/>
  <c r="B176" i="210"/>
  <c r="A177" i="210"/>
  <c r="A147" i="211"/>
  <c r="A108" i="211"/>
  <c r="I150" i="211"/>
  <c r="I111" i="211"/>
  <c r="A154" i="211"/>
  <c r="A115" i="211"/>
  <c r="A116" i="211"/>
  <c r="A155" i="211"/>
  <c r="B117" i="211"/>
  <c r="B156" i="211"/>
  <c r="I116" i="211"/>
  <c r="I155" i="211"/>
  <c r="A157" i="211"/>
  <c r="A118" i="211"/>
  <c r="A119" i="211"/>
  <c r="A158" i="211"/>
  <c r="B120" i="211"/>
  <c r="B159" i="211"/>
  <c r="I119" i="211"/>
  <c r="I158" i="211"/>
  <c r="B121" i="211"/>
  <c r="B160" i="211"/>
  <c r="A161" i="211"/>
  <c r="A122" i="211"/>
  <c r="A162" i="211"/>
  <c r="A123" i="211"/>
  <c r="B124" i="211"/>
  <c r="B163" i="211"/>
  <c r="A164" i="211"/>
  <c r="A125" i="211"/>
  <c r="A132" i="211"/>
  <c r="A171" i="211"/>
  <c r="I147" i="212"/>
  <c r="I108" i="212"/>
  <c r="I151" i="212"/>
  <c r="I112" i="212"/>
  <c r="A153" i="212"/>
  <c r="A114" i="212"/>
  <c r="B154" i="212"/>
  <c r="B115" i="212"/>
  <c r="I153" i="212"/>
  <c r="I114" i="212"/>
  <c r="B155" i="212"/>
  <c r="B116" i="212"/>
  <c r="I154" i="212"/>
  <c r="I115" i="212"/>
  <c r="A156" i="212"/>
  <c r="A117" i="212"/>
  <c r="B157" i="212"/>
  <c r="B118" i="212"/>
  <c r="I156" i="212"/>
  <c r="I117" i="212"/>
  <c r="B158" i="212"/>
  <c r="B119" i="212"/>
  <c r="I157" i="212"/>
  <c r="I118" i="212"/>
  <c r="A159" i="212"/>
  <c r="A120" i="212"/>
  <c r="A160" i="212"/>
  <c r="A121" i="212"/>
  <c r="B135" i="212"/>
  <c r="B174" i="212"/>
  <c r="I160" i="212"/>
  <c r="I121" i="212"/>
  <c r="B162" i="212"/>
  <c r="B123" i="212"/>
  <c r="A163" i="212"/>
  <c r="A124" i="212"/>
  <c r="B177" i="212"/>
  <c r="B138" i="212"/>
  <c r="I164" i="212"/>
  <c r="I125" i="212"/>
  <c r="A166" i="212"/>
  <c r="A127" i="212"/>
  <c r="A147" i="213"/>
  <c r="A108" i="213"/>
  <c r="A165" i="213"/>
  <c r="A126" i="213"/>
  <c r="B154" i="213"/>
  <c r="B115" i="213"/>
  <c r="I153" i="213"/>
  <c r="I114" i="213"/>
  <c r="B155" i="213"/>
  <c r="B116" i="213"/>
  <c r="I154" i="213"/>
  <c r="I115" i="213"/>
  <c r="B157" i="213"/>
  <c r="B118" i="213"/>
  <c r="I156" i="213"/>
  <c r="I117" i="213"/>
  <c r="B158" i="213"/>
  <c r="B119" i="213"/>
  <c r="I157" i="213"/>
  <c r="I118" i="213"/>
  <c r="A159" i="213"/>
  <c r="A120" i="213"/>
  <c r="A160" i="213"/>
  <c r="A121" i="213"/>
  <c r="B161" i="213"/>
  <c r="B122" i="213"/>
  <c r="I160" i="213"/>
  <c r="I121" i="213"/>
  <c r="A163" i="213"/>
  <c r="A124" i="213"/>
  <c r="B138" i="213"/>
  <c r="B177" i="213"/>
  <c r="I164" i="213"/>
  <c r="I125" i="213"/>
  <c r="A166" i="213"/>
  <c r="A127" i="213"/>
  <c r="A168" i="213"/>
  <c r="A129" i="213"/>
  <c r="B169" i="213"/>
  <c r="B130" i="213"/>
  <c r="A172" i="213"/>
  <c r="A133" i="213"/>
  <c r="A135" i="213"/>
  <c r="A174" i="213"/>
  <c r="B136" i="213"/>
  <c r="B175" i="213"/>
  <c r="I212" i="213"/>
  <c r="I250" i="213" s="1"/>
  <c r="I288" i="213" s="1"/>
  <c r="I135" i="213"/>
  <c r="I174" i="213"/>
  <c r="M58" i="198"/>
  <c r="O58" i="198"/>
  <c r="A15" i="45"/>
  <c r="H18" i="45"/>
  <c r="K18" i="45" s="1"/>
  <c r="N18" i="45" s="1"/>
  <c r="Q18" i="45" s="1"/>
  <c r="A27" i="45"/>
  <c r="A28" i="45"/>
  <c r="A32" i="45"/>
  <c r="A34" i="45"/>
  <c r="A36" i="45"/>
  <c r="A41" i="45"/>
  <c r="A42" i="45"/>
  <c r="A47" i="45"/>
  <c r="A48" i="45"/>
  <c r="A53" i="45"/>
  <c r="A54" i="45"/>
  <c r="A56" i="45"/>
  <c r="A58" i="45"/>
  <c r="A60" i="45"/>
  <c r="A65" i="45"/>
  <c r="A66" i="45"/>
  <c r="A71" i="45"/>
  <c r="A72" i="45"/>
  <c r="A74" i="45"/>
  <c r="A75" i="45"/>
  <c r="A76" i="45"/>
  <c r="A77" i="45"/>
  <c r="A78" i="45"/>
  <c r="A81" i="45"/>
  <c r="A83" i="45"/>
  <c r="A86" i="45"/>
  <c r="A87" i="45"/>
  <c r="A88" i="45"/>
  <c r="A92" i="45"/>
  <c r="A93" i="45"/>
  <c r="A95" i="45"/>
  <c r="A96" i="45"/>
  <c r="A98" i="45"/>
  <c r="A99" i="45"/>
  <c r="A100" i="45"/>
  <c r="A104" i="45"/>
  <c r="A106" i="45"/>
  <c r="A113" i="45"/>
  <c r="A114" i="45"/>
  <c r="A119" i="45"/>
  <c r="A120" i="45"/>
  <c r="A122" i="45"/>
  <c r="A123" i="45"/>
  <c r="A124" i="45"/>
  <c r="A131" i="45"/>
  <c r="A132" i="45"/>
  <c r="A138" i="45"/>
  <c r="A146" i="45"/>
  <c r="A147" i="45"/>
  <c r="A148" i="45"/>
  <c r="A153" i="45"/>
  <c r="A155" i="45"/>
  <c r="A156" i="45"/>
  <c r="A158" i="45"/>
  <c r="A159" i="45"/>
  <c r="A160" i="45"/>
  <c r="A164" i="45"/>
  <c r="A165" i="45"/>
  <c r="A166" i="45"/>
  <c r="A170" i="45"/>
  <c r="A172" i="45"/>
  <c r="A174" i="45"/>
  <c r="A179" i="45"/>
  <c r="A180" i="45"/>
  <c r="A185" i="45"/>
  <c r="A186" i="45"/>
  <c r="A188" i="45"/>
  <c r="A190" i="45"/>
  <c r="A196" i="45"/>
  <c r="A201" i="45"/>
  <c r="A203" i="45"/>
  <c r="A206" i="45"/>
  <c r="A207" i="45"/>
  <c r="A208" i="45"/>
  <c r="A212" i="45"/>
  <c r="A214" i="45"/>
  <c r="A216" i="45"/>
  <c r="A221" i="45"/>
  <c r="A222" i="45"/>
  <c r="A225" i="45"/>
  <c r="A227" i="45"/>
  <c r="A230" i="45"/>
  <c r="A231" i="45"/>
  <c r="A232" i="45"/>
  <c r="A236" i="45"/>
  <c r="A237" i="45"/>
  <c r="A238" i="45"/>
  <c r="A242" i="45"/>
  <c r="A244" i="45"/>
  <c r="A246" i="45"/>
  <c r="A251" i="45"/>
  <c r="A252" i="45"/>
  <c r="A257" i="45"/>
  <c r="A258" i="45"/>
  <c r="A263" i="45"/>
  <c r="A264" i="45"/>
  <c r="A266" i="45"/>
  <c r="A267" i="45"/>
  <c r="A268" i="45"/>
  <c r="A272" i="45"/>
  <c r="A273" i="45"/>
  <c r="A274" i="45"/>
  <c r="A275" i="45"/>
  <c r="A278" i="45"/>
  <c r="A280" i="45"/>
  <c r="A282" i="45"/>
  <c r="A287" i="45"/>
  <c r="A288" i="45"/>
  <c r="A290" i="45"/>
  <c r="A293" i="45"/>
  <c r="A294" i="45"/>
  <c r="A296" i="45"/>
  <c r="A297" i="45"/>
  <c r="A298" i="45"/>
  <c r="A302" i="45"/>
  <c r="A304" i="45"/>
  <c r="A306" i="45"/>
  <c r="A311" i="45"/>
  <c r="A312" i="45"/>
  <c r="A316" i="45"/>
  <c r="A323" i="45"/>
  <c r="A324" i="45"/>
  <c r="A327" i="45"/>
  <c r="A329" i="45"/>
  <c r="A330" i="45"/>
  <c r="A332" i="45"/>
  <c r="A333" i="45"/>
  <c r="A334" i="45"/>
  <c r="A342" i="45"/>
  <c r="A347" i="45"/>
  <c r="A348" i="45"/>
  <c r="A353" i="45"/>
  <c r="A354" i="45"/>
  <c r="A358" i="45"/>
  <c r="A363" i="45"/>
  <c r="A365" i="45"/>
  <c r="A366" i="45"/>
  <c r="A370" i="45"/>
  <c r="T372" i="45"/>
  <c r="A374" i="45"/>
  <c r="A375" i="45"/>
  <c r="A376" i="45"/>
  <c r="A377" i="45"/>
  <c r="H378" i="45"/>
  <c r="K378" i="45" s="1"/>
  <c r="N378" i="45" s="1"/>
  <c r="Q378" i="45" s="1"/>
  <c r="A383" i="45"/>
  <c r="A384" i="45"/>
  <c r="H384" i="45"/>
  <c r="K384" i="45" s="1"/>
  <c r="N384" i="45" s="1"/>
  <c r="Q384" i="45" s="1"/>
  <c r="A389" i="45"/>
  <c r="A390" i="45"/>
  <c r="H390" i="45"/>
  <c r="K390" i="45" s="1"/>
  <c r="N390" i="45" s="1"/>
  <c r="Q390" i="45" s="1"/>
  <c r="A393" i="45"/>
  <c r="A395" i="45"/>
  <c r="G396" i="45"/>
  <c r="J396" i="45" s="1"/>
  <c r="M396" i="45" s="1"/>
  <c r="P396" i="45" s="1"/>
  <c r="A398" i="45"/>
  <c r="A399" i="45"/>
  <c r="A400" i="45"/>
  <c r="G402" i="45"/>
  <c r="J402" i="45" s="1"/>
  <c r="M402" i="45" s="1"/>
  <c r="P402" i="45" s="1"/>
  <c r="A404" i="45"/>
  <c r="A407" i="45"/>
  <c r="A408" i="45"/>
  <c r="A412" i="45"/>
  <c r="A413" i="45"/>
  <c r="A416" i="45"/>
  <c r="A418" i="45"/>
  <c r="A420" i="45"/>
  <c r="H420" i="45"/>
  <c r="K420" i="45" s="1"/>
  <c r="N420" i="45" s="1"/>
  <c r="Q420" i="45" s="1"/>
  <c r="A425" i="45"/>
  <c r="A426" i="45"/>
  <c r="H426" i="45"/>
  <c r="K426" i="45" s="1"/>
  <c r="N426" i="45" s="1"/>
  <c r="Q426" i="45" s="1"/>
  <c r="A429" i="45"/>
  <c r="A430" i="45"/>
  <c r="A432" i="45"/>
  <c r="A434" i="45"/>
  <c r="A435" i="45"/>
  <c r="A436" i="45"/>
  <c r="A437" i="45"/>
  <c r="A438" i="45"/>
  <c r="H438" i="45"/>
  <c r="K438" i="45" s="1"/>
  <c r="N438" i="45" s="1"/>
  <c r="Q438" i="45" s="1"/>
  <c r="A443" i="45"/>
  <c r="A444" i="45"/>
  <c r="H444" i="45"/>
  <c r="K444" i="45" s="1"/>
  <c r="N444" i="45" s="1"/>
  <c r="Q444" i="45" s="1"/>
  <c r="A447" i="45"/>
  <c r="A449" i="45"/>
  <c r="G450" i="45"/>
  <c r="J450" i="45" s="1"/>
  <c r="M450" i="45" s="1"/>
  <c r="P450" i="45" s="1"/>
  <c r="A452" i="45"/>
  <c r="A453" i="45"/>
  <c r="A454" i="45"/>
  <c r="G456" i="45"/>
  <c r="J456" i="45" s="1"/>
  <c r="M456" i="45" s="1"/>
  <c r="P456" i="45" s="1"/>
  <c r="A460" i="45"/>
  <c r="A461" i="45"/>
  <c r="A462" i="45"/>
  <c r="A467" i="45"/>
  <c r="A471" i="45"/>
  <c r="G474" i="45"/>
  <c r="J474" i="45" s="1"/>
  <c r="M474" i="45" s="1"/>
  <c r="P474" i="45" s="1"/>
  <c r="G480" i="45"/>
  <c r="J480" i="45" s="1"/>
  <c r="M480" i="45" s="1"/>
  <c r="P480" i="45" s="1"/>
  <c r="F30" i="192"/>
  <c r="F76" i="192" s="1"/>
  <c r="O40" i="192"/>
  <c r="O63" i="192"/>
  <c r="G57" i="2" s="1"/>
  <c r="O11" i="234"/>
  <c r="X11" i="234" s="1"/>
  <c r="O34" i="234"/>
  <c r="X34" i="234" s="1"/>
  <c r="AG34" i="234" s="1"/>
  <c r="O37" i="234"/>
  <c r="X37" i="234" s="1"/>
  <c r="O41" i="234"/>
  <c r="X41" i="234" s="1"/>
  <c r="AG41" i="234" s="1"/>
  <c r="O45" i="234"/>
  <c r="X45" i="234" s="1"/>
  <c r="AG45" i="234" s="1"/>
  <c r="B2" i="198"/>
  <c r="B14" i="198" s="1"/>
  <c r="B66" i="198" s="1"/>
  <c r="B222" i="198" s="1"/>
  <c r="A18" i="198"/>
  <c r="A35" i="198"/>
  <c r="A89" i="198" s="1"/>
  <c r="B36" i="198"/>
  <c r="B90" i="198" s="1"/>
  <c r="A37" i="198"/>
  <c r="A91" i="198" s="1"/>
  <c r="A38" i="198"/>
  <c r="A92" i="198" s="1"/>
  <c r="J38" i="198"/>
  <c r="A41" i="198"/>
  <c r="A95" i="198" s="1"/>
  <c r="A43" i="198"/>
  <c r="A97" i="198" s="1"/>
  <c r="A44" i="198"/>
  <c r="A98" i="198" s="1"/>
  <c r="A20" i="199"/>
  <c r="A74" i="199" s="1"/>
  <c r="I34" i="199"/>
  <c r="I88" i="199" s="1"/>
  <c r="A35" i="199"/>
  <c r="A89" i="199" s="1"/>
  <c r="B36" i="199"/>
  <c r="B90" i="199" s="1"/>
  <c r="A37" i="199"/>
  <c r="A91" i="199" s="1"/>
  <c r="B39" i="199"/>
  <c r="B93" i="199" s="1"/>
  <c r="J39" i="199"/>
  <c r="J93" i="199" s="1"/>
  <c r="J132" i="199" s="1"/>
  <c r="J171" i="199" s="1"/>
  <c r="J210" i="199" s="1"/>
  <c r="J249" i="199" s="1"/>
  <c r="A40" i="199"/>
  <c r="A94" i="199" s="1"/>
  <c r="A42" i="199"/>
  <c r="A96" i="199" s="1"/>
  <c r="A45" i="199"/>
  <c r="A99" i="199" s="1"/>
  <c r="B35" i="200"/>
  <c r="B89" i="200" s="1"/>
  <c r="A36" i="200"/>
  <c r="A90" i="200" s="1"/>
  <c r="B37" i="200"/>
  <c r="B91" i="200" s="1"/>
  <c r="B38" i="200"/>
  <c r="B92" i="200" s="1"/>
  <c r="B41" i="200"/>
  <c r="B95" i="200" s="1"/>
  <c r="B43" i="200"/>
  <c r="B97" i="200" s="1"/>
  <c r="B44" i="200"/>
  <c r="B98" i="200" s="1"/>
  <c r="A46" i="200"/>
  <c r="A100" i="200" s="1"/>
  <c r="I75" i="200"/>
  <c r="J12" i="183"/>
  <c r="A37" i="201"/>
  <c r="A91" i="201" s="1"/>
  <c r="B38" i="201"/>
  <c r="B92" i="201" s="1"/>
  <c r="B41" i="201"/>
  <c r="B95" i="201" s="1"/>
  <c r="B43" i="201"/>
  <c r="B97" i="201" s="1"/>
  <c r="B44" i="201"/>
  <c r="B98" i="201" s="1"/>
  <c r="B2" i="202"/>
  <c r="B14" i="202" s="1"/>
  <c r="B66" i="202" s="1"/>
  <c r="B144" i="202" s="1"/>
  <c r="A18" i="202"/>
  <c r="A33" i="202"/>
  <c r="A87" i="202" s="1"/>
  <c r="A38" i="202"/>
  <c r="A92" i="202" s="1"/>
  <c r="J38" i="202"/>
  <c r="J92" i="202" s="1"/>
  <c r="J131" i="202" s="1"/>
  <c r="J170" i="202" s="1"/>
  <c r="A41" i="202"/>
  <c r="A95" i="202" s="1"/>
  <c r="A43" i="202"/>
  <c r="A97" i="202" s="1"/>
  <c r="A44" i="202"/>
  <c r="A98" i="202" s="1"/>
  <c r="C4" i="204"/>
  <c r="C4" i="211"/>
  <c r="A152" i="214"/>
  <c r="A113" i="214"/>
  <c r="I111" i="214"/>
  <c r="I150" i="214"/>
  <c r="A115" i="214"/>
  <c r="A154" i="214"/>
  <c r="A155" i="214"/>
  <c r="A116" i="214"/>
  <c r="B156" i="214"/>
  <c r="B117" i="214"/>
  <c r="I155" i="214"/>
  <c r="I116" i="214"/>
  <c r="A170" i="214"/>
  <c r="A131" i="214"/>
  <c r="A158" i="214"/>
  <c r="A119" i="214"/>
  <c r="B159" i="214"/>
  <c r="B120" i="214"/>
  <c r="I158" i="214"/>
  <c r="I119" i="214"/>
  <c r="B160" i="214"/>
  <c r="B121" i="214"/>
  <c r="A175" i="214"/>
  <c r="A136" i="214"/>
  <c r="B163" i="214"/>
  <c r="B124" i="214"/>
  <c r="A125" i="214"/>
  <c r="A164" i="214"/>
  <c r="I174" i="214"/>
  <c r="I135" i="214"/>
  <c r="I212" i="214"/>
  <c r="I250" i="214" s="1"/>
  <c r="I288" i="214" s="1"/>
  <c r="A66" i="215"/>
  <c r="A48" i="215"/>
  <c r="A102" i="215" s="1"/>
  <c r="A72" i="215"/>
  <c r="I111" i="215"/>
  <c r="I150" i="215"/>
  <c r="A115" i="215"/>
  <c r="A154" i="215"/>
  <c r="A155" i="215"/>
  <c r="A116" i="215"/>
  <c r="B156" i="215"/>
  <c r="B117" i="215"/>
  <c r="I155" i="215"/>
  <c r="I116" i="215"/>
  <c r="A118" i="215"/>
  <c r="A157" i="215"/>
  <c r="A158" i="215"/>
  <c r="A119" i="215"/>
  <c r="B159" i="215"/>
  <c r="B120" i="215"/>
  <c r="I158" i="215"/>
  <c r="I119" i="215"/>
  <c r="B160" i="215"/>
  <c r="B121" i="215"/>
  <c r="A174" i="215"/>
  <c r="A135" i="215"/>
  <c r="A123" i="215"/>
  <c r="A162" i="215"/>
  <c r="B163" i="215"/>
  <c r="B124" i="215"/>
  <c r="A138" i="215"/>
  <c r="A177" i="215"/>
  <c r="I174" i="215"/>
  <c r="I212" i="215"/>
  <c r="I250" i="215" s="1"/>
  <c r="I288" i="215" s="1"/>
  <c r="I135" i="215"/>
  <c r="I147" i="217"/>
  <c r="I108" i="217"/>
  <c r="I151" i="217"/>
  <c r="I112" i="217"/>
  <c r="A165" i="217"/>
  <c r="A126" i="217"/>
  <c r="B154" i="217"/>
  <c r="B115" i="217"/>
  <c r="I153" i="217"/>
  <c r="I114" i="217"/>
  <c r="B129" i="217"/>
  <c r="B168" i="217"/>
  <c r="I154" i="217"/>
  <c r="I115" i="217"/>
  <c r="B157" i="217"/>
  <c r="B118" i="217"/>
  <c r="I156" i="217"/>
  <c r="I117" i="217"/>
  <c r="B171" i="217"/>
  <c r="B132" i="217"/>
  <c r="I157" i="217"/>
  <c r="I118" i="217"/>
  <c r="A172" i="217"/>
  <c r="A133" i="217"/>
  <c r="A160" i="217"/>
  <c r="A121" i="217"/>
  <c r="B161" i="217"/>
  <c r="B122" i="217"/>
  <c r="I160" i="217"/>
  <c r="I121" i="217"/>
  <c r="B162" i="217"/>
  <c r="B123" i="217"/>
  <c r="A163" i="217"/>
  <c r="A124" i="217"/>
  <c r="B164" i="217"/>
  <c r="B125" i="217"/>
  <c r="I164" i="217"/>
  <c r="I125" i="217"/>
  <c r="A166" i="217"/>
  <c r="A127" i="217"/>
  <c r="I186" i="218"/>
  <c r="I108" i="218"/>
  <c r="I147" i="218"/>
  <c r="I190" i="218"/>
  <c r="I112" i="218"/>
  <c r="I151" i="218"/>
  <c r="A204" i="218"/>
  <c r="A126" i="218"/>
  <c r="A165" i="218"/>
  <c r="B193" i="218"/>
  <c r="B115" i="218"/>
  <c r="B154" i="218"/>
  <c r="I192" i="218"/>
  <c r="I114" i="218"/>
  <c r="I153" i="218"/>
  <c r="B207" i="218"/>
  <c r="B129" i="218"/>
  <c r="B168" i="218"/>
  <c r="I154" i="218"/>
  <c r="I193" i="218"/>
  <c r="I115" i="218"/>
  <c r="B196" i="218"/>
  <c r="B118" i="218"/>
  <c r="B157" i="218"/>
  <c r="I156" i="218"/>
  <c r="I195" i="218"/>
  <c r="I117" i="218"/>
  <c r="B171" i="218"/>
  <c r="B210" i="218"/>
  <c r="B132" i="218"/>
  <c r="I157" i="218"/>
  <c r="I196" i="218"/>
  <c r="I118" i="218"/>
  <c r="A172" i="218"/>
  <c r="A211" i="218"/>
  <c r="A133" i="218"/>
  <c r="A160" i="218"/>
  <c r="A199" i="218"/>
  <c r="A121" i="218"/>
  <c r="B200" i="218"/>
  <c r="B122" i="218"/>
  <c r="B161" i="218"/>
  <c r="I160" i="218"/>
  <c r="I199" i="218"/>
  <c r="I121" i="218"/>
  <c r="B201" i="218"/>
  <c r="B123" i="218"/>
  <c r="B162" i="218"/>
  <c r="A163" i="218"/>
  <c r="A202" i="218"/>
  <c r="A124" i="218"/>
  <c r="B203" i="218"/>
  <c r="B125" i="218"/>
  <c r="B164" i="218"/>
  <c r="I164" i="218"/>
  <c r="I203" i="218"/>
  <c r="I125" i="218"/>
  <c r="A205" i="218"/>
  <c r="A127" i="218"/>
  <c r="A166" i="218"/>
  <c r="I147" i="219"/>
  <c r="I186" i="219"/>
  <c r="I108" i="219"/>
  <c r="A189" i="219"/>
  <c r="A111" i="219"/>
  <c r="A150" i="219"/>
  <c r="I189" i="219"/>
  <c r="I111" i="219"/>
  <c r="I150" i="219"/>
  <c r="A193" i="219"/>
  <c r="A115" i="219"/>
  <c r="A154" i="219"/>
  <c r="A207" i="219"/>
  <c r="A129" i="219"/>
  <c r="A168" i="219"/>
  <c r="B208" i="219"/>
  <c r="B169" i="219"/>
  <c r="B130" i="219"/>
  <c r="I194" i="219"/>
  <c r="I155" i="219"/>
  <c r="I116" i="219"/>
  <c r="A196" i="219"/>
  <c r="A118" i="219"/>
  <c r="A157" i="219"/>
  <c r="A210" i="219"/>
  <c r="A171" i="219"/>
  <c r="A132" i="219"/>
  <c r="B211" i="219"/>
  <c r="B172" i="219"/>
  <c r="B133" i="219"/>
  <c r="I197" i="219"/>
  <c r="I158" i="219"/>
  <c r="I119" i="219"/>
  <c r="B199" i="219"/>
  <c r="B160" i="219"/>
  <c r="B121" i="219"/>
  <c r="A200" i="219"/>
  <c r="A122" i="219"/>
  <c r="A161" i="219"/>
  <c r="A201" i="219"/>
  <c r="A123" i="219"/>
  <c r="A162" i="219"/>
  <c r="B202" i="219"/>
  <c r="B163" i="219"/>
  <c r="B124" i="219"/>
  <c r="A203" i="219"/>
  <c r="A125" i="219"/>
  <c r="A164" i="219"/>
  <c r="I213" i="219"/>
  <c r="I251" i="219" s="1"/>
  <c r="I289" i="219" s="1"/>
  <c r="I174" i="219"/>
  <c r="I135" i="219"/>
  <c r="M25" i="228"/>
  <c r="O25" i="228"/>
  <c r="B2" i="204"/>
  <c r="B14" i="204" s="1"/>
  <c r="B66" i="204" s="1"/>
  <c r="B144" i="204" s="1"/>
  <c r="A14" i="204"/>
  <c r="A66" i="204" s="1"/>
  <c r="A18" i="204"/>
  <c r="A33" i="204"/>
  <c r="A87" i="204" s="1"/>
  <c r="B35" i="204"/>
  <c r="B89" i="204" s="1"/>
  <c r="A36" i="204"/>
  <c r="A90" i="204" s="1"/>
  <c r="B37" i="204"/>
  <c r="B91" i="204" s="1"/>
  <c r="A38" i="204"/>
  <c r="A92" i="204" s="1"/>
  <c r="J38" i="204"/>
  <c r="J92" i="204" s="1"/>
  <c r="J131" i="204" s="1"/>
  <c r="J170" i="204" s="1"/>
  <c r="J209" i="204" s="1"/>
  <c r="J248" i="204" s="1"/>
  <c r="J287" i="204" s="1"/>
  <c r="A39" i="204"/>
  <c r="A93" i="204" s="1"/>
  <c r="B40" i="204"/>
  <c r="B94" i="204" s="1"/>
  <c r="A41" i="204"/>
  <c r="A95" i="204" s="1"/>
  <c r="B42" i="204"/>
  <c r="B96" i="204" s="1"/>
  <c r="A43" i="204"/>
  <c r="A97" i="204" s="1"/>
  <c r="A44" i="204"/>
  <c r="A98" i="204" s="1"/>
  <c r="B45" i="204"/>
  <c r="B99" i="204" s="1"/>
  <c r="A69" i="204"/>
  <c r="A76" i="204"/>
  <c r="B77" i="204"/>
  <c r="A78" i="204"/>
  <c r="B80" i="204"/>
  <c r="A81" i="204"/>
  <c r="A83" i="204"/>
  <c r="A86" i="204"/>
  <c r="I86" i="204"/>
  <c r="C4" i="205"/>
  <c r="A20" i="205"/>
  <c r="A74" i="205" s="1"/>
  <c r="B35" i="205"/>
  <c r="B89" i="205" s="1"/>
  <c r="A36" i="205"/>
  <c r="A90" i="205" s="1"/>
  <c r="B37" i="205"/>
  <c r="B91" i="205" s="1"/>
  <c r="A38" i="205"/>
  <c r="A92" i="205" s="1"/>
  <c r="J38" i="205"/>
  <c r="J92" i="205" s="1"/>
  <c r="J131" i="205" s="1"/>
  <c r="J170" i="205" s="1"/>
  <c r="J209" i="205" s="1"/>
  <c r="A39" i="205"/>
  <c r="A93" i="205" s="1"/>
  <c r="B40" i="205"/>
  <c r="B94" i="205" s="1"/>
  <c r="A41" i="205"/>
  <c r="A95" i="205" s="1"/>
  <c r="B42" i="205"/>
  <c r="B96" i="205" s="1"/>
  <c r="A43" i="205"/>
  <c r="A97" i="205" s="1"/>
  <c r="A44" i="205"/>
  <c r="A98" i="205" s="1"/>
  <c r="B45" i="205"/>
  <c r="B99" i="205" s="1"/>
  <c r="A69" i="205"/>
  <c r="A75" i="205"/>
  <c r="A76" i="205"/>
  <c r="B77" i="205"/>
  <c r="A78" i="205"/>
  <c r="B80" i="205"/>
  <c r="A81" i="205"/>
  <c r="A83" i="205"/>
  <c r="A86" i="205"/>
  <c r="I86" i="205"/>
  <c r="C4" i="206"/>
  <c r="A20" i="206"/>
  <c r="A74" i="206" s="1"/>
  <c r="I34" i="206"/>
  <c r="I88" i="206" s="1"/>
  <c r="A35" i="206"/>
  <c r="A89" i="206" s="1"/>
  <c r="B36" i="206"/>
  <c r="B90" i="206" s="1"/>
  <c r="A37" i="206"/>
  <c r="A91" i="206" s="1"/>
  <c r="B38" i="206"/>
  <c r="B92" i="206" s="1"/>
  <c r="B39" i="206"/>
  <c r="B93" i="206" s="1"/>
  <c r="J39" i="206"/>
  <c r="J93" i="206" s="1"/>
  <c r="J132" i="206" s="1"/>
  <c r="J171" i="206" s="1"/>
  <c r="J210" i="206" s="1"/>
  <c r="A40" i="206"/>
  <c r="A94" i="206" s="1"/>
  <c r="B41" i="206"/>
  <c r="B95" i="206" s="1"/>
  <c r="A42" i="206"/>
  <c r="A96" i="206" s="1"/>
  <c r="B43" i="206"/>
  <c r="B97" i="206" s="1"/>
  <c r="B44" i="206"/>
  <c r="B98" i="206" s="1"/>
  <c r="A45" i="206"/>
  <c r="A99" i="206" s="1"/>
  <c r="A46" i="206"/>
  <c r="A100" i="206" s="1"/>
  <c r="B76" i="206"/>
  <c r="A77" i="206"/>
  <c r="B78" i="206"/>
  <c r="A80" i="206"/>
  <c r="B81" i="206"/>
  <c r="B83" i="206"/>
  <c r="B86" i="206"/>
  <c r="B2" i="207"/>
  <c r="B14" i="207" s="1"/>
  <c r="B66" i="207" s="1"/>
  <c r="A14" i="207"/>
  <c r="I34" i="207"/>
  <c r="I88" i="207" s="1"/>
  <c r="B35" i="207"/>
  <c r="B89" i="207" s="1"/>
  <c r="A36" i="207"/>
  <c r="A90" i="207" s="1"/>
  <c r="B37" i="207"/>
  <c r="B91" i="207" s="1"/>
  <c r="A38" i="207"/>
  <c r="A92" i="207" s="1"/>
  <c r="J38" i="207"/>
  <c r="J92" i="207" s="1"/>
  <c r="J131" i="207" s="1"/>
  <c r="J170" i="207" s="1"/>
  <c r="A39" i="207"/>
  <c r="A93" i="207" s="1"/>
  <c r="B40" i="207"/>
  <c r="B94" i="207" s="1"/>
  <c r="A41" i="207"/>
  <c r="A95" i="207" s="1"/>
  <c r="B42" i="207"/>
  <c r="B96" i="207" s="1"/>
  <c r="A43" i="207"/>
  <c r="A97" i="207" s="1"/>
  <c r="A44" i="207"/>
  <c r="A98" i="207" s="1"/>
  <c r="B45" i="207"/>
  <c r="B99" i="207" s="1"/>
  <c r="A48" i="207"/>
  <c r="A102" i="207" s="1"/>
  <c r="A69" i="207"/>
  <c r="A75" i="207"/>
  <c r="A76" i="207"/>
  <c r="B77" i="207"/>
  <c r="A78" i="207"/>
  <c r="B80" i="207"/>
  <c r="A81" i="207"/>
  <c r="A83" i="207"/>
  <c r="A86" i="207"/>
  <c r="C4" i="208"/>
  <c r="A20" i="208"/>
  <c r="A74" i="208" s="1"/>
  <c r="I34" i="208"/>
  <c r="I88" i="208" s="1"/>
  <c r="A35" i="208"/>
  <c r="A89" i="208" s="1"/>
  <c r="B36" i="208"/>
  <c r="B90" i="208" s="1"/>
  <c r="A37" i="208"/>
  <c r="A91" i="208" s="1"/>
  <c r="A38" i="208"/>
  <c r="A92" i="208" s="1"/>
  <c r="J38" i="208"/>
  <c r="J92" i="208" s="1"/>
  <c r="J131" i="208" s="1"/>
  <c r="J170" i="208" s="1"/>
  <c r="A39" i="208"/>
  <c r="A93" i="208" s="1"/>
  <c r="B40" i="208"/>
  <c r="B94" i="208" s="1"/>
  <c r="A41" i="208"/>
  <c r="A95" i="208" s="1"/>
  <c r="B42" i="208"/>
  <c r="B96" i="208" s="1"/>
  <c r="A43" i="208"/>
  <c r="A97" i="208" s="1"/>
  <c r="A44" i="208"/>
  <c r="A98" i="208" s="1"/>
  <c r="B45" i="208"/>
  <c r="B99" i="208" s="1"/>
  <c r="A75" i="208"/>
  <c r="A78" i="208"/>
  <c r="B80" i="208"/>
  <c r="A81" i="208"/>
  <c r="A83" i="208"/>
  <c r="A86" i="208"/>
  <c r="C4" i="209"/>
  <c r="A20" i="209"/>
  <c r="A74" i="209" s="1"/>
  <c r="I34" i="209"/>
  <c r="I88" i="209" s="1"/>
  <c r="A35" i="209"/>
  <c r="A89" i="209" s="1"/>
  <c r="B36" i="209"/>
  <c r="B90" i="209" s="1"/>
  <c r="A37" i="209"/>
  <c r="A91" i="209" s="1"/>
  <c r="B38" i="209"/>
  <c r="B92" i="209" s="1"/>
  <c r="B39" i="209"/>
  <c r="B93" i="209" s="1"/>
  <c r="J39" i="209"/>
  <c r="J93" i="209" s="1"/>
  <c r="J132" i="209" s="1"/>
  <c r="J171" i="209" s="1"/>
  <c r="A40" i="209"/>
  <c r="A94" i="209" s="1"/>
  <c r="B41" i="209"/>
  <c r="B95" i="209" s="1"/>
  <c r="A42" i="209"/>
  <c r="A96" i="209" s="1"/>
  <c r="B43" i="209"/>
  <c r="B97" i="209" s="1"/>
  <c r="B44" i="209"/>
  <c r="B98" i="209" s="1"/>
  <c r="A45" i="209"/>
  <c r="A99" i="209" s="1"/>
  <c r="A46" i="209"/>
  <c r="A100" i="209" s="1"/>
  <c r="B76" i="209"/>
  <c r="A77" i="209"/>
  <c r="B78" i="209"/>
  <c r="A80" i="209"/>
  <c r="B81" i="209"/>
  <c r="B83" i="209"/>
  <c r="B86" i="209"/>
  <c r="B2" i="210"/>
  <c r="B14" i="210" s="1"/>
  <c r="B66" i="210" s="1"/>
  <c r="B105" i="210" s="1"/>
  <c r="A14" i="210"/>
  <c r="A18" i="210"/>
  <c r="A33" i="210"/>
  <c r="A87" i="210" s="1"/>
  <c r="B35" i="210"/>
  <c r="B89" i="210" s="1"/>
  <c r="A36" i="210"/>
  <c r="A90" i="210" s="1"/>
  <c r="B37" i="210"/>
  <c r="B91" i="210" s="1"/>
  <c r="A38" i="210"/>
  <c r="A92" i="210" s="1"/>
  <c r="J38" i="210"/>
  <c r="J92" i="210" s="1"/>
  <c r="J131" i="210" s="1"/>
  <c r="J170" i="210" s="1"/>
  <c r="A39" i="210"/>
  <c r="A93" i="210" s="1"/>
  <c r="B40" i="210"/>
  <c r="B94" i="210" s="1"/>
  <c r="A41" i="210"/>
  <c r="A95" i="210" s="1"/>
  <c r="B42" i="210"/>
  <c r="B96" i="210" s="1"/>
  <c r="A43" i="210"/>
  <c r="A97" i="210" s="1"/>
  <c r="A44" i="210"/>
  <c r="A98" i="210" s="1"/>
  <c r="B45" i="210"/>
  <c r="B99" i="210" s="1"/>
  <c r="A69" i="210"/>
  <c r="A76" i="210"/>
  <c r="B80" i="210"/>
  <c r="A81" i="210"/>
  <c r="A83" i="210"/>
  <c r="I86" i="210"/>
  <c r="B2" i="211"/>
  <c r="B14" i="211" s="1"/>
  <c r="B66" i="211" s="1"/>
  <c r="B144" i="211" s="1"/>
  <c r="A14" i="211"/>
  <c r="A18" i="211"/>
  <c r="A33" i="211"/>
  <c r="A87" i="211" s="1"/>
  <c r="B35" i="211"/>
  <c r="B89" i="211" s="1"/>
  <c r="A36" i="211"/>
  <c r="A90" i="211" s="1"/>
  <c r="B37" i="211"/>
  <c r="B91" i="211" s="1"/>
  <c r="B38" i="211"/>
  <c r="B92" i="211" s="1"/>
  <c r="B39" i="211"/>
  <c r="B93" i="211" s="1"/>
  <c r="J39" i="211"/>
  <c r="J93" i="211" s="1"/>
  <c r="J132" i="211" s="1"/>
  <c r="J171" i="211" s="1"/>
  <c r="A40" i="211"/>
  <c r="A94" i="211" s="1"/>
  <c r="B41" i="211"/>
  <c r="B95" i="211" s="1"/>
  <c r="A42" i="211"/>
  <c r="A96" i="211" s="1"/>
  <c r="B43" i="211"/>
  <c r="B97" i="211" s="1"/>
  <c r="B44" i="211"/>
  <c r="B98" i="211" s="1"/>
  <c r="A45" i="211"/>
  <c r="A99" i="211" s="1"/>
  <c r="A46" i="211"/>
  <c r="A100" i="211" s="1"/>
  <c r="B86" i="211"/>
  <c r="B2" i="212"/>
  <c r="B14" i="212" s="1"/>
  <c r="B66" i="212" s="1"/>
  <c r="B144" i="212" s="1"/>
  <c r="A14" i="212"/>
  <c r="A66" i="212" s="1"/>
  <c r="A18" i="212"/>
  <c r="I34" i="212"/>
  <c r="I88" i="212" s="1"/>
  <c r="B35" i="212"/>
  <c r="B89" i="212" s="1"/>
  <c r="A36" i="212"/>
  <c r="A90" i="212" s="1"/>
  <c r="B37" i="212"/>
  <c r="B91" i="212" s="1"/>
  <c r="B38" i="212"/>
  <c r="B92" i="212" s="1"/>
  <c r="B39" i="212"/>
  <c r="B93" i="212" s="1"/>
  <c r="J39" i="212"/>
  <c r="J93" i="212" s="1"/>
  <c r="J132" i="212" s="1"/>
  <c r="J171" i="212" s="1"/>
  <c r="A40" i="212"/>
  <c r="A94" i="212" s="1"/>
  <c r="B41" i="212"/>
  <c r="B95" i="212" s="1"/>
  <c r="A42" i="212"/>
  <c r="A96" i="212" s="1"/>
  <c r="B43" i="212"/>
  <c r="B97" i="212" s="1"/>
  <c r="B44" i="212"/>
  <c r="B98" i="212" s="1"/>
  <c r="A45" i="212"/>
  <c r="A99" i="212" s="1"/>
  <c r="A46" i="212"/>
  <c r="A100" i="212" s="1"/>
  <c r="A80" i="212"/>
  <c r="B81" i="212"/>
  <c r="B83" i="212"/>
  <c r="B86" i="212"/>
  <c r="A20" i="213"/>
  <c r="A74" i="213" s="1"/>
  <c r="I34" i="213"/>
  <c r="I88" i="213" s="1"/>
  <c r="A35" i="213"/>
  <c r="A89" i="213" s="1"/>
  <c r="B36" i="213"/>
  <c r="B90" i="213" s="1"/>
  <c r="A37" i="213"/>
  <c r="A91" i="213" s="1"/>
  <c r="A38" i="213"/>
  <c r="A92" i="213" s="1"/>
  <c r="J38" i="213"/>
  <c r="J92" i="213" s="1"/>
  <c r="J131" i="213" s="1"/>
  <c r="J170" i="213" s="1"/>
  <c r="A39" i="213"/>
  <c r="A93" i="213" s="1"/>
  <c r="B40" i="213"/>
  <c r="B94" i="213" s="1"/>
  <c r="A41" i="213"/>
  <c r="A95" i="213" s="1"/>
  <c r="B42" i="213"/>
  <c r="B96" i="213" s="1"/>
  <c r="A43" i="213"/>
  <c r="A97" i="213" s="1"/>
  <c r="A44" i="213"/>
  <c r="A98" i="213" s="1"/>
  <c r="A75" i="213"/>
  <c r="A78" i="213"/>
  <c r="A86" i="213"/>
  <c r="I112" i="213"/>
  <c r="A116" i="213"/>
  <c r="I116" i="213"/>
  <c r="B117" i="213"/>
  <c r="B121" i="213"/>
  <c r="B123" i="213"/>
  <c r="B125" i="213"/>
  <c r="C4" i="214"/>
  <c r="I147" i="214"/>
  <c r="I108" i="214"/>
  <c r="I151" i="214"/>
  <c r="I112" i="214"/>
  <c r="A114" i="214"/>
  <c r="A153" i="214"/>
  <c r="B154" i="214"/>
  <c r="B115" i="214"/>
  <c r="I153" i="214"/>
  <c r="I114" i="214"/>
  <c r="B116" i="214"/>
  <c r="B155" i="214"/>
  <c r="I115" i="214"/>
  <c r="I154" i="214"/>
  <c r="A117" i="214"/>
  <c r="A156" i="214"/>
  <c r="B157" i="214"/>
  <c r="B118" i="214"/>
  <c r="I117" i="214"/>
  <c r="I156" i="214"/>
  <c r="B119" i="214"/>
  <c r="B158" i="214"/>
  <c r="I118" i="214"/>
  <c r="I157" i="214"/>
  <c r="A120" i="214"/>
  <c r="A159" i="214"/>
  <c r="A173" i="214"/>
  <c r="A134" i="214"/>
  <c r="B161" i="214"/>
  <c r="B122" i="214"/>
  <c r="I121" i="214"/>
  <c r="I160" i="214"/>
  <c r="B162" i="214"/>
  <c r="B123" i="214"/>
  <c r="A176" i="214"/>
  <c r="A137" i="214"/>
  <c r="B164" i="214"/>
  <c r="B125" i="214"/>
  <c r="I127" i="214"/>
  <c r="I166" i="214"/>
  <c r="A166" i="214"/>
  <c r="A127" i="214"/>
  <c r="I147" i="215"/>
  <c r="I108" i="215"/>
  <c r="I151" i="215"/>
  <c r="I112" i="215"/>
  <c r="A165" i="215"/>
  <c r="A126" i="215"/>
  <c r="B154" i="215"/>
  <c r="B115" i="215"/>
  <c r="I153" i="215"/>
  <c r="I114" i="215"/>
  <c r="B116" i="215"/>
  <c r="B155" i="215"/>
  <c r="I115" i="215"/>
  <c r="I154" i="215"/>
  <c r="B157" i="215"/>
  <c r="B118" i="215"/>
  <c r="I117" i="215"/>
  <c r="I156" i="215"/>
  <c r="B132" i="215"/>
  <c r="B171" i="215"/>
  <c r="I118" i="215"/>
  <c r="I157" i="215"/>
  <c r="A133" i="215"/>
  <c r="A172" i="215"/>
  <c r="A121" i="215"/>
  <c r="A160" i="215"/>
  <c r="B161" i="215"/>
  <c r="B122" i="215"/>
  <c r="I121" i="215"/>
  <c r="I160" i="215"/>
  <c r="B162" i="215"/>
  <c r="B123" i="215"/>
  <c r="A124" i="215"/>
  <c r="A163" i="215"/>
  <c r="B164" i="215"/>
  <c r="B125" i="215"/>
  <c r="I125" i="215"/>
  <c r="I164" i="215"/>
  <c r="A166" i="215"/>
  <c r="A127" i="215"/>
  <c r="A144" i="217"/>
  <c r="A105" i="217"/>
  <c r="A72" i="217"/>
  <c r="A48" i="217"/>
  <c r="A102" i="217" s="1"/>
  <c r="I150" i="217"/>
  <c r="I111" i="217"/>
  <c r="A167" i="217"/>
  <c r="A128" i="217"/>
  <c r="A155" i="217"/>
  <c r="A116" i="217"/>
  <c r="B156" i="217"/>
  <c r="B117" i="217"/>
  <c r="I155" i="217"/>
  <c r="I116" i="217"/>
  <c r="A157" i="217"/>
  <c r="A118" i="217"/>
  <c r="A158" i="217"/>
  <c r="A119" i="217"/>
  <c r="B159" i="217"/>
  <c r="B120" i="217"/>
  <c r="I158" i="217"/>
  <c r="I119" i="217"/>
  <c r="B160" i="217"/>
  <c r="B121" i="217"/>
  <c r="A135" i="217"/>
  <c r="A174" i="217"/>
  <c r="A162" i="217"/>
  <c r="A123" i="217"/>
  <c r="B163" i="217"/>
  <c r="B124" i="217"/>
  <c r="A177" i="217"/>
  <c r="A138" i="217"/>
  <c r="I212" i="217"/>
  <c r="I250" i="217" s="1"/>
  <c r="I288" i="217" s="1"/>
  <c r="I135" i="217"/>
  <c r="I174" i="217"/>
  <c r="A147" i="218"/>
  <c r="A186" i="218"/>
  <c r="A108" i="218"/>
  <c r="I150" i="218"/>
  <c r="I189" i="218"/>
  <c r="I111" i="218"/>
  <c r="A167" i="218"/>
  <c r="A206" i="218"/>
  <c r="A128" i="218"/>
  <c r="A194" i="218"/>
  <c r="A116" i="218"/>
  <c r="A155" i="218"/>
  <c r="B195" i="218"/>
  <c r="B117" i="218"/>
  <c r="B156" i="218"/>
  <c r="I194" i="218"/>
  <c r="I116" i="218"/>
  <c r="I155" i="218"/>
  <c r="A157" i="218"/>
  <c r="A196" i="218"/>
  <c r="A118" i="218"/>
  <c r="A197" i="218"/>
  <c r="A119" i="218"/>
  <c r="A158" i="218"/>
  <c r="B198" i="218"/>
  <c r="B120" i="218"/>
  <c r="B159" i="218"/>
  <c r="I197" i="218"/>
  <c r="I119" i="218"/>
  <c r="I158" i="218"/>
  <c r="B199" i="218"/>
  <c r="B121" i="218"/>
  <c r="B160" i="218"/>
  <c r="A213" i="218"/>
  <c r="A135" i="218"/>
  <c r="A174" i="218"/>
  <c r="A162" i="218"/>
  <c r="A201" i="218"/>
  <c r="A123" i="218"/>
  <c r="B202" i="218"/>
  <c r="B124" i="218"/>
  <c r="B163" i="218"/>
  <c r="A177" i="218"/>
  <c r="A216" i="218"/>
  <c r="A138" i="218"/>
  <c r="I213" i="218"/>
  <c r="I251" i="218" s="1"/>
  <c r="I289" i="218" s="1"/>
  <c r="I135" i="218"/>
  <c r="I174" i="218"/>
  <c r="A186" i="219"/>
  <c r="A108" i="219"/>
  <c r="A147" i="219"/>
  <c r="I151" i="219"/>
  <c r="I190" i="219"/>
  <c r="I112" i="219"/>
  <c r="A192" i="219"/>
  <c r="A114" i="219"/>
  <c r="A153" i="219"/>
  <c r="B206" i="219"/>
  <c r="B167" i="219"/>
  <c r="B128" i="219"/>
  <c r="I153" i="219"/>
  <c r="I192" i="219"/>
  <c r="I114" i="219"/>
  <c r="B194" i="219"/>
  <c r="B116" i="219"/>
  <c r="B155" i="219"/>
  <c r="I193" i="219"/>
  <c r="I115" i="219"/>
  <c r="I154" i="219"/>
  <c r="A195" i="219"/>
  <c r="A117" i="219"/>
  <c r="A156" i="219"/>
  <c r="B196" i="219"/>
  <c r="B157" i="219"/>
  <c r="B118" i="219"/>
  <c r="I195" i="219"/>
  <c r="I117" i="219"/>
  <c r="I156" i="219"/>
  <c r="B197" i="219"/>
  <c r="B119" i="219"/>
  <c r="B158" i="219"/>
  <c r="I196" i="219"/>
  <c r="I118" i="219"/>
  <c r="I157" i="219"/>
  <c r="A198" i="219"/>
  <c r="A120" i="219"/>
  <c r="A159" i="219"/>
  <c r="A199" i="219"/>
  <c r="A121" i="219"/>
  <c r="A160" i="219"/>
  <c r="B213" i="219"/>
  <c r="B135" i="219"/>
  <c r="B174" i="219"/>
  <c r="I199" i="219"/>
  <c r="I121" i="219"/>
  <c r="I160" i="219"/>
  <c r="B201" i="219"/>
  <c r="B162" i="219"/>
  <c r="B123" i="219"/>
  <c r="A202" i="219"/>
  <c r="A124" i="219"/>
  <c r="A163" i="219"/>
  <c r="B216" i="219"/>
  <c r="B177" i="219"/>
  <c r="B138" i="219"/>
  <c r="I203" i="219"/>
  <c r="I125" i="219"/>
  <c r="I164" i="219"/>
  <c r="A205" i="219"/>
  <c r="A166" i="219"/>
  <c r="A127" i="219"/>
  <c r="C4" i="203"/>
  <c r="N25" i="228"/>
  <c r="A37" i="204"/>
  <c r="A91" i="204" s="1"/>
  <c r="B38" i="204"/>
  <c r="B92" i="204" s="1"/>
  <c r="B41" i="204"/>
  <c r="B95" i="204" s="1"/>
  <c r="B43" i="204"/>
  <c r="B97" i="204" s="1"/>
  <c r="B44" i="204"/>
  <c r="B98" i="204" s="1"/>
  <c r="A46" i="204"/>
  <c r="A100" i="204" s="1"/>
  <c r="B2" i="205"/>
  <c r="B14" i="205" s="1"/>
  <c r="B66" i="205" s="1"/>
  <c r="B144" i="205" s="1"/>
  <c r="A37" i="205"/>
  <c r="A91" i="205" s="1"/>
  <c r="B38" i="205"/>
  <c r="B92" i="205" s="1"/>
  <c r="B41" i="205"/>
  <c r="B95" i="205" s="1"/>
  <c r="B43" i="205"/>
  <c r="B97" i="205" s="1"/>
  <c r="B44" i="205"/>
  <c r="B98" i="205" s="1"/>
  <c r="A46" i="205"/>
  <c r="A100" i="205" s="1"/>
  <c r="B2" i="206"/>
  <c r="B14" i="206" s="1"/>
  <c r="B66" i="206" s="1"/>
  <c r="B105" i="206" s="1"/>
  <c r="A18" i="206"/>
  <c r="A33" i="206"/>
  <c r="A87" i="206" s="1"/>
  <c r="A38" i="206"/>
  <c r="A92" i="206" s="1"/>
  <c r="J38" i="206"/>
  <c r="J92" i="206" s="1"/>
  <c r="J131" i="206" s="1"/>
  <c r="J170" i="206" s="1"/>
  <c r="J209" i="206" s="1"/>
  <c r="A41" i="206"/>
  <c r="A95" i="206" s="1"/>
  <c r="A43" i="206"/>
  <c r="A97" i="206" s="1"/>
  <c r="A44" i="206"/>
  <c r="A98" i="206" s="1"/>
  <c r="A37" i="207"/>
  <c r="A91" i="207" s="1"/>
  <c r="B38" i="207"/>
  <c r="B92" i="207" s="1"/>
  <c r="B41" i="207"/>
  <c r="B95" i="207" s="1"/>
  <c r="B43" i="207"/>
  <c r="B97" i="207" s="1"/>
  <c r="B44" i="207"/>
  <c r="B98" i="207" s="1"/>
  <c r="A46" i="207"/>
  <c r="A100" i="207" s="1"/>
  <c r="B2" i="208"/>
  <c r="B14" i="208" s="1"/>
  <c r="B66" i="208" s="1"/>
  <c r="B105" i="208" s="1"/>
  <c r="B35" i="208"/>
  <c r="B89" i="208" s="1"/>
  <c r="A36" i="208"/>
  <c r="A90" i="208" s="1"/>
  <c r="B37" i="208"/>
  <c r="B91" i="208" s="1"/>
  <c r="B38" i="208"/>
  <c r="B92" i="208" s="1"/>
  <c r="B41" i="208"/>
  <c r="B95" i="208" s="1"/>
  <c r="B43" i="208"/>
  <c r="B97" i="208" s="1"/>
  <c r="B44" i="208"/>
  <c r="B98" i="208" s="1"/>
  <c r="A46" i="208"/>
  <c r="A100" i="208" s="1"/>
  <c r="B2" i="209"/>
  <c r="B14" i="209" s="1"/>
  <c r="B66" i="209" s="1"/>
  <c r="B144" i="209" s="1"/>
  <c r="A18" i="209"/>
  <c r="A33" i="209"/>
  <c r="A87" i="209" s="1"/>
  <c r="A38" i="209"/>
  <c r="A92" i="209" s="1"/>
  <c r="J38" i="209"/>
  <c r="J92" i="209" s="1"/>
  <c r="J131" i="209" s="1"/>
  <c r="J170" i="209" s="1"/>
  <c r="A41" i="209"/>
  <c r="A95" i="209" s="1"/>
  <c r="A43" i="209"/>
  <c r="A97" i="209" s="1"/>
  <c r="A44" i="209"/>
  <c r="A98" i="209" s="1"/>
  <c r="B41" i="210"/>
  <c r="B95" i="210" s="1"/>
  <c r="B43" i="210"/>
  <c r="B97" i="210" s="1"/>
  <c r="A20" i="211"/>
  <c r="A74" i="211" s="1"/>
  <c r="I34" i="211"/>
  <c r="I88" i="211" s="1"/>
  <c r="A35" i="211"/>
  <c r="A89" i="211" s="1"/>
  <c r="A38" i="211"/>
  <c r="A92" i="211" s="1"/>
  <c r="J38" i="211"/>
  <c r="J92" i="211" s="1"/>
  <c r="J131" i="211" s="1"/>
  <c r="J170" i="211" s="1"/>
  <c r="A44" i="211"/>
  <c r="A98" i="211" s="1"/>
  <c r="A20" i="212"/>
  <c r="A74" i="212" s="1"/>
  <c r="A33" i="212"/>
  <c r="A87" i="212" s="1"/>
  <c r="A35" i="212"/>
  <c r="A89" i="212" s="1"/>
  <c r="B36" i="212"/>
  <c r="B90" i="212" s="1"/>
  <c r="A37" i="212"/>
  <c r="A91" i="212" s="1"/>
  <c r="A38" i="212"/>
  <c r="A92" i="212" s="1"/>
  <c r="J38" i="212"/>
  <c r="J92" i="212" s="1"/>
  <c r="J131" i="212" s="1"/>
  <c r="J170" i="212" s="1"/>
  <c r="A41" i="212"/>
  <c r="A95" i="212" s="1"/>
  <c r="A43" i="212"/>
  <c r="A97" i="212" s="1"/>
  <c r="A44" i="212"/>
  <c r="A98" i="212" s="1"/>
  <c r="B35" i="213"/>
  <c r="B89" i="213" s="1"/>
  <c r="B38" i="213"/>
  <c r="B92" i="213" s="1"/>
  <c r="B44" i="213"/>
  <c r="B98" i="213" s="1"/>
  <c r="A46" i="213"/>
  <c r="A100" i="213" s="1"/>
  <c r="C4" i="218"/>
  <c r="C4" i="219"/>
  <c r="A186" i="220"/>
  <c r="A108" i="220"/>
  <c r="A147" i="220"/>
  <c r="I189" i="220"/>
  <c r="I111" i="220"/>
  <c r="I150" i="220"/>
  <c r="A206" i="220"/>
  <c r="A128" i="220"/>
  <c r="A167" i="220"/>
  <c r="A155" i="220"/>
  <c r="A194" i="220"/>
  <c r="A116" i="220"/>
  <c r="B156" i="220"/>
  <c r="B195" i="220"/>
  <c r="B117" i="220"/>
  <c r="I155" i="220"/>
  <c r="I194" i="220"/>
  <c r="I116" i="220"/>
  <c r="A196" i="220"/>
  <c r="A118" i="220"/>
  <c r="A157" i="220"/>
  <c r="A158" i="220"/>
  <c r="A197" i="220"/>
  <c r="A119" i="220"/>
  <c r="B159" i="220"/>
  <c r="B198" i="220"/>
  <c r="B120" i="220"/>
  <c r="I158" i="220"/>
  <c r="I197" i="220"/>
  <c r="I119" i="220"/>
  <c r="B160" i="220"/>
  <c r="B199" i="220"/>
  <c r="B121" i="220"/>
  <c r="A174" i="220"/>
  <c r="A213" i="220"/>
  <c r="A135" i="220"/>
  <c r="A201" i="220"/>
  <c r="A123" i="220"/>
  <c r="A162" i="220"/>
  <c r="B163" i="220"/>
  <c r="B202" i="220"/>
  <c r="B124" i="220"/>
  <c r="A216" i="220"/>
  <c r="A138" i="220"/>
  <c r="A177" i="220"/>
  <c r="I174" i="220"/>
  <c r="I213" i="220"/>
  <c r="I251" i="220" s="1"/>
  <c r="I289" i="220" s="1"/>
  <c r="I135" i="220"/>
  <c r="I147" i="222"/>
  <c r="I108" i="222"/>
  <c r="I111" i="222"/>
  <c r="I150" i="222"/>
  <c r="A115" i="222"/>
  <c r="A154" i="222"/>
  <c r="A155" i="222"/>
  <c r="A116" i="222"/>
  <c r="B156" i="222"/>
  <c r="B117" i="222"/>
  <c r="I155" i="222"/>
  <c r="I116" i="222"/>
  <c r="A118" i="222"/>
  <c r="A157" i="222"/>
  <c r="A171" i="222"/>
  <c r="A132" i="222"/>
  <c r="B172" i="222"/>
  <c r="B133" i="222"/>
  <c r="I158" i="222"/>
  <c r="I119" i="222"/>
  <c r="B160" i="222"/>
  <c r="B121" i="222"/>
  <c r="A122" i="222"/>
  <c r="A161" i="222"/>
  <c r="A123" i="222"/>
  <c r="A162" i="222"/>
  <c r="B163" i="222"/>
  <c r="B124" i="222"/>
  <c r="A125" i="222"/>
  <c r="A164" i="222"/>
  <c r="I174" i="222"/>
  <c r="I212" i="222"/>
  <c r="I250" i="222" s="1"/>
  <c r="I288" i="222" s="1"/>
  <c r="I135" i="222"/>
  <c r="A105" i="223"/>
  <c r="A144" i="223"/>
  <c r="I147" i="223"/>
  <c r="I108" i="223"/>
  <c r="A180" i="223"/>
  <c r="A141" i="223"/>
  <c r="I111" i="223"/>
  <c r="I150" i="223"/>
  <c r="A115" i="223"/>
  <c r="A154" i="223"/>
  <c r="A118" i="223"/>
  <c r="A157" i="223"/>
  <c r="A158" i="223"/>
  <c r="A119" i="223"/>
  <c r="B159" i="223"/>
  <c r="B120" i="223"/>
  <c r="I158" i="223"/>
  <c r="I119" i="223"/>
  <c r="A122" i="223"/>
  <c r="A161" i="223"/>
  <c r="A123" i="223"/>
  <c r="A162" i="223"/>
  <c r="B163" i="223"/>
  <c r="B124" i="223"/>
  <c r="A138" i="223"/>
  <c r="A177" i="223"/>
  <c r="B132" i="223"/>
  <c r="B171" i="223"/>
  <c r="A144" i="224"/>
  <c r="A105" i="224"/>
  <c r="A141" i="224"/>
  <c r="A180" i="224"/>
  <c r="I150" i="224"/>
  <c r="I111" i="224"/>
  <c r="A154" i="224"/>
  <c r="A115" i="224"/>
  <c r="A157" i="224"/>
  <c r="A118" i="224"/>
  <c r="A158" i="224"/>
  <c r="A119" i="224"/>
  <c r="B159" i="224"/>
  <c r="B120" i="224"/>
  <c r="I158" i="224"/>
  <c r="I119" i="224"/>
  <c r="A161" i="224"/>
  <c r="A122" i="224"/>
  <c r="A162" i="224"/>
  <c r="A123" i="224"/>
  <c r="A164" i="224"/>
  <c r="A125" i="224"/>
  <c r="B171" i="224"/>
  <c r="B132" i="224"/>
  <c r="I212" i="224"/>
  <c r="I250" i="224" s="1"/>
  <c r="I288" i="224" s="1"/>
  <c r="I135" i="224"/>
  <c r="I174" i="224"/>
  <c r="I151" i="216"/>
  <c r="I112" i="216"/>
  <c r="A114" i="216"/>
  <c r="A153" i="216"/>
  <c r="B167" i="216"/>
  <c r="B128" i="216"/>
  <c r="B116" i="216"/>
  <c r="B155" i="216"/>
  <c r="I115" i="216"/>
  <c r="I154" i="216"/>
  <c r="A117" i="216"/>
  <c r="A156" i="216"/>
  <c r="I117" i="216"/>
  <c r="I156" i="216"/>
  <c r="B132" i="216"/>
  <c r="B171" i="216"/>
  <c r="I118" i="216"/>
  <c r="I157" i="216"/>
  <c r="A133" i="216"/>
  <c r="A172" i="216"/>
  <c r="A121" i="216"/>
  <c r="A160" i="216"/>
  <c r="B135" i="216"/>
  <c r="B174" i="216"/>
  <c r="I121" i="216"/>
  <c r="I160" i="216"/>
  <c r="B162" i="216"/>
  <c r="B123" i="216"/>
  <c r="A124" i="216"/>
  <c r="A163" i="216"/>
  <c r="B164" i="216"/>
  <c r="B125" i="216"/>
  <c r="I127" i="216"/>
  <c r="I166" i="216"/>
  <c r="A130" i="216"/>
  <c r="A169" i="216"/>
  <c r="B131" i="216"/>
  <c r="B170" i="216"/>
  <c r="B176" i="216"/>
  <c r="B137" i="216"/>
  <c r="A113" i="225"/>
  <c r="A152" i="225"/>
  <c r="B2" i="214"/>
  <c r="B14" i="214" s="1"/>
  <c r="B66" i="214" s="1"/>
  <c r="B144" i="214" s="1"/>
  <c r="A14" i="214"/>
  <c r="A18" i="214"/>
  <c r="A33" i="214"/>
  <c r="A87" i="214" s="1"/>
  <c r="A35" i="214"/>
  <c r="A89" i="214" s="1"/>
  <c r="B36" i="214"/>
  <c r="B90" i="214" s="1"/>
  <c r="A37" i="214"/>
  <c r="A91" i="214" s="1"/>
  <c r="B38" i="214"/>
  <c r="B92" i="214" s="1"/>
  <c r="B39" i="214"/>
  <c r="B93" i="214" s="1"/>
  <c r="J39" i="214"/>
  <c r="J93" i="214" s="1"/>
  <c r="J132" i="214" s="1"/>
  <c r="J171" i="214" s="1"/>
  <c r="A40" i="214"/>
  <c r="A94" i="214" s="1"/>
  <c r="B41" i="214"/>
  <c r="B95" i="214" s="1"/>
  <c r="A42" i="214"/>
  <c r="A96" i="214" s="1"/>
  <c r="B43" i="214"/>
  <c r="B97" i="214" s="1"/>
  <c r="B44" i="214"/>
  <c r="B98" i="214" s="1"/>
  <c r="A45" i="214"/>
  <c r="A99" i="214" s="1"/>
  <c r="A69" i="214"/>
  <c r="A79" i="214"/>
  <c r="A82" i="214"/>
  <c r="A83" i="214"/>
  <c r="A84" i="214"/>
  <c r="A85" i="214"/>
  <c r="I86" i="214"/>
  <c r="C4" i="215"/>
  <c r="A20" i="215"/>
  <c r="A74" i="215" s="1"/>
  <c r="I34" i="215"/>
  <c r="I88" i="215" s="1"/>
  <c r="A35" i="215"/>
  <c r="A89" i="215" s="1"/>
  <c r="B36" i="215"/>
  <c r="B90" i="215" s="1"/>
  <c r="A37" i="215"/>
  <c r="A91" i="215" s="1"/>
  <c r="A38" i="215"/>
  <c r="A92" i="215" s="1"/>
  <c r="J38" i="215"/>
  <c r="J92" i="215" s="1"/>
  <c r="J131" i="215" s="1"/>
  <c r="J170" i="215" s="1"/>
  <c r="A39" i="215"/>
  <c r="A93" i="215" s="1"/>
  <c r="B40" i="215"/>
  <c r="B94" i="215" s="1"/>
  <c r="A41" i="215"/>
  <c r="A95" i="215" s="1"/>
  <c r="B42" i="215"/>
  <c r="B96" i="215" s="1"/>
  <c r="A43" i="215"/>
  <c r="A97" i="215" s="1"/>
  <c r="A44" i="215"/>
  <c r="A98" i="215" s="1"/>
  <c r="B45" i="215"/>
  <c r="B99" i="215" s="1"/>
  <c r="A69" i="215"/>
  <c r="A75" i="215"/>
  <c r="A78" i="215"/>
  <c r="B80" i="215"/>
  <c r="A81" i="215"/>
  <c r="A83" i="215"/>
  <c r="A86" i="215"/>
  <c r="C4" i="217"/>
  <c r="A20" i="217"/>
  <c r="A74" i="217" s="1"/>
  <c r="I34" i="217"/>
  <c r="I88" i="217" s="1"/>
  <c r="B35" i="217"/>
  <c r="B89" i="217" s="1"/>
  <c r="A36" i="217"/>
  <c r="A90" i="217" s="1"/>
  <c r="B37" i="217"/>
  <c r="B91" i="217" s="1"/>
  <c r="A38" i="217"/>
  <c r="A92" i="217" s="1"/>
  <c r="J38" i="217"/>
  <c r="J92" i="217" s="1"/>
  <c r="J131" i="217" s="1"/>
  <c r="J170" i="217" s="1"/>
  <c r="A39" i="217"/>
  <c r="A93" i="217" s="1"/>
  <c r="B40" i="217"/>
  <c r="B94" i="217" s="1"/>
  <c r="A41" i="217"/>
  <c r="A95" i="217" s="1"/>
  <c r="B42" i="217"/>
  <c r="B96" i="217" s="1"/>
  <c r="A43" i="217"/>
  <c r="A97" i="217" s="1"/>
  <c r="A44" i="217"/>
  <c r="A98" i="217" s="1"/>
  <c r="B45" i="217"/>
  <c r="B99" i="217" s="1"/>
  <c r="A69" i="217"/>
  <c r="A75" i="217"/>
  <c r="A76" i="217"/>
  <c r="B77" i="217"/>
  <c r="A78" i="217"/>
  <c r="B80" i="217"/>
  <c r="A81" i="217"/>
  <c r="A83" i="217"/>
  <c r="A86" i="217"/>
  <c r="B2" i="218"/>
  <c r="B14" i="218" s="1"/>
  <c r="B66" i="218" s="1"/>
  <c r="B105" i="218" s="1"/>
  <c r="A14" i="218"/>
  <c r="A18" i="218"/>
  <c r="A20" i="218"/>
  <c r="A74" i="218" s="1"/>
  <c r="I34" i="218"/>
  <c r="I88" i="218" s="1"/>
  <c r="B35" i="218"/>
  <c r="B89" i="218" s="1"/>
  <c r="A36" i="218"/>
  <c r="A90" i="218" s="1"/>
  <c r="B37" i="218"/>
  <c r="B91" i="218" s="1"/>
  <c r="A38" i="218"/>
  <c r="A92" i="218" s="1"/>
  <c r="J38" i="218"/>
  <c r="J92" i="218" s="1"/>
  <c r="J131" i="218" s="1"/>
  <c r="J170" i="218" s="1"/>
  <c r="J209" i="218" s="1"/>
  <c r="A39" i="218"/>
  <c r="A93" i="218" s="1"/>
  <c r="B40" i="218"/>
  <c r="B94" i="218" s="1"/>
  <c r="A41" i="218"/>
  <c r="A95" i="218" s="1"/>
  <c r="B42" i="218"/>
  <c r="B96" i="218" s="1"/>
  <c r="A43" i="218"/>
  <c r="A97" i="218" s="1"/>
  <c r="A44" i="218"/>
  <c r="A98" i="218" s="1"/>
  <c r="B45" i="218"/>
  <c r="B99" i="218" s="1"/>
  <c r="A75" i="218"/>
  <c r="A76" i="218"/>
  <c r="B77" i="218"/>
  <c r="A78" i="218"/>
  <c r="B80" i="218"/>
  <c r="A81" i="218"/>
  <c r="A83" i="218"/>
  <c r="A86" i="218"/>
  <c r="B2" i="219"/>
  <c r="B14" i="219" s="1"/>
  <c r="B66" i="219" s="1"/>
  <c r="B183" i="219" s="1"/>
  <c r="A14" i="219"/>
  <c r="A33" i="219"/>
  <c r="A87" i="219" s="1"/>
  <c r="A35" i="219"/>
  <c r="A89" i="219" s="1"/>
  <c r="B36" i="219"/>
  <c r="B90" i="219" s="1"/>
  <c r="A37" i="219"/>
  <c r="A91" i="219" s="1"/>
  <c r="B38" i="219"/>
  <c r="B92" i="219" s="1"/>
  <c r="B39" i="219"/>
  <c r="B93" i="219" s="1"/>
  <c r="J39" i="219"/>
  <c r="J93" i="219" s="1"/>
  <c r="J132" i="219" s="1"/>
  <c r="J171" i="219" s="1"/>
  <c r="J210" i="219" s="1"/>
  <c r="A40" i="219"/>
  <c r="A94" i="219" s="1"/>
  <c r="B41" i="219"/>
  <c r="B95" i="219" s="1"/>
  <c r="A42" i="219"/>
  <c r="A96" i="219" s="1"/>
  <c r="B43" i="219"/>
  <c r="B97" i="219" s="1"/>
  <c r="B44" i="219"/>
  <c r="B98" i="219" s="1"/>
  <c r="A45" i="219"/>
  <c r="A99" i="219" s="1"/>
  <c r="A46" i="219"/>
  <c r="A100" i="219" s="1"/>
  <c r="B76" i="219"/>
  <c r="A77" i="219"/>
  <c r="B78" i="219"/>
  <c r="A80" i="219"/>
  <c r="B81" i="219"/>
  <c r="B83" i="219"/>
  <c r="B86" i="219"/>
  <c r="C4" i="220"/>
  <c r="C4" i="222"/>
  <c r="C4" i="223"/>
  <c r="C4" i="224"/>
  <c r="I147" i="220"/>
  <c r="I186" i="220"/>
  <c r="I108" i="220"/>
  <c r="I151" i="220"/>
  <c r="I190" i="220"/>
  <c r="I112" i="220"/>
  <c r="A192" i="220"/>
  <c r="A114" i="220"/>
  <c r="A153" i="220"/>
  <c r="B154" i="220"/>
  <c r="B193" i="220"/>
  <c r="B115" i="220"/>
  <c r="I153" i="220"/>
  <c r="I192" i="220"/>
  <c r="I114" i="220"/>
  <c r="B168" i="220"/>
  <c r="B207" i="220"/>
  <c r="B129" i="220"/>
  <c r="I193" i="220"/>
  <c r="I115" i="220"/>
  <c r="I154" i="220"/>
  <c r="B157" i="220"/>
  <c r="B196" i="220"/>
  <c r="B118" i="220"/>
  <c r="I195" i="220"/>
  <c r="I117" i="220"/>
  <c r="I156" i="220"/>
  <c r="B210" i="220"/>
  <c r="B132" i="220"/>
  <c r="B171" i="220"/>
  <c r="I196" i="220"/>
  <c r="I118" i="220"/>
  <c r="I157" i="220"/>
  <c r="A211" i="220"/>
  <c r="A133" i="220"/>
  <c r="A172" i="220"/>
  <c r="A199" i="220"/>
  <c r="A121" i="220"/>
  <c r="A160" i="220"/>
  <c r="B161" i="220"/>
  <c r="B200" i="220"/>
  <c r="B122" i="220"/>
  <c r="I199" i="220"/>
  <c r="I121" i="220"/>
  <c r="I160" i="220"/>
  <c r="B162" i="220"/>
  <c r="B201" i="220"/>
  <c r="B123" i="220"/>
  <c r="A202" i="220"/>
  <c r="A124" i="220"/>
  <c r="A163" i="220"/>
  <c r="B164" i="220"/>
  <c r="B203" i="220"/>
  <c r="B125" i="220"/>
  <c r="I205" i="220"/>
  <c r="I127" i="220"/>
  <c r="I166" i="220"/>
  <c r="A166" i="220"/>
  <c r="A205" i="220"/>
  <c r="A127" i="220"/>
  <c r="A108" i="222"/>
  <c r="A147" i="222"/>
  <c r="I151" i="222"/>
  <c r="I112" i="222"/>
  <c r="A114" i="222"/>
  <c r="A153" i="222"/>
  <c r="B167" i="222"/>
  <c r="B128" i="222"/>
  <c r="I153" i="222"/>
  <c r="I114" i="222"/>
  <c r="B116" i="222"/>
  <c r="B155" i="222"/>
  <c r="I115" i="222"/>
  <c r="I154" i="222"/>
  <c r="A117" i="222"/>
  <c r="A156" i="222"/>
  <c r="B157" i="222"/>
  <c r="B118" i="222"/>
  <c r="I117" i="222"/>
  <c r="I156" i="222"/>
  <c r="B119" i="222"/>
  <c r="B158" i="222"/>
  <c r="I118" i="222"/>
  <c r="I157" i="222"/>
  <c r="A120" i="222"/>
  <c r="A159" i="222"/>
  <c r="A121" i="222"/>
  <c r="A160" i="222"/>
  <c r="B135" i="222"/>
  <c r="B174" i="222"/>
  <c r="I121" i="222"/>
  <c r="I160" i="222"/>
  <c r="B162" i="222"/>
  <c r="B123" i="222"/>
  <c r="A124" i="222"/>
  <c r="A163" i="222"/>
  <c r="B164" i="222"/>
  <c r="B125" i="222"/>
  <c r="I125" i="222"/>
  <c r="I164" i="222"/>
  <c r="A178" i="222"/>
  <c r="A139" i="222"/>
  <c r="B169" i="222"/>
  <c r="B130" i="222"/>
  <c r="A170" i="222"/>
  <c r="A131" i="222"/>
  <c r="A137" i="222"/>
  <c r="A176" i="222"/>
  <c r="A108" i="223"/>
  <c r="A147" i="223"/>
  <c r="A165" i="223"/>
  <c r="A126" i="223"/>
  <c r="B154" i="223"/>
  <c r="B115" i="223"/>
  <c r="I153" i="223"/>
  <c r="I114" i="223"/>
  <c r="B116" i="223"/>
  <c r="B155" i="223"/>
  <c r="I115" i="223"/>
  <c r="I154" i="223"/>
  <c r="B157" i="223"/>
  <c r="B118" i="223"/>
  <c r="I117" i="223"/>
  <c r="I156" i="223"/>
  <c r="B119" i="223"/>
  <c r="B158" i="223"/>
  <c r="I118" i="223"/>
  <c r="I157" i="223"/>
  <c r="A120" i="223"/>
  <c r="A159" i="223"/>
  <c r="A121" i="223"/>
  <c r="A160" i="223"/>
  <c r="B161" i="223"/>
  <c r="B122" i="223"/>
  <c r="I121" i="223"/>
  <c r="I160" i="223"/>
  <c r="A124" i="223"/>
  <c r="A163" i="223"/>
  <c r="B177" i="223"/>
  <c r="B138" i="223"/>
  <c r="I125" i="223"/>
  <c r="I164" i="223"/>
  <c r="A166" i="223"/>
  <c r="A127" i="223"/>
  <c r="A129" i="223"/>
  <c r="A168" i="223"/>
  <c r="B169" i="223"/>
  <c r="B130" i="223"/>
  <c r="A133" i="223"/>
  <c r="A172" i="223"/>
  <c r="B134" i="223"/>
  <c r="B173" i="223"/>
  <c r="A135" i="223"/>
  <c r="B175" i="223"/>
  <c r="B136" i="223"/>
  <c r="I174" i="223"/>
  <c r="I212" i="223"/>
  <c r="I250" i="223" s="1"/>
  <c r="I288" i="223" s="1"/>
  <c r="I135" i="223"/>
  <c r="A147" i="224"/>
  <c r="A108" i="224"/>
  <c r="A153" i="224"/>
  <c r="A114" i="224"/>
  <c r="B154" i="224"/>
  <c r="B115" i="224"/>
  <c r="I153" i="224"/>
  <c r="I114" i="224"/>
  <c r="B155" i="224"/>
  <c r="B116" i="224"/>
  <c r="I154" i="224"/>
  <c r="I115" i="224"/>
  <c r="B157" i="224"/>
  <c r="B118" i="224"/>
  <c r="I156" i="224"/>
  <c r="I117" i="224"/>
  <c r="B158" i="224"/>
  <c r="B119" i="224"/>
  <c r="I157" i="224"/>
  <c r="I118" i="224"/>
  <c r="A159" i="224"/>
  <c r="A120" i="224"/>
  <c r="A160" i="224"/>
  <c r="A121" i="224"/>
  <c r="B161" i="224"/>
  <c r="B122" i="224"/>
  <c r="I160" i="224"/>
  <c r="I121" i="224"/>
  <c r="B162" i="224"/>
  <c r="B123" i="224"/>
  <c r="A163" i="224"/>
  <c r="A124" i="224"/>
  <c r="B164" i="224"/>
  <c r="B125" i="224"/>
  <c r="I166" i="224"/>
  <c r="I127" i="224"/>
  <c r="A139" i="224"/>
  <c r="A178" i="224"/>
  <c r="A168" i="224"/>
  <c r="A129" i="224"/>
  <c r="B169" i="224"/>
  <c r="B130" i="224"/>
  <c r="A172" i="224"/>
  <c r="A133" i="224"/>
  <c r="B173" i="224"/>
  <c r="B134" i="224"/>
  <c r="A135" i="224"/>
  <c r="B137" i="224"/>
  <c r="B176" i="224"/>
  <c r="A177" i="224"/>
  <c r="A138" i="224"/>
  <c r="A152" i="216"/>
  <c r="A113" i="216"/>
  <c r="I111" i="216"/>
  <c r="I150" i="216"/>
  <c r="A128" i="216"/>
  <c r="A167" i="216"/>
  <c r="A155" i="216"/>
  <c r="A116" i="216"/>
  <c r="B156" i="216"/>
  <c r="B117" i="216"/>
  <c r="I155" i="216"/>
  <c r="I116" i="216"/>
  <c r="A118" i="216"/>
  <c r="A157" i="216"/>
  <c r="A171" i="216"/>
  <c r="A132" i="216"/>
  <c r="B172" i="216"/>
  <c r="B133" i="216"/>
  <c r="B160" i="216"/>
  <c r="B121" i="216"/>
  <c r="A174" i="216"/>
  <c r="A135" i="216"/>
  <c r="A123" i="216"/>
  <c r="A162" i="216"/>
  <c r="A125" i="216"/>
  <c r="A164" i="216"/>
  <c r="I174" i="216"/>
  <c r="I212" i="216"/>
  <c r="I250" i="216" s="1"/>
  <c r="I288" i="216" s="1"/>
  <c r="I135" i="216"/>
  <c r="A178" i="216"/>
  <c r="A139" i="216"/>
  <c r="B35" i="214"/>
  <c r="B89" i="214" s="1"/>
  <c r="A36" i="214"/>
  <c r="A90" i="214" s="1"/>
  <c r="B37" i="214"/>
  <c r="B91" i="214" s="1"/>
  <c r="A39" i="214"/>
  <c r="A93" i="214" s="1"/>
  <c r="B40" i="214"/>
  <c r="B94" i="214" s="1"/>
  <c r="B42" i="214"/>
  <c r="B96" i="214" s="1"/>
  <c r="B45" i="214"/>
  <c r="B99" i="214" s="1"/>
  <c r="A46" i="214"/>
  <c r="A100" i="214" s="1"/>
  <c r="B2" i="215"/>
  <c r="B14" i="215" s="1"/>
  <c r="B66" i="215" s="1"/>
  <c r="B105" i="215" s="1"/>
  <c r="B35" i="215"/>
  <c r="B89" i="215" s="1"/>
  <c r="A36" i="215"/>
  <c r="A90" i="215" s="1"/>
  <c r="B37" i="215"/>
  <c r="B91" i="215" s="1"/>
  <c r="B38" i="215"/>
  <c r="B92" i="215" s="1"/>
  <c r="B41" i="215"/>
  <c r="B95" i="215" s="1"/>
  <c r="B43" i="215"/>
  <c r="B97" i="215" s="1"/>
  <c r="B44" i="215"/>
  <c r="B98" i="215" s="1"/>
  <c r="A46" i="215"/>
  <c r="A100" i="215" s="1"/>
  <c r="B2" i="217"/>
  <c r="B14" i="217" s="1"/>
  <c r="B66" i="217" s="1"/>
  <c r="B144" i="217" s="1"/>
  <c r="A37" i="217"/>
  <c r="A91" i="217" s="1"/>
  <c r="B38" i="217"/>
  <c r="B92" i="217" s="1"/>
  <c r="B41" i="217"/>
  <c r="B95" i="217" s="1"/>
  <c r="B43" i="217"/>
  <c r="B97" i="217" s="1"/>
  <c r="B44" i="217"/>
  <c r="B98" i="217" s="1"/>
  <c r="A46" i="217"/>
  <c r="A100" i="217" s="1"/>
  <c r="A37" i="218"/>
  <c r="A91" i="218" s="1"/>
  <c r="B38" i="218"/>
  <c r="B92" i="218" s="1"/>
  <c r="B41" i="218"/>
  <c r="B95" i="218" s="1"/>
  <c r="B43" i="218"/>
  <c r="B97" i="218" s="1"/>
  <c r="B44" i="218"/>
  <c r="B98" i="218" s="1"/>
  <c r="A46" i="218"/>
  <c r="A100" i="218" s="1"/>
  <c r="A20" i="219"/>
  <c r="A74" i="219" s="1"/>
  <c r="I34" i="219"/>
  <c r="I88" i="219" s="1"/>
  <c r="A38" i="219"/>
  <c r="A92" i="219" s="1"/>
  <c r="J38" i="219"/>
  <c r="J92" i="219" s="1"/>
  <c r="J131" i="219" s="1"/>
  <c r="J170" i="219" s="1"/>
  <c r="J209" i="219" s="1"/>
  <c r="A41" i="219"/>
  <c r="A95" i="219" s="1"/>
  <c r="A43" i="219"/>
  <c r="A97" i="219" s="1"/>
  <c r="A44" i="219"/>
  <c r="A98" i="219" s="1"/>
  <c r="A48" i="219"/>
  <c r="A102" i="219" s="1"/>
  <c r="C4" i="216"/>
  <c r="A66" i="225"/>
  <c r="I108" i="225"/>
  <c r="I147" i="225"/>
  <c r="I112" i="225"/>
  <c r="I151" i="225"/>
  <c r="A76" i="225"/>
  <c r="A35" i="225"/>
  <c r="A89" i="225" s="1"/>
  <c r="A116" i="225"/>
  <c r="A155" i="225"/>
  <c r="B117" i="225"/>
  <c r="B156" i="225"/>
  <c r="I116" i="225"/>
  <c r="I155" i="225"/>
  <c r="A157" i="225"/>
  <c r="A118" i="225"/>
  <c r="A132" i="225"/>
  <c r="A171" i="225"/>
  <c r="B133" i="225"/>
  <c r="B172" i="225"/>
  <c r="I119" i="225"/>
  <c r="I158" i="225"/>
  <c r="B121" i="225"/>
  <c r="B160" i="225"/>
  <c r="A161" i="225"/>
  <c r="A122" i="225"/>
  <c r="A162" i="225"/>
  <c r="A123" i="225"/>
  <c r="B124" i="225"/>
  <c r="B163" i="225"/>
  <c r="A164" i="225"/>
  <c r="A125" i="225"/>
  <c r="I212" i="225"/>
  <c r="I250" i="225" s="1"/>
  <c r="I288" i="225" s="1"/>
  <c r="I135" i="225"/>
  <c r="I174" i="225"/>
  <c r="B2" i="220"/>
  <c r="B14" i="220" s="1"/>
  <c r="B66" i="220" s="1"/>
  <c r="B183" i="220" s="1"/>
  <c r="A14" i="220"/>
  <c r="A18" i="220"/>
  <c r="A20" i="220"/>
  <c r="A74" i="220" s="1"/>
  <c r="A33" i="220"/>
  <c r="A87" i="220" s="1"/>
  <c r="B35" i="220"/>
  <c r="B89" i="220" s="1"/>
  <c r="A36" i="220"/>
  <c r="A90" i="220" s="1"/>
  <c r="B37" i="220"/>
  <c r="B91" i="220" s="1"/>
  <c r="A38" i="220"/>
  <c r="A92" i="220" s="1"/>
  <c r="J38" i="220"/>
  <c r="J92" i="220" s="1"/>
  <c r="J131" i="220" s="1"/>
  <c r="J170" i="220" s="1"/>
  <c r="J209" i="220" s="1"/>
  <c r="A39" i="220"/>
  <c r="A93" i="220" s="1"/>
  <c r="B40" i="220"/>
  <c r="B94" i="220" s="1"/>
  <c r="A41" i="220"/>
  <c r="A95" i="220" s="1"/>
  <c r="B42" i="220"/>
  <c r="B96" i="220" s="1"/>
  <c r="A43" i="220"/>
  <c r="A97" i="220" s="1"/>
  <c r="A44" i="220"/>
  <c r="A98" i="220" s="1"/>
  <c r="B45" i="220"/>
  <c r="B99" i="220" s="1"/>
  <c r="A76" i="220"/>
  <c r="B77" i="220"/>
  <c r="A78" i="220"/>
  <c r="B80" i="220"/>
  <c r="A81" i="220"/>
  <c r="A83" i="220"/>
  <c r="A86" i="220"/>
  <c r="I86" i="220"/>
  <c r="A20" i="222"/>
  <c r="A74" i="222" s="1"/>
  <c r="I34" i="222"/>
  <c r="I88" i="222" s="1"/>
  <c r="A35" i="222"/>
  <c r="A89" i="222" s="1"/>
  <c r="B36" i="222"/>
  <c r="B90" i="222" s="1"/>
  <c r="A37" i="222"/>
  <c r="A91" i="222" s="1"/>
  <c r="B38" i="222"/>
  <c r="B92" i="222" s="1"/>
  <c r="B39" i="222"/>
  <c r="B93" i="222" s="1"/>
  <c r="J39" i="222"/>
  <c r="J93" i="222" s="1"/>
  <c r="J132" i="222" s="1"/>
  <c r="J171" i="222" s="1"/>
  <c r="A40" i="222"/>
  <c r="A94" i="222" s="1"/>
  <c r="B41" i="222"/>
  <c r="B95" i="222" s="1"/>
  <c r="A42" i="222"/>
  <c r="A96" i="222" s="1"/>
  <c r="B43" i="222"/>
  <c r="B97" i="222" s="1"/>
  <c r="B44" i="222"/>
  <c r="B98" i="222" s="1"/>
  <c r="A45" i="222"/>
  <c r="A99" i="222" s="1"/>
  <c r="B76" i="222"/>
  <c r="A80" i="222"/>
  <c r="B81" i="222"/>
  <c r="B83" i="222"/>
  <c r="A88" i="222"/>
  <c r="A20" i="223"/>
  <c r="A74" i="223" s="1"/>
  <c r="I34" i="223"/>
  <c r="I88" i="223" s="1"/>
  <c r="A35" i="223"/>
  <c r="A89" i="223" s="1"/>
  <c r="B36" i="223"/>
  <c r="B90" i="223" s="1"/>
  <c r="A37" i="223"/>
  <c r="A91" i="223" s="1"/>
  <c r="A38" i="223"/>
  <c r="A92" i="223" s="1"/>
  <c r="J38" i="223"/>
  <c r="J92" i="223" s="1"/>
  <c r="J131" i="223" s="1"/>
  <c r="J170" i="223" s="1"/>
  <c r="A39" i="223"/>
  <c r="A93" i="223" s="1"/>
  <c r="B40" i="223"/>
  <c r="B94" i="223" s="1"/>
  <c r="A41" i="223"/>
  <c r="A95" i="223" s="1"/>
  <c r="B42" i="223"/>
  <c r="B96" i="223" s="1"/>
  <c r="A43" i="223"/>
  <c r="A97" i="223" s="1"/>
  <c r="A44" i="223"/>
  <c r="A98" i="223" s="1"/>
  <c r="A72" i="223"/>
  <c r="A75" i="223"/>
  <c r="A78" i="223"/>
  <c r="A86" i="223"/>
  <c r="I112" i="223"/>
  <c r="A116" i="223"/>
  <c r="I116" i="223"/>
  <c r="B117" i="223"/>
  <c r="B121" i="223"/>
  <c r="B123" i="223"/>
  <c r="B125" i="223"/>
  <c r="A20" i="224"/>
  <c r="A74" i="224" s="1"/>
  <c r="A33" i="224"/>
  <c r="A87" i="224" s="1"/>
  <c r="A35" i="224"/>
  <c r="A89" i="224" s="1"/>
  <c r="B36" i="224"/>
  <c r="B90" i="224" s="1"/>
  <c r="A37" i="224"/>
  <c r="A91" i="224" s="1"/>
  <c r="A38" i="224"/>
  <c r="A92" i="224" s="1"/>
  <c r="J38" i="224"/>
  <c r="J92" i="224" s="1"/>
  <c r="J131" i="224" s="1"/>
  <c r="J170" i="224" s="1"/>
  <c r="A39" i="224"/>
  <c r="A93" i="224" s="1"/>
  <c r="B40" i="224"/>
  <c r="B94" i="224" s="1"/>
  <c r="A41" i="224"/>
  <c r="A95" i="224" s="1"/>
  <c r="B42" i="224"/>
  <c r="B96" i="224" s="1"/>
  <c r="A43" i="224"/>
  <c r="A97" i="224" s="1"/>
  <c r="A44" i="224"/>
  <c r="A98" i="224" s="1"/>
  <c r="B45" i="224"/>
  <c r="B99" i="224" s="1"/>
  <c r="A72" i="224"/>
  <c r="A78" i="224"/>
  <c r="I86" i="224"/>
  <c r="I112" i="224"/>
  <c r="I116" i="224"/>
  <c r="B117" i="224"/>
  <c r="B121" i="224"/>
  <c r="B124" i="224"/>
  <c r="A127" i="224"/>
  <c r="B2" i="216"/>
  <c r="B14" i="216" s="1"/>
  <c r="B66" i="216" s="1"/>
  <c r="B105" i="216" s="1"/>
  <c r="A14" i="216"/>
  <c r="A18" i="216"/>
  <c r="A33" i="216"/>
  <c r="A87" i="216" s="1"/>
  <c r="A36" i="216"/>
  <c r="A90" i="216" s="1"/>
  <c r="B37" i="216"/>
  <c r="B91" i="216" s="1"/>
  <c r="A38" i="216"/>
  <c r="A92" i="216" s="1"/>
  <c r="J38" i="216"/>
  <c r="J92" i="216" s="1"/>
  <c r="J131" i="216" s="1"/>
  <c r="J170" i="216" s="1"/>
  <c r="A41" i="216"/>
  <c r="A95" i="216" s="1"/>
  <c r="A43" i="216"/>
  <c r="A97" i="216" s="1"/>
  <c r="A44" i="216"/>
  <c r="A98" i="216" s="1"/>
  <c r="B45" i="216"/>
  <c r="B99" i="216" s="1"/>
  <c r="A69" i="216"/>
  <c r="A76" i="216"/>
  <c r="B80" i="216"/>
  <c r="A81" i="216"/>
  <c r="A83" i="216"/>
  <c r="I86" i="216"/>
  <c r="I108" i="216"/>
  <c r="I114" i="216"/>
  <c r="B115" i="216"/>
  <c r="B118" i="216"/>
  <c r="A119" i="216"/>
  <c r="I119" i="216"/>
  <c r="B120" i="216"/>
  <c r="B122" i="216"/>
  <c r="B124" i="216"/>
  <c r="C4" i="225"/>
  <c r="A69" i="225"/>
  <c r="A18" i="225"/>
  <c r="I150" i="225"/>
  <c r="I111" i="225"/>
  <c r="A153" i="225"/>
  <c r="A114" i="225"/>
  <c r="B115" i="225"/>
  <c r="B154" i="225"/>
  <c r="I114" i="225"/>
  <c r="I153" i="225"/>
  <c r="B155" i="225"/>
  <c r="B116" i="225"/>
  <c r="I154" i="225"/>
  <c r="I115" i="225"/>
  <c r="A156" i="225"/>
  <c r="A117" i="225"/>
  <c r="B118" i="225"/>
  <c r="B157" i="225"/>
  <c r="I156" i="225"/>
  <c r="I117" i="225"/>
  <c r="B158" i="225"/>
  <c r="B119" i="225"/>
  <c r="I157" i="225"/>
  <c r="I118" i="225"/>
  <c r="A159" i="225"/>
  <c r="A120" i="225"/>
  <c r="A160" i="225"/>
  <c r="A121" i="225"/>
  <c r="B174" i="225"/>
  <c r="B135" i="225"/>
  <c r="I160" i="225"/>
  <c r="I121" i="225"/>
  <c r="B123" i="225"/>
  <c r="B162" i="225"/>
  <c r="A163" i="225"/>
  <c r="A124" i="225"/>
  <c r="B138" i="225"/>
  <c r="B177" i="225"/>
  <c r="I164" i="225"/>
  <c r="I125" i="225"/>
  <c r="A127" i="225"/>
  <c r="A166" i="225"/>
  <c r="A37" i="220"/>
  <c r="A91" i="220" s="1"/>
  <c r="B38" i="220"/>
  <c r="B92" i="220" s="1"/>
  <c r="B41" i="220"/>
  <c r="B95" i="220" s="1"/>
  <c r="B43" i="220"/>
  <c r="B97" i="220" s="1"/>
  <c r="B44" i="220"/>
  <c r="B98" i="220" s="1"/>
  <c r="A46" i="220"/>
  <c r="A100" i="220" s="1"/>
  <c r="A33" i="222"/>
  <c r="A87" i="222" s="1"/>
  <c r="A41" i="222"/>
  <c r="A95" i="222" s="1"/>
  <c r="A43" i="222"/>
  <c r="A97" i="222" s="1"/>
  <c r="A66" i="222"/>
  <c r="B35" i="223"/>
  <c r="B89" i="223" s="1"/>
  <c r="B38" i="223"/>
  <c r="B92" i="223" s="1"/>
  <c r="B44" i="223"/>
  <c r="B98" i="223" s="1"/>
  <c r="A46" i="223"/>
  <c r="A100" i="223" s="1"/>
  <c r="B35" i="224"/>
  <c r="B89" i="224" s="1"/>
  <c r="B38" i="224"/>
  <c r="B92" i="224" s="1"/>
  <c r="B43" i="224"/>
  <c r="B97" i="224" s="1"/>
  <c r="B41" i="216"/>
  <c r="B95" i="216" s="1"/>
  <c r="B43" i="216"/>
  <c r="B97" i="216" s="1"/>
  <c r="F8" i="239"/>
  <c r="H7" i="183"/>
  <c r="G5" i="233" s="1"/>
  <c r="G8" i="239"/>
  <c r="L7" i="183"/>
  <c r="H5" i="233" s="1"/>
  <c r="G14" i="239"/>
  <c r="L10" i="183"/>
  <c r="H7" i="233" s="1"/>
  <c r="F16" i="239"/>
  <c r="H11" i="183"/>
  <c r="G8" i="233" s="1"/>
  <c r="G16" i="239"/>
  <c r="L11" i="183"/>
  <c r="H8" i="233" s="1"/>
  <c r="H16" i="239"/>
  <c r="P11" i="183"/>
  <c r="I8" i="233" s="1"/>
  <c r="F32" i="239"/>
  <c r="H16" i="183"/>
  <c r="G12" i="233" s="1"/>
  <c r="G32" i="239"/>
  <c r="L16" i="183"/>
  <c r="H12" i="233" s="1"/>
  <c r="H32" i="239"/>
  <c r="P16" i="183"/>
  <c r="I12" i="233" s="1"/>
  <c r="F37" i="239"/>
  <c r="H19" i="183"/>
  <c r="G14" i="233" s="1"/>
  <c r="G37" i="239"/>
  <c r="L19" i="183"/>
  <c r="H14" i="233" s="1"/>
  <c r="H37" i="239"/>
  <c r="P19" i="183"/>
  <c r="I14" i="233" s="1"/>
  <c r="F39" i="239"/>
  <c r="H20" i="183"/>
  <c r="G15" i="233" s="1"/>
  <c r="G39" i="239"/>
  <c r="L20" i="183"/>
  <c r="H15" i="233" s="1"/>
  <c r="H39" i="239"/>
  <c r="P20" i="183"/>
  <c r="I15" i="233" s="1"/>
  <c r="F41" i="239"/>
  <c r="H21" i="183"/>
  <c r="G16" i="233" s="1"/>
  <c r="G41" i="239"/>
  <c r="L21" i="183"/>
  <c r="H16" i="233" s="1"/>
  <c r="H41" i="239"/>
  <c r="P21" i="183"/>
  <c r="I16" i="233" s="1"/>
  <c r="F44" i="239"/>
  <c r="H23" i="183"/>
  <c r="G17" i="233" s="1"/>
  <c r="G44" i="239"/>
  <c r="L23" i="183"/>
  <c r="H17" i="233" s="1"/>
  <c r="H44" i="239"/>
  <c r="P23" i="183"/>
  <c r="I17" i="233" s="1"/>
  <c r="F50" i="239"/>
  <c r="H25" i="183"/>
  <c r="G19" i="233" s="1"/>
  <c r="G50" i="239"/>
  <c r="L25" i="183"/>
  <c r="H19" i="233" s="1"/>
  <c r="H50" i="239"/>
  <c r="P25" i="183"/>
  <c r="I19" i="233" s="1"/>
  <c r="F54" i="239"/>
  <c r="H28" i="183"/>
  <c r="G54" i="239"/>
  <c r="L28" i="183"/>
  <c r="H54" i="239"/>
  <c r="P28" i="183"/>
  <c r="G65" i="239"/>
  <c r="L34" i="183"/>
  <c r="H25" i="233" s="1"/>
  <c r="F69" i="239"/>
  <c r="H36" i="183"/>
  <c r="H69" i="239"/>
  <c r="P36" i="183"/>
  <c r="G73" i="239"/>
  <c r="L38" i="183"/>
  <c r="H28" i="233" s="1"/>
  <c r="F76" i="239"/>
  <c r="H39" i="183"/>
  <c r="G29" i="233" s="1"/>
  <c r="G76" i="239"/>
  <c r="L39" i="183"/>
  <c r="H29" i="233" s="1"/>
  <c r="H76" i="239"/>
  <c r="P39" i="183"/>
  <c r="I29" i="233" s="1"/>
  <c r="F78" i="239"/>
  <c r="H40" i="183"/>
  <c r="G30" i="233" s="1"/>
  <c r="G78" i="239"/>
  <c r="L40" i="183"/>
  <c r="H30" i="233" s="1"/>
  <c r="H78" i="239"/>
  <c r="P40" i="183"/>
  <c r="I30" i="233" s="1"/>
  <c r="A33" i="225"/>
  <c r="A87" i="225" s="1"/>
  <c r="B35" i="225"/>
  <c r="B89" i="225" s="1"/>
  <c r="A36" i="225"/>
  <c r="A90" i="225" s="1"/>
  <c r="B37" i="225"/>
  <c r="B91" i="225" s="1"/>
  <c r="B38" i="225"/>
  <c r="B92" i="225" s="1"/>
  <c r="B39" i="225"/>
  <c r="B93" i="225" s="1"/>
  <c r="J39" i="225"/>
  <c r="J93" i="225" s="1"/>
  <c r="J132" i="225" s="1"/>
  <c r="J171" i="225" s="1"/>
  <c r="A40" i="225"/>
  <c r="A94" i="225" s="1"/>
  <c r="B41" i="225"/>
  <c r="B95" i="225" s="1"/>
  <c r="A42" i="225"/>
  <c r="A96" i="225" s="1"/>
  <c r="B43" i="225"/>
  <c r="B97" i="225" s="1"/>
  <c r="B44" i="225"/>
  <c r="B98" i="225" s="1"/>
  <c r="A45" i="225"/>
  <c r="A99" i="225" s="1"/>
  <c r="A46" i="225"/>
  <c r="A100" i="225" s="1"/>
  <c r="A80" i="225"/>
  <c r="B81" i="225"/>
  <c r="B83" i="225"/>
  <c r="B86" i="225"/>
  <c r="E5" i="113"/>
  <c r="F5" i="126" s="1"/>
  <c r="K5" i="113"/>
  <c r="M5" i="113"/>
  <c r="H5" i="126" s="1"/>
  <c r="Q5" i="113"/>
  <c r="G8" i="113"/>
  <c r="K8" i="113"/>
  <c r="O8" i="113"/>
  <c r="G11" i="113"/>
  <c r="K11" i="113"/>
  <c r="G12" i="113"/>
  <c r="K12" i="113"/>
  <c r="O12" i="113"/>
  <c r="O13" i="113"/>
  <c r="H8" i="239"/>
  <c r="P7" i="183"/>
  <c r="I5" i="233" s="1"/>
  <c r="F12" i="239"/>
  <c r="H9" i="183"/>
  <c r="G12" i="239"/>
  <c r="L9" i="183"/>
  <c r="H12" i="239"/>
  <c r="P9" i="183"/>
  <c r="F14" i="239"/>
  <c r="H10" i="183"/>
  <c r="G7" i="233" s="1"/>
  <c r="H14" i="239"/>
  <c r="P10" i="183"/>
  <c r="I7" i="233" s="1"/>
  <c r="Q11" i="183"/>
  <c r="W18" i="123"/>
  <c r="F35" i="239"/>
  <c r="H18" i="183"/>
  <c r="G35" i="239"/>
  <c r="L18" i="183"/>
  <c r="H35" i="239"/>
  <c r="P18" i="183"/>
  <c r="F52" i="239"/>
  <c r="H26" i="183"/>
  <c r="G20" i="233" s="1"/>
  <c r="G52" i="239"/>
  <c r="L26" i="183"/>
  <c r="H20" i="233" s="1"/>
  <c r="H52" i="239"/>
  <c r="P26" i="183"/>
  <c r="I20" i="233" s="1"/>
  <c r="H65" i="239"/>
  <c r="P34" i="183"/>
  <c r="I25" i="233" s="1"/>
  <c r="G69" i="239"/>
  <c r="L36" i="183"/>
  <c r="F71" i="239"/>
  <c r="H37" i="183"/>
  <c r="G27" i="233" s="1"/>
  <c r="G71" i="239"/>
  <c r="L37" i="183"/>
  <c r="H27" i="233" s="1"/>
  <c r="H71" i="239"/>
  <c r="P37" i="183"/>
  <c r="I27" i="233" s="1"/>
  <c r="F73" i="239"/>
  <c r="H38" i="183"/>
  <c r="G28" i="233" s="1"/>
  <c r="H73" i="239"/>
  <c r="P38" i="183"/>
  <c r="I28" i="233" s="1"/>
  <c r="I34" i="225"/>
  <c r="B36" i="225"/>
  <c r="B90" i="225" s="1"/>
  <c r="A37" i="225"/>
  <c r="A91" i="225" s="1"/>
  <c r="A38" i="225"/>
  <c r="A92" i="225" s="1"/>
  <c r="J38" i="225"/>
  <c r="J92" i="225" s="1"/>
  <c r="J131" i="225" s="1"/>
  <c r="J170" i="225" s="1"/>
  <c r="A41" i="225"/>
  <c r="A95" i="225" s="1"/>
  <c r="A43" i="225"/>
  <c r="A97" i="225" s="1"/>
  <c r="A44" i="225"/>
  <c r="A98" i="225" s="1"/>
  <c r="J5" i="113"/>
  <c r="L5" i="113"/>
  <c r="I10" i="126"/>
  <c r="G5" i="123"/>
  <c r="K5" i="123"/>
  <c r="O5" i="123"/>
  <c r="S5" i="123"/>
  <c r="K5" i="183"/>
  <c r="M5" i="183"/>
  <c r="G12" i="122"/>
  <c r="G18" i="122" s="1"/>
  <c r="G13" i="122"/>
  <c r="G19" i="122" s="1"/>
  <c r="G34" i="122"/>
  <c r="G41" i="122" s="1"/>
  <c r="G36" i="122"/>
  <c r="G43" i="122" s="1"/>
  <c r="J5" i="183"/>
  <c r="L5" i="183"/>
  <c r="A36" i="228"/>
  <c r="A38" i="228"/>
  <c r="J38" i="228"/>
  <c r="J39" i="228"/>
  <c r="A42" i="228"/>
  <c r="A45" i="228"/>
  <c r="A35" i="228"/>
  <c r="A37" i="228"/>
  <c r="A39" i="228"/>
  <c r="A40" i="228"/>
  <c r="A41" i="228"/>
  <c r="A43" i="228"/>
  <c r="A44" i="228"/>
  <c r="F45" i="224"/>
  <c r="E45" i="214"/>
  <c r="G45" i="214"/>
  <c r="D138" i="214"/>
  <c r="A230" i="203"/>
  <c r="A152" i="203"/>
  <c r="A191" i="203"/>
  <c r="A113" i="203"/>
  <c r="A269" i="203" s="1"/>
  <c r="I189" i="203"/>
  <c r="I228" i="203"/>
  <c r="I150" i="203"/>
  <c r="I111" i="203"/>
  <c r="I267" i="203" s="1"/>
  <c r="A245" i="203"/>
  <c r="A206" i="203"/>
  <c r="A167" i="203"/>
  <c r="A128" i="203"/>
  <c r="A284" i="203" s="1"/>
  <c r="A233" i="203"/>
  <c r="A155" i="203"/>
  <c r="A194" i="203"/>
  <c r="A116" i="203"/>
  <c r="A272" i="203" s="1"/>
  <c r="B234" i="203"/>
  <c r="B156" i="203"/>
  <c r="B195" i="203"/>
  <c r="B117" i="203"/>
  <c r="B273" i="203" s="1"/>
  <c r="I233" i="203"/>
  <c r="I155" i="203"/>
  <c r="I194" i="203"/>
  <c r="I116" i="203"/>
  <c r="I272" i="203" s="1"/>
  <c r="A196" i="203"/>
  <c r="A235" i="203"/>
  <c r="A157" i="203"/>
  <c r="A118" i="203"/>
  <c r="A274" i="203" s="1"/>
  <c r="A158" i="203"/>
  <c r="A236" i="203"/>
  <c r="A197" i="203"/>
  <c r="A119" i="203"/>
  <c r="A275" i="203" s="1"/>
  <c r="B237" i="203"/>
  <c r="B159" i="203"/>
  <c r="B198" i="203"/>
  <c r="B120" i="203"/>
  <c r="B276" i="203" s="1"/>
  <c r="I236" i="203"/>
  <c r="I158" i="203"/>
  <c r="I197" i="203"/>
  <c r="I119" i="203"/>
  <c r="I275" i="203" s="1"/>
  <c r="B238" i="203"/>
  <c r="B160" i="203"/>
  <c r="B199" i="203"/>
  <c r="B121" i="203"/>
  <c r="B277" i="203" s="1"/>
  <c r="A252" i="203"/>
  <c r="A174" i="203"/>
  <c r="A213" i="203"/>
  <c r="A135" i="203"/>
  <c r="A291" i="203" s="1"/>
  <c r="A240" i="203"/>
  <c r="A201" i="203"/>
  <c r="A162" i="203"/>
  <c r="A123" i="203"/>
  <c r="A279" i="203" s="1"/>
  <c r="B241" i="203"/>
  <c r="B163" i="203"/>
  <c r="B202" i="203"/>
  <c r="B124" i="203"/>
  <c r="B280" i="203" s="1"/>
  <c r="A255" i="203"/>
  <c r="A216" i="203"/>
  <c r="A177" i="203"/>
  <c r="A138" i="203"/>
  <c r="A294" i="203" s="1"/>
  <c r="I174" i="203"/>
  <c r="I135" i="203"/>
  <c r="I213" i="203"/>
  <c r="I252" i="203" s="1"/>
  <c r="I291" i="203" s="1"/>
  <c r="I225" i="203"/>
  <c r="I147" i="203"/>
  <c r="I186" i="203"/>
  <c r="I108" i="203"/>
  <c r="I264" i="203" s="1"/>
  <c r="I229" i="203"/>
  <c r="I151" i="203"/>
  <c r="I190" i="203"/>
  <c r="I112" i="203"/>
  <c r="I268" i="203" s="1"/>
  <c r="A192" i="203"/>
  <c r="A231" i="203"/>
  <c r="A153" i="203"/>
  <c r="A114" i="203"/>
  <c r="A270" i="203" s="1"/>
  <c r="B232" i="203"/>
  <c r="B154" i="203"/>
  <c r="B193" i="203"/>
  <c r="B115" i="203"/>
  <c r="B271" i="203" s="1"/>
  <c r="I231" i="203"/>
  <c r="I153" i="203"/>
  <c r="I192" i="203"/>
  <c r="I114" i="203"/>
  <c r="I270" i="203" s="1"/>
  <c r="B246" i="203"/>
  <c r="B168" i="203"/>
  <c r="B207" i="203"/>
  <c r="B129" i="203"/>
  <c r="B285" i="203" s="1"/>
  <c r="I193" i="203"/>
  <c r="I232" i="203"/>
  <c r="I154" i="203"/>
  <c r="I115" i="203"/>
  <c r="I271" i="203" s="1"/>
  <c r="B235" i="203"/>
  <c r="B157" i="203"/>
  <c r="B196" i="203"/>
  <c r="B118" i="203"/>
  <c r="B274" i="203" s="1"/>
  <c r="I195" i="203"/>
  <c r="I234" i="203"/>
  <c r="I156" i="203"/>
  <c r="I117" i="203"/>
  <c r="I273" i="203" s="1"/>
  <c r="B249" i="203"/>
  <c r="B210" i="203"/>
  <c r="B171" i="203"/>
  <c r="B132" i="203"/>
  <c r="B288" i="203" s="1"/>
  <c r="I235" i="203"/>
  <c r="I196" i="203"/>
  <c r="I157" i="203"/>
  <c r="I118" i="203"/>
  <c r="I274" i="203" s="1"/>
  <c r="A250" i="203"/>
  <c r="A211" i="203"/>
  <c r="A172" i="203"/>
  <c r="A133" i="203"/>
  <c r="A289" i="203" s="1"/>
  <c r="A238" i="203"/>
  <c r="A199" i="203"/>
  <c r="A160" i="203"/>
  <c r="A121" i="203"/>
  <c r="A277" i="203" s="1"/>
  <c r="B239" i="203"/>
  <c r="B161" i="203"/>
  <c r="B200" i="203"/>
  <c r="B122" i="203"/>
  <c r="B278" i="203" s="1"/>
  <c r="I238" i="203"/>
  <c r="I199" i="203"/>
  <c r="I160" i="203"/>
  <c r="I121" i="203"/>
  <c r="I277" i="203" s="1"/>
  <c r="B240" i="203"/>
  <c r="B162" i="203"/>
  <c r="B201" i="203"/>
  <c r="B123" i="203"/>
  <c r="B279" i="203" s="1"/>
  <c r="A241" i="203"/>
  <c r="A202" i="203"/>
  <c r="A163" i="203"/>
  <c r="A124" i="203"/>
  <c r="A280" i="203" s="1"/>
  <c r="B242" i="203"/>
  <c r="B164" i="203"/>
  <c r="B203" i="203"/>
  <c r="B125" i="203"/>
  <c r="B281" i="203" s="1"/>
  <c r="I244" i="203"/>
  <c r="I205" i="203"/>
  <c r="I166" i="203"/>
  <c r="I127" i="203"/>
  <c r="I283" i="203" s="1"/>
  <c r="A244" i="203"/>
  <c r="A166" i="203"/>
  <c r="A205" i="203"/>
  <c r="A127" i="203"/>
  <c r="A283" i="203" s="1"/>
  <c r="D183" i="203"/>
  <c r="D222" i="203"/>
  <c r="D144" i="203"/>
  <c r="F66" i="228"/>
  <c r="F183" i="203"/>
  <c r="F222" i="203"/>
  <c r="F144" i="203"/>
  <c r="H183" i="203"/>
  <c r="H222" i="203"/>
  <c r="H144" i="203"/>
  <c r="J183" i="203"/>
  <c r="J222" i="203"/>
  <c r="J144" i="203"/>
  <c r="L183" i="203"/>
  <c r="L222" i="203"/>
  <c r="L144" i="203"/>
  <c r="N183" i="203"/>
  <c r="N222" i="203"/>
  <c r="N144" i="203"/>
  <c r="C186" i="203"/>
  <c r="C225" i="203"/>
  <c r="C147" i="203"/>
  <c r="E186" i="203"/>
  <c r="E225" i="203"/>
  <c r="E147" i="203"/>
  <c r="G186" i="203"/>
  <c r="G225" i="203"/>
  <c r="G147" i="203"/>
  <c r="J186" i="203"/>
  <c r="J225" i="203"/>
  <c r="J147" i="203"/>
  <c r="L186" i="203"/>
  <c r="L225" i="203"/>
  <c r="L147" i="203"/>
  <c r="N186" i="203"/>
  <c r="N225" i="203"/>
  <c r="N147" i="203"/>
  <c r="B191" i="203"/>
  <c r="B230" i="203"/>
  <c r="B152" i="203"/>
  <c r="D191" i="203"/>
  <c r="D230" i="203"/>
  <c r="D152" i="203"/>
  <c r="F191" i="203"/>
  <c r="F230" i="203"/>
  <c r="F152" i="203"/>
  <c r="C192" i="203"/>
  <c r="C231" i="203"/>
  <c r="C153" i="203"/>
  <c r="E192" i="203"/>
  <c r="E231" i="203"/>
  <c r="E153" i="203"/>
  <c r="G192" i="203"/>
  <c r="G231" i="203"/>
  <c r="G153" i="203"/>
  <c r="C193" i="203"/>
  <c r="C232" i="203"/>
  <c r="C154" i="203"/>
  <c r="D194" i="203"/>
  <c r="D233" i="203"/>
  <c r="D155" i="203"/>
  <c r="C195" i="203"/>
  <c r="C234" i="203"/>
  <c r="C156" i="203"/>
  <c r="C196" i="203"/>
  <c r="C235" i="203"/>
  <c r="C157" i="203"/>
  <c r="D236" i="203"/>
  <c r="D197" i="203"/>
  <c r="D158" i="203"/>
  <c r="C237" i="203"/>
  <c r="C198" i="203"/>
  <c r="C159" i="203"/>
  <c r="C238" i="203"/>
  <c r="C199" i="203"/>
  <c r="C160" i="203"/>
  <c r="C239" i="203"/>
  <c r="C200" i="203"/>
  <c r="C161" i="203"/>
  <c r="C240" i="203"/>
  <c r="C201" i="203"/>
  <c r="C162" i="203"/>
  <c r="C241" i="203"/>
  <c r="C202" i="203"/>
  <c r="C163" i="203"/>
  <c r="C242" i="203"/>
  <c r="C203" i="203"/>
  <c r="C164" i="203"/>
  <c r="K242" i="203"/>
  <c r="K203" i="203"/>
  <c r="K164" i="203"/>
  <c r="M242" i="203"/>
  <c r="M203" i="203"/>
  <c r="M164" i="203"/>
  <c r="O242" i="203"/>
  <c r="O203" i="203"/>
  <c r="O164" i="203"/>
  <c r="B243" i="203"/>
  <c r="B204" i="203"/>
  <c r="B165" i="203"/>
  <c r="D243" i="203"/>
  <c r="D204" i="203"/>
  <c r="D165" i="203"/>
  <c r="I243" i="203"/>
  <c r="I204" i="203"/>
  <c r="I165" i="203"/>
  <c r="K243" i="203"/>
  <c r="K204" i="203"/>
  <c r="K165" i="203"/>
  <c r="M243" i="203"/>
  <c r="M204" i="203"/>
  <c r="M165" i="203"/>
  <c r="O243" i="203"/>
  <c r="O204" i="203"/>
  <c r="O165" i="203"/>
  <c r="B244" i="203"/>
  <c r="B205" i="203"/>
  <c r="B166" i="203"/>
  <c r="D244" i="203"/>
  <c r="D205" i="203"/>
  <c r="D166" i="203"/>
  <c r="F244" i="203"/>
  <c r="F205" i="203"/>
  <c r="F166" i="203"/>
  <c r="C245" i="203"/>
  <c r="C206" i="203"/>
  <c r="C167" i="203"/>
  <c r="C246" i="203"/>
  <c r="C207" i="203"/>
  <c r="C168" i="203"/>
  <c r="C247" i="203"/>
  <c r="C208" i="203"/>
  <c r="C169" i="203"/>
  <c r="D248" i="203"/>
  <c r="D209" i="203"/>
  <c r="D170" i="203"/>
  <c r="D249" i="203"/>
  <c r="D210" i="203"/>
  <c r="D171" i="203"/>
  <c r="C250" i="203"/>
  <c r="C211" i="203"/>
  <c r="C172" i="203"/>
  <c r="D251" i="203"/>
  <c r="D212" i="203"/>
  <c r="D173" i="203"/>
  <c r="D252" i="203"/>
  <c r="D213" i="203"/>
  <c r="D174" i="203"/>
  <c r="C253" i="203"/>
  <c r="C214" i="203"/>
  <c r="C175" i="203"/>
  <c r="C254" i="203"/>
  <c r="C215" i="203"/>
  <c r="C176" i="203"/>
  <c r="C255" i="203"/>
  <c r="C216" i="203"/>
  <c r="C177" i="203"/>
  <c r="C138" i="203"/>
  <c r="C294" i="203" s="1"/>
  <c r="B2" i="203"/>
  <c r="B14" i="203" s="1"/>
  <c r="B66" i="203" s="1"/>
  <c r="B183" i="203" s="1"/>
  <c r="C6" i="203"/>
  <c r="B67" i="203" s="1"/>
  <c r="A14" i="203"/>
  <c r="A66" i="203" s="1"/>
  <c r="A18" i="203"/>
  <c r="A33" i="203"/>
  <c r="A87" i="203" s="1"/>
  <c r="B35" i="203"/>
  <c r="B89" i="203" s="1"/>
  <c r="A36" i="203"/>
  <c r="A90" i="203" s="1"/>
  <c r="B37" i="203"/>
  <c r="B91" i="203" s="1"/>
  <c r="A38" i="203"/>
  <c r="A92" i="203" s="1"/>
  <c r="J38" i="203"/>
  <c r="J92" i="203" s="1"/>
  <c r="J131" i="203" s="1"/>
  <c r="J170" i="203" s="1"/>
  <c r="J209" i="203" s="1"/>
  <c r="J248" i="203" s="1"/>
  <c r="J287" i="203" s="1"/>
  <c r="A39" i="203"/>
  <c r="A93" i="203" s="1"/>
  <c r="B40" i="203"/>
  <c r="B94" i="203" s="1"/>
  <c r="A41" i="203"/>
  <c r="A95" i="203" s="1"/>
  <c r="B42" i="203"/>
  <c r="B96" i="203" s="1"/>
  <c r="A43" i="203"/>
  <c r="A97" i="203" s="1"/>
  <c r="A44" i="203"/>
  <c r="A98" i="203" s="1"/>
  <c r="B45" i="203"/>
  <c r="B99" i="203" s="1"/>
  <c r="A46" i="203"/>
  <c r="A100" i="203" s="1"/>
  <c r="M62" i="203"/>
  <c r="O62" i="203"/>
  <c r="A67" i="203"/>
  <c r="A69" i="203"/>
  <c r="A76" i="203"/>
  <c r="B77" i="203"/>
  <c r="A78" i="203"/>
  <c r="B80" i="203"/>
  <c r="A81" i="203"/>
  <c r="A83" i="203"/>
  <c r="A86" i="203"/>
  <c r="I86" i="203"/>
  <c r="E99" i="203"/>
  <c r="G99" i="203"/>
  <c r="D135" i="203"/>
  <c r="D291" i="203" s="1"/>
  <c r="C136" i="203"/>
  <c r="C292" i="203" s="1"/>
  <c r="C137" i="203"/>
  <c r="C293" i="203" s="1"/>
  <c r="C222" i="203"/>
  <c r="C144" i="203"/>
  <c r="C183" i="203"/>
  <c r="E66" i="228"/>
  <c r="E222" i="203"/>
  <c r="E144" i="203"/>
  <c r="E183" i="203"/>
  <c r="G66" i="228"/>
  <c r="G222" i="203"/>
  <c r="G144" i="203"/>
  <c r="G183" i="203"/>
  <c r="I222" i="203"/>
  <c r="I144" i="203"/>
  <c r="I183" i="203"/>
  <c r="K222" i="203"/>
  <c r="K144" i="203"/>
  <c r="K183" i="203"/>
  <c r="M222" i="203"/>
  <c r="M144" i="203"/>
  <c r="M183" i="203"/>
  <c r="O222" i="203"/>
  <c r="O144" i="203"/>
  <c r="O183" i="203"/>
  <c r="B225" i="203"/>
  <c r="B147" i="203"/>
  <c r="B186" i="203"/>
  <c r="D225" i="203"/>
  <c r="D147" i="203"/>
  <c r="D186" i="203"/>
  <c r="F225" i="203"/>
  <c r="F147" i="203"/>
  <c r="F186" i="203"/>
  <c r="K225" i="203"/>
  <c r="K147" i="203"/>
  <c r="K186" i="203"/>
  <c r="M225" i="203"/>
  <c r="M147" i="203"/>
  <c r="M186" i="203"/>
  <c r="O225" i="203"/>
  <c r="O147" i="203"/>
  <c r="O186" i="203"/>
  <c r="C230" i="203"/>
  <c r="C152" i="203"/>
  <c r="C191" i="203"/>
  <c r="E230" i="203"/>
  <c r="E152" i="203"/>
  <c r="E191" i="203"/>
  <c r="G230" i="203"/>
  <c r="G152" i="203"/>
  <c r="G191" i="203"/>
  <c r="B231" i="203"/>
  <c r="B153" i="203"/>
  <c r="B192" i="203"/>
  <c r="D231" i="203"/>
  <c r="D153" i="203"/>
  <c r="D192" i="203"/>
  <c r="F231" i="203"/>
  <c r="F153" i="203"/>
  <c r="F192" i="203"/>
  <c r="D232" i="203"/>
  <c r="D154" i="203"/>
  <c r="D193" i="203"/>
  <c r="C233" i="203"/>
  <c r="C155" i="203"/>
  <c r="C194" i="203"/>
  <c r="D234" i="203"/>
  <c r="D156" i="203"/>
  <c r="D195" i="203"/>
  <c r="D235" i="203"/>
  <c r="D157" i="203"/>
  <c r="D196" i="203"/>
  <c r="C236" i="203"/>
  <c r="C158" i="203"/>
  <c r="C197" i="203"/>
  <c r="D237" i="203"/>
  <c r="D159" i="203"/>
  <c r="D198" i="203"/>
  <c r="D238" i="203"/>
  <c r="D160" i="203"/>
  <c r="D199" i="203"/>
  <c r="D239" i="203"/>
  <c r="D161" i="203"/>
  <c r="D200" i="203"/>
  <c r="D240" i="203"/>
  <c r="D162" i="203"/>
  <c r="D201" i="203"/>
  <c r="D241" i="203"/>
  <c r="D163" i="203"/>
  <c r="D202" i="203"/>
  <c r="D242" i="203"/>
  <c r="D164" i="203"/>
  <c r="D203" i="203"/>
  <c r="J242" i="203"/>
  <c r="J164" i="203"/>
  <c r="J203" i="203"/>
  <c r="L242" i="203"/>
  <c r="L164" i="203"/>
  <c r="L203" i="203"/>
  <c r="N242" i="203"/>
  <c r="N164" i="203"/>
  <c r="N203" i="203"/>
  <c r="C243" i="203"/>
  <c r="C165" i="203"/>
  <c r="C204" i="203"/>
  <c r="J243" i="203"/>
  <c r="J165" i="203"/>
  <c r="J204" i="203"/>
  <c r="L243" i="203"/>
  <c r="L165" i="203"/>
  <c r="L204" i="203"/>
  <c r="N243" i="203"/>
  <c r="N165" i="203"/>
  <c r="N204" i="203"/>
  <c r="C244" i="203"/>
  <c r="C166" i="203"/>
  <c r="C205" i="203"/>
  <c r="E244" i="203"/>
  <c r="E166" i="203"/>
  <c r="E205" i="203"/>
  <c r="G244" i="203"/>
  <c r="G166" i="203"/>
  <c r="G205" i="203"/>
  <c r="D245" i="203"/>
  <c r="D167" i="203"/>
  <c r="D206" i="203"/>
  <c r="D246" i="203"/>
  <c r="D168" i="203"/>
  <c r="D207" i="203"/>
  <c r="D247" i="203"/>
  <c r="D169" i="203"/>
  <c r="D208" i="203"/>
  <c r="C248" i="203"/>
  <c r="C170" i="203"/>
  <c r="C209" i="203"/>
  <c r="C249" i="203"/>
  <c r="C171" i="203"/>
  <c r="C210" i="203"/>
  <c r="D250" i="203"/>
  <c r="D172" i="203"/>
  <c r="D211" i="203"/>
  <c r="C251" i="203"/>
  <c r="C173" i="203"/>
  <c r="C212" i="203"/>
  <c r="C252" i="203"/>
  <c r="C174" i="203"/>
  <c r="C135" i="203"/>
  <c r="C291" i="203" s="1"/>
  <c r="C213" i="203"/>
  <c r="D253" i="203"/>
  <c r="D175" i="203"/>
  <c r="D136" i="203"/>
  <c r="D292" i="203" s="1"/>
  <c r="D214" i="203"/>
  <c r="D254" i="203"/>
  <c r="D176" i="203"/>
  <c r="D137" i="203"/>
  <c r="D293" i="203" s="1"/>
  <c r="D215" i="203"/>
  <c r="I9" i="203"/>
  <c r="S97" i="122" s="1"/>
  <c r="N20" i="113"/>
  <c r="N13" i="183" s="1"/>
  <c r="A37" i="203"/>
  <c r="A91" i="203" s="1"/>
  <c r="B38" i="203"/>
  <c r="B92" i="203" s="1"/>
  <c r="B41" i="203"/>
  <c r="B95" i="203" s="1"/>
  <c r="B43" i="203"/>
  <c r="B97" i="203" s="1"/>
  <c r="B44" i="203"/>
  <c r="B98" i="203" s="1"/>
  <c r="N62" i="203"/>
  <c r="F99" i="203"/>
  <c r="D105" i="203"/>
  <c r="D261" i="203" s="1"/>
  <c r="F105" i="203"/>
  <c r="F261" i="203" s="1"/>
  <c r="H105" i="203"/>
  <c r="H261" i="203" s="1"/>
  <c r="J105" i="203"/>
  <c r="J261" i="203" s="1"/>
  <c r="L105" i="203"/>
  <c r="L261" i="203" s="1"/>
  <c r="N105" i="203"/>
  <c r="N261" i="203" s="1"/>
  <c r="C108" i="203"/>
  <c r="C264" i="203" s="1"/>
  <c r="E108" i="203"/>
  <c r="E264" i="203" s="1"/>
  <c r="G108" i="203"/>
  <c r="G264" i="203" s="1"/>
  <c r="J108" i="203"/>
  <c r="J264" i="203" s="1"/>
  <c r="L108" i="203"/>
  <c r="L264" i="203" s="1"/>
  <c r="N108" i="203"/>
  <c r="N264" i="203" s="1"/>
  <c r="B113" i="203"/>
  <c r="B269" i="203" s="1"/>
  <c r="D113" i="203"/>
  <c r="D269" i="203" s="1"/>
  <c r="F113" i="203"/>
  <c r="F269" i="203" s="1"/>
  <c r="C114" i="203"/>
  <c r="C270" i="203" s="1"/>
  <c r="E114" i="203"/>
  <c r="E270" i="203" s="1"/>
  <c r="G114" i="203"/>
  <c r="G270" i="203" s="1"/>
  <c r="C115" i="203"/>
  <c r="C271" i="203" s="1"/>
  <c r="D116" i="203"/>
  <c r="D272" i="203" s="1"/>
  <c r="C117" i="203"/>
  <c r="C273" i="203" s="1"/>
  <c r="C118" i="203"/>
  <c r="C274" i="203" s="1"/>
  <c r="D119" i="203"/>
  <c r="D275" i="203" s="1"/>
  <c r="C120" i="203"/>
  <c r="C276" i="203" s="1"/>
  <c r="C121" i="203"/>
  <c r="C277" i="203" s="1"/>
  <c r="C122" i="203"/>
  <c r="C278" i="203" s="1"/>
  <c r="C123" i="203"/>
  <c r="C279" i="203" s="1"/>
  <c r="C124" i="203"/>
  <c r="C280" i="203" s="1"/>
  <c r="C125" i="203"/>
  <c r="C281" i="203" s="1"/>
  <c r="K125" i="203"/>
  <c r="K281" i="203" s="1"/>
  <c r="M125" i="203"/>
  <c r="M281" i="203" s="1"/>
  <c r="O125" i="203"/>
  <c r="O281" i="203" s="1"/>
  <c r="B126" i="203"/>
  <c r="B282" i="203" s="1"/>
  <c r="D126" i="203"/>
  <c r="D282" i="203" s="1"/>
  <c r="I126" i="203"/>
  <c r="I282" i="203" s="1"/>
  <c r="K126" i="203"/>
  <c r="K282" i="203" s="1"/>
  <c r="M126" i="203"/>
  <c r="M282" i="203" s="1"/>
  <c r="O126" i="203"/>
  <c r="O282" i="203" s="1"/>
  <c r="B127" i="203"/>
  <c r="B283" i="203" s="1"/>
  <c r="D127" i="203"/>
  <c r="D283" i="203" s="1"/>
  <c r="F127" i="203"/>
  <c r="F283" i="203" s="1"/>
  <c r="C128" i="203"/>
  <c r="C284" i="203" s="1"/>
  <c r="C129" i="203"/>
  <c r="C285" i="203" s="1"/>
  <c r="C130" i="203"/>
  <c r="C286" i="203" s="1"/>
  <c r="D131" i="203"/>
  <c r="D287" i="203" s="1"/>
  <c r="D132" i="203"/>
  <c r="D288" i="203" s="1"/>
  <c r="C133" i="203"/>
  <c r="C289" i="203" s="1"/>
  <c r="D134" i="203"/>
  <c r="D290" i="203" s="1"/>
  <c r="E177" i="203"/>
  <c r="G177" i="203"/>
  <c r="G178" i="203" s="1"/>
  <c r="G180" i="203" s="1"/>
  <c r="F216" i="203"/>
  <c r="F217" i="203" s="1"/>
  <c r="F219" i="203" s="1"/>
  <c r="M23" i="113" s="1"/>
  <c r="F177" i="203"/>
  <c r="F178" i="203" s="1"/>
  <c r="F180" i="203" s="1"/>
  <c r="E216" i="203"/>
  <c r="G216" i="203"/>
  <c r="G217" i="203" s="1"/>
  <c r="G219" i="203" s="1"/>
  <c r="Q23" i="113" s="1"/>
  <c r="F297" i="203"/>
  <c r="E255" i="203"/>
  <c r="G255" i="203"/>
  <c r="G256" i="203" s="1"/>
  <c r="G258" i="203" s="1"/>
  <c r="Q24" i="113" s="1"/>
  <c r="F294" i="203"/>
  <c r="F295" i="203" s="1"/>
  <c r="E40" i="228"/>
  <c r="E73" i="228" s="1"/>
  <c r="C9" i="229" s="1"/>
  <c r="G40" i="228"/>
  <c r="G73" i="228" s="1"/>
  <c r="E9" i="229" s="1"/>
  <c r="F41" i="228"/>
  <c r="F74" i="228" s="1"/>
  <c r="D10" i="229" s="1"/>
  <c r="E42" i="228"/>
  <c r="G42" i="228"/>
  <c r="F43" i="228"/>
  <c r="F76" i="228" s="1"/>
  <c r="D12" i="229" s="1"/>
  <c r="F255" i="203"/>
  <c r="F256" i="203" s="1"/>
  <c r="F258" i="203" s="1"/>
  <c r="M24" i="113" s="1"/>
  <c r="E294" i="203"/>
  <c r="G294" i="203"/>
  <c r="G295" i="203" s="1"/>
  <c r="G297" i="203" s="1"/>
  <c r="F40" i="228"/>
  <c r="F73" i="228" s="1"/>
  <c r="D9" i="229" s="1"/>
  <c r="E41" i="228"/>
  <c r="E74" i="228" s="1"/>
  <c r="C10" i="229" s="1"/>
  <c r="G41" i="228"/>
  <c r="G74" i="228" s="1"/>
  <c r="E10" i="229" s="1"/>
  <c r="F42" i="228"/>
  <c r="E43" i="228"/>
  <c r="E76" i="228" s="1"/>
  <c r="C12" i="229" s="1"/>
  <c r="G43" i="228"/>
  <c r="G76" i="228" s="1"/>
  <c r="E12" i="229" s="1"/>
  <c r="H13" i="183"/>
  <c r="G9" i="233" s="1"/>
  <c r="P13" i="183"/>
  <c r="I9" i="233" s="1"/>
  <c r="B35" i="228"/>
  <c r="B36" i="228"/>
  <c r="B37" i="228"/>
  <c r="B38" i="228"/>
  <c r="B39" i="228"/>
  <c r="B40" i="228"/>
  <c r="B41" i="228"/>
  <c r="B44" i="228"/>
  <c r="B75" i="228"/>
  <c r="B76" i="228"/>
  <c r="G18" i="239"/>
  <c r="G19" i="239"/>
  <c r="G21" i="239"/>
  <c r="G22" i="239"/>
  <c r="B45" i="228"/>
  <c r="F6" i="113"/>
  <c r="F6" i="183" s="1"/>
  <c r="F8" i="183" s="1"/>
  <c r="J7" i="45"/>
  <c r="M55" i="198" s="1"/>
  <c r="S372" i="45"/>
  <c r="C358" i="45"/>
  <c r="F358" i="45" s="1"/>
  <c r="I358" i="45" s="1"/>
  <c r="L358" i="45" s="1"/>
  <c r="O358" i="45" s="1"/>
  <c r="R358" i="45" s="1"/>
  <c r="G355" i="45"/>
  <c r="I355" i="45"/>
  <c r="E358" i="45"/>
  <c r="R355" i="45" s="1"/>
  <c r="F359" i="45"/>
  <c r="I359" i="45" s="1"/>
  <c r="L359" i="45" s="1"/>
  <c r="O359" i="45" s="1"/>
  <c r="R359" i="45" s="1"/>
  <c r="T359" i="45"/>
  <c r="T364" i="45"/>
  <c r="H359" i="45"/>
  <c r="K359" i="45" s="1"/>
  <c r="N359" i="45" s="1"/>
  <c r="Q359" i="45" s="1"/>
  <c r="J331" i="45"/>
  <c r="L331" i="45"/>
  <c r="N331" i="45"/>
  <c r="D334" i="45"/>
  <c r="Q331" i="45" s="1"/>
  <c r="T332" i="45"/>
  <c r="S333" i="45"/>
  <c r="S335" i="45"/>
  <c r="G335" i="45"/>
  <c r="J335" i="45" s="1"/>
  <c r="M335" i="45" s="1"/>
  <c r="P335" i="45" s="1"/>
  <c r="C316" i="45"/>
  <c r="P313" i="45" s="1"/>
  <c r="G313" i="45"/>
  <c r="I313" i="45"/>
  <c r="E316" i="45"/>
  <c r="T316" i="45" s="1"/>
  <c r="F317" i="45"/>
  <c r="I317" i="45" s="1"/>
  <c r="L317" i="45" s="1"/>
  <c r="O317" i="45" s="1"/>
  <c r="R317" i="45" s="1"/>
  <c r="T317" i="45"/>
  <c r="T328" i="45"/>
  <c r="H317" i="45"/>
  <c r="K317" i="45" s="1"/>
  <c r="N317" i="45" s="1"/>
  <c r="Q317" i="45" s="1"/>
  <c r="H289" i="45"/>
  <c r="N289" i="45"/>
  <c r="C291" i="45"/>
  <c r="C483" i="45" s="1"/>
  <c r="E291" i="45"/>
  <c r="E483" i="45" s="1"/>
  <c r="H293" i="45"/>
  <c r="K293" i="45" s="1"/>
  <c r="N293" i="45" s="1"/>
  <c r="Q293" i="45" s="1"/>
  <c r="F297" i="45"/>
  <c r="I297" i="45" s="1"/>
  <c r="L297" i="45" s="1"/>
  <c r="O297" i="45" s="1"/>
  <c r="R297" i="45" s="1"/>
  <c r="T297" i="45"/>
  <c r="H297" i="45"/>
  <c r="K297" i="45" s="1"/>
  <c r="N297" i="45" s="1"/>
  <c r="Q297" i="45" s="1"/>
  <c r="J259" i="45"/>
  <c r="L259" i="45"/>
  <c r="N259" i="45"/>
  <c r="D262" i="45"/>
  <c r="S262" i="45" s="1"/>
  <c r="T260" i="45"/>
  <c r="S261" i="45"/>
  <c r="S263" i="45"/>
  <c r="G263" i="45"/>
  <c r="J263" i="45" s="1"/>
  <c r="M263" i="45" s="1"/>
  <c r="P263" i="45" s="1"/>
  <c r="C190" i="45"/>
  <c r="P187" i="45" s="1"/>
  <c r="E190" i="45"/>
  <c r="R187" i="45" s="1"/>
  <c r="F191" i="45"/>
  <c r="I191" i="45" s="1"/>
  <c r="L191" i="45" s="1"/>
  <c r="O191" i="45" s="1"/>
  <c r="R191" i="45" s="1"/>
  <c r="T191" i="45"/>
  <c r="T196" i="45"/>
  <c r="H191" i="45"/>
  <c r="K191" i="45" s="1"/>
  <c r="N191" i="45" s="1"/>
  <c r="Q191" i="45" s="1"/>
  <c r="K145" i="45"/>
  <c r="S146" i="45"/>
  <c r="G146" i="45"/>
  <c r="J146" i="45" s="1"/>
  <c r="M146" i="45" s="1"/>
  <c r="P146" i="45" s="1"/>
  <c r="T149" i="45"/>
  <c r="T154" i="45"/>
  <c r="H149" i="45"/>
  <c r="K149" i="45" s="1"/>
  <c r="N149" i="45" s="1"/>
  <c r="Q149" i="45" s="1"/>
  <c r="G121" i="45"/>
  <c r="I121" i="45"/>
  <c r="C94" i="45"/>
  <c r="F94" i="45" s="1"/>
  <c r="I94" i="45" s="1"/>
  <c r="L94" i="45" s="1"/>
  <c r="O94" i="45" s="1"/>
  <c r="R94" i="45" s="1"/>
  <c r="G91" i="45"/>
  <c r="I91" i="45"/>
  <c r="E94" i="45"/>
  <c r="R91" i="45" s="1"/>
  <c r="F95" i="45"/>
  <c r="I95" i="45" s="1"/>
  <c r="L95" i="45" s="1"/>
  <c r="O95" i="45" s="1"/>
  <c r="R95" i="45" s="1"/>
  <c r="T95" i="45"/>
  <c r="T106" i="45"/>
  <c r="H95" i="45"/>
  <c r="K95" i="45" s="1"/>
  <c r="N95" i="45" s="1"/>
  <c r="Q95" i="45" s="1"/>
  <c r="L67" i="45"/>
  <c r="F68" i="45"/>
  <c r="I68" i="45" s="1"/>
  <c r="L68" i="45" s="1"/>
  <c r="O68" i="45" s="1"/>
  <c r="R68" i="45" s="1"/>
  <c r="T68" i="45"/>
  <c r="E70" i="45"/>
  <c r="R67" i="45" s="1"/>
  <c r="S69" i="45"/>
  <c r="H67" i="45"/>
  <c r="H71" i="45"/>
  <c r="K71" i="45" s="1"/>
  <c r="N71" i="45" s="1"/>
  <c r="Q71" i="45" s="1"/>
  <c r="T76" i="45"/>
  <c r="G31" i="45"/>
  <c r="M31" i="45"/>
  <c r="F35" i="45"/>
  <c r="I35" i="45" s="1"/>
  <c r="L35" i="45" s="1"/>
  <c r="O35" i="45" s="1"/>
  <c r="R35" i="45" s="1"/>
  <c r="C34" i="45"/>
  <c r="L7" i="45"/>
  <c r="O55" i="198" s="1"/>
  <c r="G8" i="45"/>
  <c r="J8" i="45" s="1"/>
  <c r="M8" i="45" s="1"/>
  <c r="P8" i="45" s="1"/>
  <c r="H26" i="45"/>
  <c r="K26" i="45" s="1"/>
  <c r="N26" i="45" s="1"/>
  <c r="Q26" i="45" s="1"/>
  <c r="X61" i="192"/>
  <c r="X63" i="192"/>
  <c r="AT51" i="234"/>
  <c r="X27" i="192"/>
  <c r="X21" i="192"/>
  <c r="AG21" i="192" s="1"/>
  <c r="I19" i="2" s="1"/>
  <c r="AT21" i="234"/>
  <c r="F58" i="2"/>
  <c r="F63" i="2"/>
  <c r="G63" i="2"/>
  <c r="O65" i="192"/>
  <c r="G59" i="2" s="1"/>
  <c r="O66" i="192"/>
  <c r="G60" i="2" s="1"/>
  <c r="O67" i="192"/>
  <c r="G61" i="2" s="1"/>
  <c r="O68" i="192"/>
  <c r="G62" i="2" s="1"/>
  <c r="O70" i="192"/>
  <c r="G64" i="2" s="1"/>
  <c r="O71" i="192"/>
  <c r="G65" i="2" s="1"/>
  <c r="O72" i="192"/>
  <c r="G66" i="2" s="1"/>
  <c r="F41" i="2"/>
  <c r="F48" i="2"/>
  <c r="O54" i="192"/>
  <c r="G48" i="2" s="1"/>
  <c r="F50" i="2"/>
  <c r="F52" i="2"/>
  <c r="O58" i="192"/>
  <c r="O59" i="192"/>
  <c r="O48" i="192"/>
  <c r="G42" i="2" s="1"/>
  <c r="G44" i="2"/>
  <c r="O51" i="192"/>
  <c r="O52" i="192"/>
  <c r="AT42" i="234" s="1"/>
  <c r="O53" i="192"/>
  <c r="G47" i="2" s="1"/>
  <c r="O55" i="192"/>
  <c r="G49" i="2" s="1"/>
  <c r="O57" i="192"/>
  <c r="G51" i="2" s="1"/>
  <c r="O49" i="234"/>
  <c r="X49" i="234" s="1"/>
  <c r="AG49" i="234" s="1"/>
  <c r="F37" i="2"/>
  <c r="X42" i="192"/>
  <c r="F33" i="2"/>
  <c r="O38" i="192"/>
  <c r="F28" i="2"/>
  <c r="O33" i="192"/>
  <c r="F21" i="2"/>
  <c r="F22" i="2"/>
  <c r="F24" i="2"/>
  <c r="X26" i="192"/>
  <c r="F9" i="2"/>
  <c r="O11" i="192"/>
  <c r="AT11" i="234" s="1"/>
  <c r="F10" i="2"/>
  <c r="F11" i="2"/>
  <c r="O13" i="192"/>
  <c r="AT13" i="234" s="1"/>
  <c r="F13" i="2"/>
  <c r="O15" i="192"/>
  <c r="AT15" i="234" s="1"/>
  <c r="F14" i="2"/>
  <c r="F15" i="2"/>
  <c r="AT17" i="234"/>
  <c r="C65" i="239"/>
  <c r="C50" i="239"/>
  <c r="D4" i="239"/>
  <c r="E4" i="233"/>
  <c r="M179" i="60"/>
  <c r="O179" i="60"/>
  <c r="L62" i="60"/>
  <c r="Q95" i="60"/>
  <c r="L100" i="60"/>
  <c r="L128" i="60"/>
  <c r="P162" i="60"/>
  <c r="H135" i="60"/>
  <c r="H48" i="60"/>
  <c r="H34" i="60"/>
  <c r="N65" i="113"/>
  <c r="N33" i="183" s="1"/>
  <c r="O56" i="219"/>
  <c r="F61" i="113"/>
  <c r="F31" i="183" s="1"/>
  <c r="N61" i="113"/>
  <c r="N31" i="183" s="1"/>
  <c r="M62" i="218"/>
  <c r="N49" i="113"/>
  <c r="N24" i="183" s="1"/>
  <c r="N27" i="183" s="1"/>
  <c r="O56" i="212"/>
  <c r="D99" i="207"/>
  <c r="N30" i="113"/>
  <c r="N15" i="183" s="1"/>
  <c r="O56" i="205"/>
  <c r="H493" i="45"/>
  <c r="K493" i="45" s="1"/>
  <c r="N493" i="45" s="1"/>
  <c r="Q493" i="45" s="1"/>
  <c r="G493" i="45"/>
  <c r="J493" i="45" s="1"/>
  <c r="M493" i="45" s="1"/>
  <c r="P493" i="45" s="1"/>
  <c r="G67" i="2"/>
  <c r="AT63" i="234"/>
  <c r="D60" i="192"/>
  <c r="D54" i="2" s="1"/>
  <c r="F60" i="192"/>
  <c r="F54" i="2" s="1"/>
  <c r="X65" i="192"/>
  <c r="X66" i="192"/>
  <c r="X67" i="192"/>
  <c r="X68" i="192"/>
  <c r="AG68" i="192" s="1"/>
  <c r="X70" i="192"/>
  <c r="E50" i="234"/>
  <c r="AL50" i="234" s="1"/>
  <c r="O54" i="234"/>
  <c r="O56" i="234"/>
  <c r="X56" i="234" s="1"/>
  <c r="AG56" i="234" s="1"/>
  <c r="O58" i="234"/>
  <c r="X58" i="234" s="1"/>
  <c r="AG58" i="234" s="1"/>
  <c r="O60" i="234"/>
  <c r="X60" i="234" s="1"/>
  <c r="AG60" i="234" s="1"/>
  <c r="O62" i="234"/>
  <c r="X62" i="234" s="1"/>
  <c r="AG62" i="234" s="1"/>
  <c r="F67" i="2"/>
  <c r="AT54" i="234"/>
  <c r="O55" i="234"/>
  <c r="X55" i="234" s="1"/>
  <c r="AG55" i="234" s="1"/>
  <c r="O57" i="234"/>
  <c r="X57" i="234" s="1"/>
  <c r="AG57" i="234" s="1"/>
  <c r="O59" i="234"/>
  <c r="X59" i="234" s="1"/>
  <c r="AG59" i="234" s="1"/>
  <c r="AT60" i="234"/>
  <c r="O61" i="234"/>
  <c r="X61" i="234" s="1"/>
  <c r="AG61" i="234" s="1"/>
  <c r="O63" i="234"/>
  <c r="X63" i="234" s="1"/>
  <c r="AG63" i="234" s="1"/>
  <c r="AG37" i="234"/>
  <c r="E46" i="192"/>
  <c r="E40" i="2" s="1"/>
  <c r="AT37" i="234"/>
  <c r="O38" i="234"/>
  <c r="AT39" i="234"/>
  <c r="O40" i="234"/>
  <c r="X40" i="234" s="1"/>
  <c r="AG40" i="234" s="1"/>
  <c r="AT41" i="234"/>
  <c r="O42" i="234"/>
  <c r="X42" i="234" s="1"/>
  <c r="AG42" i="234" s="1"/>
  <c r="AT43" i="234"/>
  <c r="O44" i="234"/>
  <c r="X44" i="234" s="1"/>
  <c r="AG44" i="234" s="1"/>
  <c r="O46" i="234"/>
  <c r="X46" i="234" s="1"/>
  <c r="AG46" i="234" s="1"/>
  <c r="AT47" i="234"/>
  <c r="O48" i="234"/>
  <c r="X48" i="234" s="1"/>
  <c r="AG48" i="234" s="1"/>
  <c r="D46" i="192"/>
  <c r="D40" i="2" s="1"/>
  <c r="F46" i="192"/>
  <c r="F40" i="2" s="1"/>
  <c r="X50" i="192"/>
  <c r="X54" i="192"/>
  <c r="X57" i="192"/>
  <c r="AT38" i="234"/>
  <c r="AT40" i="234"/>
  <c r="AT44" i="234"/>
  <c r="AT46" i="234"/>
  <c r="E41" i="192"/>
  <c r="E36" i="2" s="1"/>
  <c r="O43" i="192"/>
  <c r="O44" i="192"/>
  <c r="E7" i="98"/>
  <c r="D22" i="234"/>
  <c r="AK22" i="234" s="1"/>
  <c r="F31" i="192"/>
  <c r="F26" i="2" s="1"/>
  <c r="D41" i="192"/>
  <c r="D36" i="2" s="1"/>
  <c r="F41" i="192"/>
  <c r="F36" i="2" s="1"/>
  <c r="O33" i="234"/>
  <c r="O35" i="234"/>
  <c r="X35" i="234" s="1"/>
  <c r="AG35" i="234" s="1"/>
  <c r="G34" i="2"/>
  <c r="O37" i="192"/>
  <c r="AT30" i="234"/>
  <c r="X39" i="192"/>
  <c r="X29" i="234"/>
  <c r="F37" i="192"/>
  <c r="F32" i="2" s="1"/>
  <c r="AM29" i="234"/>
  <c r="F34" i="2"/>
  <c r="D37" i="192"/>
  <c r="D32" i="2" s="1"/>
  <c r="AT29" i="234"/>
  <c r="O30" i="234"/>
  <c r="X30" i="234" s="1"/>
  <c r="AG30" i="234" s="1"/>
  <c r="E32" i="192"/>
  <c r="E27" i="2" s="1"/>
  <c r="O34" i="192"/>
  <c r="O35" i="192"/>
  <c r="O25" i="234"/>
  <c r="X25" i="234" s="1"/>
  <c r="AG25" i="234" s="1"/>
  <c r="D32" i="192"/>
  <c r="D27" i="2" s="1"/>
  <c r="F32" i="192"/>
  <c r="F27" i="2" s="1"/>
  <c r="O24" i="234"/>
  <c r="O26" i="234"/>
  <c r="X26" i="234" s="1"/>
  <c r="AG26" i="234" s="1"/>
  <c r="O25" i="192"/>
  <c r="G18" i="2"/>
  <c r="AT20" i="234"/>
  <c r="X20" i="192"/>
  <c r="AG11" i="234"/>
  <c r="D10" i="192"/>
  <c r="D8" i="2" s="1"/>
  <c r="F10" i="192"/>
  <c r="F8" i="2" s="1"/>
  <c r="X18" i="192"/>
  <c r="O19" i="192"/>
  <c r="E10" i="234"/>
  <c r="AL10" i="234" s="1"/>
  <c r="O12" i="234"/>
  <c r="O14" i="234"/>
  <c r="X14" i="234" s="1"/>
  <c r="AG14" i="234" s="1"/>
  <c r="O16" i="234"/>
  <c r="X16" i="234" s="1"/>
  <c r="AG16" i="234" s="1"/>
  <c r="O18" i="234"/>
  <c r="X18" i="234" s="1"/>
  <c r="AG18" i="234" s="1"/>
  <c r="O19" i="234"/>
  <c r="X19" i="234" s="1"/>
  <c r="AG19" i="234" s="1"/>
  <c r="O20" i="234"/>
  <c r="X20" i="234" s="1"/>
  <c r="AG20" i="234" s="1"/>
  <c r="F18" i="2"/>
  <c r="AT12" i="234"/>
  <c r="O13" i="234"/>
  <c r="X13" i="234" s="1"/>
  <c r="AG13" i="234" s="1"/>
  <c r="O15" i="234"/>
  <c r="X15" i="234" s="1"/>
  <c r="AG15" i="234" s="1"/>
  <c r="AT16" i="234"/>
  <c r="O17" i="234"/>
  <c r="X17" i="234" s="1"/>
  <c r="AG17" i="234" s="1"/>
  <c r="AT18" i="234"/>
  <c r="E8" i="192"/>
  <c r="E6" i="2" s="1"/>
  <c r="O9" i="192"/>
  <c r="O9" i="234"/>
  <c r="F8" i="192"/>
  <c r="F6" i="2" s="1"/>
  <c r="G139" i="232"/>
  <c r="D65" i="239"/>
  <c r="E65" i="239"/>
  <c r="H139" i="232"/>
  <c r="H120" i="232"/>
  <c r="E56" i="239"/>
  <c r="F23" i="233"/>
  <c r="D59" i="239"/>
  <c r="D23" i="233"/>
  <c r="C63" i="239"/>
  <c r="G133" i="232"/>
  <c r="D63" i="239"/>
  <c r="H133" i="232"/>
  <c r="E63" i="239"/>
  <c r="H103" i="232"/>
  <c r="D50" i="239"/>
  <c r="F19" i="233"/>
  <c r="G103" i="232"/>
  <c r="G98" i="232"/>
  <c r="D47" i="239"/>
  <c r="D18" i="233"/>
  <c r="F18" i="233"/>
  <c r="H98" i="232"/>
  <c r="H93" i="232"/>
  <c r="C44" i="239"/>
  <c r="E44" i="239"/>
  <c r="E17" i="233"/>
  <c r="G93" i="232"/>
  <c r="H60" i="232"/>
  <c r="D28" i="239"/>
  <c r="D11" i="233"/>
  <c r="F11" i="233"/>
  <c r="G60" i="232"/>
  <c r="G54" i="232"/>
  <c r="E177" i="232"/>
  <c r="C23" i="239"/>
  <c r="E23" i="239"/>
  <c r="D10" i="233"/>
  <c r="F10" i="233"/>
  <c r="D23" i="239"/>
  <c r="F177" i="232"/>
  <c r="F4" i="233"/>
  <c r="H15" i="232"/>
  <c r="L162" i="60"/>
  <c r="K179" i="60"/>
  <c r="K181" i="60" s="1"/>
  <c r="H162" i="60"/>
  <c r="D141" i="60"/>
  <c r="P141" i="60"/>
  <c r="H141" i="60"/>
  <c r="L141" i="60"/>
  <c r="L135" i="60"/>
  <c r="Q122" i="60"/>
  <c r="L122" i="60"/>
  <c r="H122" i="60"/>
  <c r="L110" i="60"/>
  <c r="L105" i="60"/>
  <c r="H105" i="60"/>
  <c r="Q100" i="60"/>
  <c r="L95" i="60"/>
  <c r="I179" i="60"/>
  <c r="H74" i="60"/>
  <c r="F179" i="60"/>
  <c r="H62" i="60"/>
  <c r="H56" i="60"/>
  <c r="L56" i="60"/>
  <c r="L34" i="60"/>
  <c r="L23" i="60"/>
  <c r="Q23" i="60"/>
  <c r="H23" i="60"/>
  <c r="L179" i="60"/>
  <c r="L16" i="60"/>
  <c r="Q16" i="60"/>
  <c r="O181" i="60"/>
  <c r="H16" i="60"/>
  <c r="P16" i="60"/>
  <c r="G181" i="60"/>
  <c r="D16" i="60"/>
  <c r="E179" i="60"/>
  <c r="D179" i="60" s="1"/>
  <c r="D70" i="209"/>
  <c r="D148" i="209" s="1"/>
  <c r="D70" i="210"/>
  <c r="D148" i="210" s="1"/>
  <c r="K427" i="45"/>
  <c r="H371" i="45"/>
  <c r="K371" i="45" s="1"/>
  <c r="N371" i="45" s="1"/>
  <c r="Q371" i="45" s="1"/>
  <c r="T371" i="45"/>
  <c r="G371" i="45"/>
  <c r="J371" i="45" s="1"/>
  <c r="M371" i="45" s="1"/>
  <c r="P371" i="45" s="1"/>
  <c r="T370" i="45"/>
  <c r="H370" i="45"/>
  <c r="K370" i="45" s="1"/>
  <c r="N370" i="45" s="1"/>
  <c r="Q370" i="45" s="1"/>
  <c r="R367" i="45"/>
  <c r="S370" i="45"/>
  <c r="G370" i="45"/>
  <c r="J370" i="45" s="1"/>
  <c r="M370" i="45" s="1"/>
  <c r="P370" i="45" s="1"/>
  <c r="Q367" i="45"/>
  <c r="K367" i="45"/>
  <c r="H368" i="45"/>
  <c r="K368" i="45" s="1"/>
  <c r="N368" i="45" s="1"/>
  <c r="Q368" i="45" s="1"/>
  <c r="T368" i="45"/>
  <c r="G376" i="45"/>
  <c r="J376" i="45" s="1"/>
  <c r="M376" i="45" s="1"/>
  <c r="P376" i="45" s="1"/>
  <c r="G368" i="45"/>
  <c r="J368" i="45" s="1"/>
  <c r="M368" i="45" s="1"/>
  <c r="P368" i="45" s="1"/>
  <c r="S368" i="45"/>
  <c r="H376" i="45"/>
  <c r="K376" i="45" s="1"/>
  <c r="N376" i="45" s="1"/>
  <c r="Q376" i="45" s="1"/>
  <c r="K355" i="45"/>
  <c r="M355" i="45"/>
  <c r="O355" i="45"/>
  <c r="G356" i="45"/>
  <c r="J356" i="45" s="1"/>
  <c r="M356" i="45" s="1"/>
  <c r="P356" i="45" s="1"/>
  <c r="H357" i="45"/>
  <c r="K357" i="45" s="1"/>
  <c r="N357" i="45" s="1"/>
  <c r="Q357" i="45" s="1"/>
  <c r="T357" i="45"/>
  <c r="D358" i="45"/>
  <c r="G359" i="45"/>
  <c r="J359" i="45" s="1"/>
  <c r="M359" i="45" s="1"/>
  <c r="P359" i="45" s="1"/>
  <c r="S359" i="45"/>
  <c r="G364" i="45"/>
  <c r="J364" i="45" s="1"/>
  <c r="M364" i="45" s="1"/>
  <c r="P364" i="45" s="1"/>
  <c r="S334" i="45"/>
  <c r="G332" i="45"/>
  <c r="J332" i="45" s="1"/>
  <c r="M332" i="45" s="1"/>
  <c r="P332" i="45" s="1"/>
  <c r="S332" i="45"/>
  <c r="H333" i="45"/>
  <c r="K333" i="45" s="1"/>
  <c r="N333" i="45" s="1"/>
  <c r="Q333" i="45" s="1"/>
  <c r="S340" i="45"/>
  <c r="C334" i="45"/>
  <c r="E334" i="45"/>
  <c r="F335" i="45"/>
  <c r="I335" i="45" s="1"/>
  <c r="L335" i="45" s="1"/>
  <c r="O335" i="45" s="1"/>
  <c r="R335" i="45" s="1"/>
  <c r="H335" i="45"/>
  <c r="K335" i="45" s="1"/>
  <c r="N335" i="45" s="1"/>
  <c r="Q335" i="45" s="1"/>
  <c r="T335" i="45"/>
  <c r="H340" i="45"/>
  <c r="K340" i="45" s="1"/>
  <c r="N340" i="45" s="1"/>
  <c r="Q340" i="45" s="1"/>
  <c r="F316" i="45"/>
  <c r="I316" i="45" s="1"/>
  <c r="L316" i="45" s="1"/>
  <c r="O316" i="45" s="1"/>
  <c r="R316" i="45" s="1"/>
  <c r="K313" i="45"/>
  <c r="M313" i="45"/>
  <c r="O313" i="45"/>
  <c r="G314" i="45"/>
  <c r="J314" i="45" s="1"/>
  <c r="M314" i="45" s="1"/>
  <c r="P314" i="45" s="1"/>
  <c r="H315" i="45"/>
  <c r="K315" i="45" s="1"/>
  <c r="N315" i="45" s="1"/>
  <c r="Q315" i="45" s="1"/>
  <c r="T315" i="45"/>
  <c r="D316" i="45"/>
  <c r="H316" i="45"/>
  <c r="K316" i="45" s="1"/>
  <c r="N316" i="45" s="1"/>
  <c r="Q316" i="45" s="1"/>
  <c r="G317" i="45"/>
  <c r="J317" i="45" s="1"/>
  <c r="M317" i="45" s="1"/>
  <c r="P317" i="45" s="1"/>
  <c r="S317" i="45"/>
  <c r="G328" i="45"/>
  <c r="J328" i="45" s="1"/>
  <c r="M328" i="45" s="1"/>
  <c r="P328" i="45" s="1"/>
  <c r="S298" i="45"/>
  <c r="G298" i="45"/>
  <c r="J298" i="45" s="1"/>
  <c r="M298" i="45" s="1"/>
  <c r="P298" i="45" s="1"/>
  <c r="G291" i="45"/>
  <c r="J291" i="45" s="1"/>
  <c r="M291" i="45" s="1"/>
  <c r="P291" i="45" s="1"/>
  <c r="D292" i="45"/>
  <c r="G293" i="45"/>
  <c r="J293" i="45" s="1"/>
  <c r="M293" i="45" s="1"/>
  <c r="P293" i="45" s="1"/>
  <c r="S293" i="45"/>
  <c r="G297" i="45"/>
  <c r="J297" i="45" s="1"/>
  <c r="M297" i="45" s="1"/>
  <c r="P297" i="45" s="1"/>
  <c r="S297" i="45"/>
  <c r="H298" i="45"/>
  <c r="K298" i="45" s="1"/>
  <c r="N298" i="45" s="1"/>
  <c r="Q298" i="45" s="1"/>
  <c r="Q259" i="45"/>
  <c r="G274" i="45"/>
  <c r="J274" i="45" s="1"/>
  <c r="M274" i="45" s="1"/>
  <c r="P274" i="45" s="1"/>
  <c r="G260" i="45"/>
  <c r="J260" i="45" s="1"/>
  <c r="M260" i="45" s="1"/>
  <c r="P260" i="45" s="1"/>
  <c r="S260" i="45"/>
  <c r="H261" i="45"/>
  <c r="K261" i="45" s="1"/>
  <c r="N261" i="45" s="1"/>
  <c r="Q261" i="45" s="1"/>
  <c r="T264" i="45"/>
  <c r="E262" i="45"/>
  <c r="H263" i="45"/>
  <c r="K263" i="45" s="1"/>
  <c r="N263" i="45" s="1"/>
  <c r="Q263" i="45" s="1"/>
  <c r="H274" i="45"/>
  <c r="K274" i="45" s="1"/>
  <c r="N274" i="45" s="1"/>
  <c r="Q274" i="45" s="1"/>
  <c r="T190" i="45"/>
  <c r="M187" i="45"/>
  <c r="O187" i="45"/>
  <c r="F189" i="45"/>
  <c r="I189" i="45" s="1"/>
  <c r="L189" i="45" s="1"/>
  <c r="O189" i="45" s="1"/>
  <c r="R189" i="45" s="1"/>
  <c r="H189" i="45"/>
  <c r="K189" i="45" s="1"/>
  <c r="N189" i="45" s="1"/>
  <c r="Q189" i="45" s="1"/>
  <c r="T189" i="45"/>
  <c r="D190" i="45"/>
  <c r="H190" i="45"/>
  <c r="K190" i="45" s="1"/>
  <c r="N190" i="45" s="1"/>
  <c r="Q190" i="45" s="1"/>
  <c r="G191" i="45"/>
  <c r="J191" i="45" s="1"/>
  <c r="M191" i="45" s="1"/>
  <c r="P191" i="45" s="1"/>
  <c r="S191" i="45"/>
  <c r="G196" i="45"/>
  <c r="J196" i="45" s="1"/>
  <c r="M196" i="45" s="1"/>
  <c r="P196" i="45" s="1"/>
  <c r="S150" i="45"/>
  <c r="G149" i="45"/>
  <c r="J149" i="45" s="1"/>
  <c r="M149" i="45" s="1"/>
  <c r="P149" i="45" s="1"/>
  <c r="R145" i="45"/>
  <c r="T148" i="45"/>
  <c r="H148" i="45"/>
  <c r="K148" i="45" s="1"/>
  <c r="N148" i="45" s="1"/>
  <c r="Q148" i="45" s="1"/>
  <c r="F146" i="45"/>
  <c r="I146" i="45" s="1"/>
  <c r="L146" i="45" s="1"/>
  <c r="O146" i="45" s="1"/>
  <c r="R146" i="45" s="1"/>
  <c r="H146" i="45"/>
  <c r="K146" i="45" s="1"/>
  <c r="N146" i="45" s="1"/>
  <c r="Q146" i="45" s="1"/>
  <c r="T146" i="45"/>
  <c r="G147" i="45"/>
  <c r="J147" i="45" s="1"/>
  <c r="M147" i="45" s="1"/>
  <c r="P147" i="45" s="1"/>
  <c r="G154" i="45"/>
  <c r="J154" i="45" s="1"/>
  <c r="M154" i="45" s="1"/>
  <c r="P154" i="45" s="1"/>
  <c r="J121" i="45"/>
  <c r="L121" i="45"/>
  <c r="N121" i="45"/>
  <c r="D124" i="45"/>
  <c r="S124" i="45" s="1"/>
  <c r="T122" i="45"/>
  <c r="S123" i="45"/>
  <c r="S142" i="45"/>
  <c r="S125" i="45"/>
  <c r="H142" i="45"/>
  <c r="K142" i="45" s="1"/>
  <c r="N142" i="45" s="1"/>
  <c r="Q142" i="45" s="1"/>
  <c r="G125" i="45"/>
  <c r="J125" i="45" s="1"/>
  <c r="M125" i="45" s="1"/>
  <c r="P125" i="45" s="1"/>
  <c r="G122" i="45"/>
  <c r="J122" i="45" s="1"/>
  <c r="M122" i="45" s="1"/>
  <c r="P122" i="45" s="1"/>
  <c r="S122" i="45"/>
  <c r="H123" i="45"/>
  <c r="K123" i="45" s="1"/>
  <c r="N123" i="45" s="1"/>
  <c r="Q123" i="45" s="1"/>
  <c r="S136" i="45"/>
  <c r="C124" i="45"/>
  <c r="E124" i="45"/>
  <c r="F125" i="45"/>
  <c r="I125" i="45" s="1"/>
  <c r="L125" i="45" s="1"/>
  <c r="O125" i="45" s="1"/>
  <c r="R125" i="45" s="1"/>
  <c r="H125" i="45"/>
  <c r="K125" i="45" s="1"/>
  <c r="N125" i="45" s="1"/>
  <c r="Q125" i="45" s="1"/>
  <c r="T125" i="45"/>
  <c r="H136" i="45"/>
  <c r="K136" i="45" s="1"/>
  <c r="N136" i="45" s="1"/>
  <c r="Q136" i="45" s="1"/>
  <c r="K91" i="45"/>
  <c r="M91" i="45"/>
  <c r="O91" i="45"/>
  <c r="G92" i="45"/>
  <c r="J92" i="45" s="1"/>
  <c r="M92" i="45" s="1"/>
  <c r="P92" i="45" s="1"/>
  <c r="H93" i="45"/>
  <c r="K93" i="45" s="1"/>
  <c r="N93" i="45" s="1"/>
  <c r="Q93" i="45" s="1"/>
  <c r="T93" i="45"/>
  <c r="D94" i="45"/>
  <c r="G95" i="45"/>
  <c r="J95" i="45" s="1"/>
  <c r="M95" i="45" s="1"/>
  <c r="P95" i="45" s="1"/>
  <c r="S95" i="45"/>
  <c r="G106" i="45"/>
  <c r="J106" i="45" s="1"/>
  <c r="M106" i="45" s="1"/>
  <c r="P106" i="45" s="1"/>
  <c r="F70" i="45"/>
  <c r="I70" i="45" s="1"/>
  <c r="L70" i="45" s="1"/>
  <c r="O70" i="45" s="1"/>
  <c r="R70" i="45" s="1"/>
  <c r="T70" i="45"/>
  <c r="K67" i="45"/>
  <c r="M67" i="45"/>
  <c r="O67" i="45"/>
  <c r="G68" i="45"/>
  <c r="J68" i="45" s="1"/>
  <c r="M68" i="45" s="1"/>
  <c r="P68" i="45" s="1"/>
  <c r="H69" i="45"/>
  <c r="K69" i="45" s="1"/>
  <c r="N69" i="45" s="1"/>
  <c r="Q69" i="45" s="1"/>
  <c r="T69" i="45"/>
  <c r="D70" i="45"/>
  <c r="G71" i="45"/>
  <c r="J71" i="45" s="1"/>
  <c r="M71" i="45" s="1"/>
  <c r="P71" i="45" s="1"/>
  <c r="S71" i="45"/>
  <c r="G76" i="45"/>
  <c r="J76" i="45" s="1"/>
  <c r="M76" i="45" s="1"/>
  <c r="P76" i="45" s="1"/>
  <c r="S52" i="45"/>
  <c r="G52" i="45"/>
  <c r="J52" i="45" s="1"/>
  <c r="M52" i="45" s="1"/>
  <c r="P52" i="45" s="1"/>
  <c r="D34" i="45"/>
  <c r="G35" i="45"/>
  <c r="J35" i="45" s="1"/>
  <c r="M35" i="45" s="1"/>
  <c r="P35" i="45" s="1"/>
  <c r="S35" i="45"/>
  <c r="F51" i="45"/>
  <c r="I51" i="45" s="1"/>
  <c r="L51" i="45" s="1"/>
  <c r="O51" i="45" s="1"/>
  <c r="R51" i="45" s="1"/>
  <c r="G51" i="45"/>
  <c r="J51" i="45" s="1"/>
  <c r="M51" i="45" s="1"/>
  <c r="P51" i="45" s="1"/>
  <c r="S51" i="45"/>
  <c r="S28" i="45"/>
  <c r="G28" i="45"/>
  <c r="J28" i="45" s="1"/>
  <c r="M28" i="45" s="1"/>
  <c r="P28" i="45" s="1"/>
  <c r="K7" i="45"/>
  <c r="N55" i="198" s="1"/>
  <c r="G26" i="45"/>
  <c r="J26" i="45" s="1"/>
  <c r="M26" i="45" s="1"/>
  <c r="P26" i="45" s="1"/>
  <c r="S26" i="45"/>
  <c r="H28" i="45"/>
  <c r="K28" i="45" s="1"/>
  <c r="N28" i="45" s="1"/>
  <c r="Q28" i="45" s="1"/>
  <c r="T10" i="45"/>
  <c r="H8" i="45"/>
  <c r="K8" i="45" s="1"/>
  <c r="N8" i="45" s="1"/>
  <c r="Q8" i="45" s="1"/>
  <c r="T8" i="45"/>
  <c r="G9" i="45"/>
  <c r="J9" i="45" s="1"/>
  <c r="M9" i="45" s="1"/>
  <c r="P9" i="45" s="1"/>
  <c r="S9" i="45"/>
  <c r="E482" i="45"/>
  <c r="D483" i="45"/>
  <c r="H7" i="45"/>
  <c r="N52" i="198" s="1"/>
  <c r="N54" i="198" s="1"/>
  <c r="H11" i="45"/>
  <c r="K11" i="45" s="1"/>
  <c r="N11" i="45" s="1"/>
  <c r="Q11" i="45" s="1"/>
  <c r="T11" i="45"/>
  <c r="H16" i="45"/>
  <c r="K16" i="45" s="1"/>
  <c r="N16" i="45" s="1"/>
  <c r="Q16" i="45" s="1"/>
  <c r="G11" i="45"/>
  <c r="J11" i="45" s="1"/>
  <c r="M11" i="45" s="1"/>
  <c r="P11" i="45" s="1"/>
  <c r="S11" i="45"/>
  <c r="G16" i="45"/>
  <c r="J16" i="45" s="1"/>
  <c r="M16" i="45" s="1"/>
  <c r="P16" i="45" s="1"/>
  <c r="F394" i="191"/>
  <c r="E100" i="220"/>
  <c r="E45" i="220"/>
  <c r="H67" i="113"/>
  <c r="J367" i="45"/>
  <c r="C370" i="45"/>
  <c r="C482" i="45"/>
  <c r="C70" i="208"/>
  <c r="K16" i="208"/>
  <c r="K70" i="208" s="1"/>
  <c r="AQ5" i="234"/>
  <c r="AO5" i="234"/>
  <c r="D148" i="200"/>
  <c r="D109" i="200"/>
  <c r="D226" i="203"/>
  <c r="D148" i="203"/>
  <c r="D109" i="203"/>
  <c r="D265" i="203" s="1"/>
  <c r="D187" i="203"/>
  <c r="D148" i="205"/>
  <c r="D187" i="205"/>
  <c r="D109" i="205"/>
  <c r="D148" i="208"/>
  <c r="D109" i="208"/>
  <c r="L148" i="209"/>
  <c r="L109" i="209"/>
  <c r="L148" i="210"/>
  <c r="L109" i="210"/>
  <c r="B70" i="210"/>
  <c r="J16" i="210"/>
  <c r="J70" i="210" s="1"/>
  <c r="D3" i="230"/>
  <c r="B3" i="131"/>
  <c r="H5" i="122"/>
  <c r="D3" i="163"/>
  <c r="B5" i="106"/>
  <c r="I5" i="122"/>
  <c r="E3" i="163"/>
  <c r="E3" i="230"/>
  <c r="C5" i="106"/>
  <c r="F3" i="230"/>
  <c r="J5" i="122"/>
  <c r="F3" i="163"/>
  <c r="D5" i="106"/>
  <c r="K5" i="122"/>
  <c r="G3" i="163"/>
  <c r="G3" i="233"/>
  <c r="F3" i="239"/>
  <c r="G3" i="230"/>
  <c r="G5" i="234"/>
  <c r="G5" i="192"/>
  <c r="E5" i="106"/>
  <c r="L187" i="199"/>
  <c r="L109" i="199"/>
  <c r="L226" i="199" s="1"/>
  <c r="L148" i="199"/>
  <c r="L109" i="201"/>
  <c r="L148" i="201"/>
  <c r="D109" i="202"/>
  <c r="D148" i="202"/>
  <c r="D226" i="204"/>
  <c r="D109" i="204"/>
  <c r="D265" i="204"/>
  <c r="D187" i="204"/>
  <c r="D148" i="204"/>
  <c r="D148" i="206"/>
  <c r="D187" i="206"/>
  <c r="D109" i="206"/>
  <c r="L148" i="207"/>
  <c r="L109" i="207"/>
  <c r="F3" i="135"/>
  <c r="E3" i="131"/>
  <c r="E16" i="228"/>
  <c r="F3" i="183"/>
  <c r="F3" i="113"/>
  <c r="G3" i="126" s="1"/>
  <c r="E16" i="216"/>
  <c r="E16" i="224"/>
  <c r="E16" i="222"/>
  <c r="O3" i="123"/>
  <c r="E16" i="225"/>
  <c r="E16" i="223"/>
  <c r="E16" i="219"/>
  <c r="E16" i="218"/>
  <c r="E16" i="217"/>
  <c r="E16" i="215"/>
  <c r="E16" i="212"/>
  <c r="E16" i="211"/>
  <c r="E16" i="220"/>
  <c r="E16" i="214"/>
  <c r="E16" i="213"/>
  <c r="D148" i="211"/>
  <c r="D109" i="211"/>
  <c r="D148" i="214"/>
  <c r="D109" i="214"/>
  <c r="D109" i="215"/>
  <c r="D148" i="215"/>
  <c r="D148" i="218"/>
  <c r="D187" i="218"/>
  <c r="D109" i="218"/>
  <c r="D187" i="219"/>
  <c r="D148" i="219"/>
  <c r="D109" i="219"/>
  <c r="B9" i="35"/>
  <c r="D5" i="60"/>
  <c r="E5" i="232"/>
  <c r="E5" i="98"/>
  <c r="D5" i="194"/>
  <c r="E5" i="192"/>
  <c r="F29" i="192"/>
  <c r="F75" i="192" s="1"/>
  <c r="D5" i="234"/>
  <c r="AK5" i="234" s="1"/>
  <c r="C16" i="198"/>
  <c r="E16" i="198"/>
  <c r="C16" i="199"/>
  <c r="E16" i="199"/>
  <c r="D70" i="199"/>
  <c r="C16" i="200"/>
  <c r="E16" i="200"/>
  <c r="C16" i="201"/>
  <c r="E16" i="201"/>
  <c r="D70" i="201"/>
  <c r="B16" i="202"/>
  <c r="L16" i="202"/>
  <c r="L70" i="202" s="1"/>
  <c r="B16" i="203"/>
  <c r="L16" i="203"/>
  <c r="L70" i="203" s="1"/>
  <c r="C16" i="204"/>
  <c r="E16" i="204"/>
  <c r="B16" i="205"/>
  <c r="L16" i="205"/>
  <c r="L70" i="205" s="1"/>
  <c r="C16" i="206"/>
  <c r="E16" i="206"/>
  <c r="C16" i="207"/>
  <c r="E16" i="207"/>
  <c r="D70" i="207"/>
  <c r="E16" i="208"/>
  <c r="B16" i="209"/>
  <c r="D109" i="209"/>
  <c r="D109" i="210"/>
  <c r="B16" i="225"/>
  <c r="B16" i="223"/>
  <c r="C3" i="135"/>
  <c r="B16" i="228"/>
  <c r="C3" i="183"/>
  <c r="C3" i="113"/>
  <c r="B16" i="216"/>
  <c r="B16" i="224"/>
  <c r="B16" i="222"/>
  <c r="B16" i="220"/>
  <c r="B16" i="214"/>
  <c r="B16" i="213"/>
  <c r="B16" i="219"/>
  <c r="B16" i="218"/>
  <c r="B16" i="217"/>
  <c r="B16" i="215"/>
  <c r="B16" i="212"/>
  <c r="B16" i="211"/>
  <c r="D3" i="135"/>
  <c r="C3" i="131"/>
  <c r="C16" i="228"/>
  <c r="D3" i="183"/>
  <c r="D3" i="113"/>
  <c r="E3" i="126" s="1"/>
  <c r="C16" i="216"/>
  <c r="C16" i="224"/>
  <c r="C16" i="222"/>
  <c r="G3" i="123"/>
  <c r="C16" i="225"/>
  <c r="C16" i="223"/>
  <c r="C16" i="219"/>
  <c r="C16" i="218"/>
  <c r="C16" i="217"/>
  <c r="C16" i="215"/>
  <c r="C16" i="212"/>
  <c r="C16" i="211"/>
  <c r="C16" i="220"/>
  <c r="C16" i="214"/>
  <c r="C16" i="213"/>
  <c r="F3" i="233"/>
  <c r="E3" i="239"/>
  <c r="D148" i="212"/>
  <c r="D109" i="212"/>
  <c r="D148" i="213"/>
  <c r="D109" i="213"/>
  <c r="D148" i="217"/>
  <c r="D109" i="217"/>
  <c r="H5" i="60"/>
  <c r="D5" i="232"/>
  <c r="D5" i="98"/>
  <c r="H5" i="191"/>
  <c r="C5" i="188" s="1"/>
  <c r="D5" i="188" s="1"/>
  <c r="D5" i="193"/>
  <c r="C5" i="45"/>
  <c r="D5" i="192"/>
  <c r="E5" i="234"/>
  <c r="AL5" i="234" s="1"/>
  <c r="B16" i="198"/>
  <c r="L16" i="198"/>
  <c r="L70" i="198" s="1"/>
  <c r="D70" i="198"/>
  <c r="B16" i="199"/>
  <c r="B16" i="200"/>
  <c r="L16" i="200"/>
  <c r="L70" i="200" s="1"/>
  <c r="B16" i="201"/>
  <c r="C16" i="202"/>
  <c r="E16" i="202"/>
  <c r="C16" i="203"/>
  <c r="E16" i="203"/>
  <c r="B16" i="204"/>
  <c r="L16" i="204"/>
  <c r="L70" i="204" s="1"/>
  <c r="C16" i="205"/>
  <c r="E16" i="205"/>
  <c r="B16" i="206"/>
  <c r="L16" i="206"/>
  <c r="L70" i="206" s="1"/>
  <c r="B16" i="207"/>
  <c r="B16" i="208"/>
  <c r="L16" i="208"/>
  <c r="L70" i="208" s="1"/>
  <c r="C16" i="209"/>
  <c r="E16" i="209"/>
  <c r="C16" i="210"/>
  <c r="E16" i="210"/>
  <c r="D148" i="216"/>
  <c r="D109" i="216"/>
  <c r="L109" i="225"/>
  <c r="L148" i="225"/>
  <c r="L16" i="211"/>
  <c r="L70" i="211" s="1"/>
  <c r="L16" i="212"/>
  <c r="L70" i="212" s="1"/>
  <c r="L16" i="215"/>
  <c r="L70" i="215" s="1"/>
  <c r="L16" i="217"/>
  <c r="L70" i="217" s="1"/>
  <c r="L16" i="218"/>
  <c r="L70" i="218" s="1"/>
  <c r="L16" i="219"/>
  <c r="L70" i="219" s="1"/>
  <c r="D70" i="220"/>
  <c r="L16" i="220"/>
  <c r="L70" i="220" s="1"/>
  <c r="D148" i="222"/>
  <c r="D109" i="222"/>
  <c r="L109" i="223"/>
  <c r="L148" i="223"/>
  <c r="D148" i="224"/>
  <c r="D109" i="224"/>
  <c r="L16" i="213"/>
  <c r="L70" i="213" s="1"/>
  <c r="L16" i="214"/>
  <c r="L70" i="214" s="1"/>
  <c r="L16" i="222"/>
  <c r="L70" i="222" s="1"/>
  <c r="D70" i="223"/>
  <c r="L16" i="224"/>
  <c r="L70" i="224" s="1"/>
  <c r="L16" i="216"/>
  <c r="L70" i="216" s="1"/>
  <c r="D70" i="225"/>
  <c r="L16" i="228"/>
  <c r="E31" i="192"/>
  <c r="E26" i="2" s="1"/>
  <c r="E37" i="192"/>
  <c r="E32" i="2" s="1"/>
  <c r="E100" i="98"/>
  <c r="E7" i="192"/>
  <c r="X6" i="123"/>
  <c r="X82" i="123" s="1"/>
  <c r="T6" i="123"/>
  <c r="T82" i="123" s="1"/>
  <c r="P6" i="123"/>
  <c r="P82" i="123" s="1"/>
  <c r="H428" i="45"/>
  <c r="K428" i="45" s="1"/>
  <c r="N428" i="45" s="1"/>
  <c r="Q428" i="45" s="1"/>
  <c r="H431" i="45"/>
  <c r="K431" i="45" s="1"/>
  <c r="N431" i="45" s="1"/>
  <c r="Q431" i="45" s="1"/>
  <c r="N56" i="218"/>
  <c r="E39" i="228"/>
  <c r="E72" i="228" s="1"/>
  <c r="C8" i="229" s="1"/>
  <c r="G39" i="228"/>
  <c r="G72" i="228" s="1"/>
  <c r="E8" i="229" s="1"/>
  <c r="F39" i="228"/>
  <c r="F72" i="228" s="1"/>
  <c r="D8" i="229" s="1"/>
  <c r="O51" i="123"/>
  <c r="G51" i="113"/>
  <c r="W51" i="123"/>
  <c r="O51" i="113"/>
  <c r="E33" i="198"/>
  <c r="B105" i="211"/>
  <c r="B261" i="204"/>
  <c r="B144" i="207"/>
  <c r="B105" i="207"/>
  <c r="B144" i="220"/>
  <c r="B105" i="220"/>
  <c r="P9" i="191"/>
  <c r="O9" i="191"/>
  <c r="O13" i="191"/>
  <c r="P13" i="191"/>
  <c r="P14" i="191"/>
  <c r="O14" i="191"/>
  <c r="O17" i="191"/>
  <c r="P17" i="191"/>
  <c r="P18" i="191"/>
  <c r="O18" i="191"/>
  <c r="O21" i="191"/>
  <c r="P21" i="191"/>
  <c r="P22" i="191"/>
  <c r="O22" i="191"/>
  <c r="O25" i="191"/>
  <c r="P25" i="191"/>
  <c r="P26" i="191"/>
  <c r="O26" i="191"/>
  <c r="L7" i="191"/>
  <c r="D6" i="188"/>
  <c r="O10" i="191"/>
  <c r="P10" i="191"/>
  <c r="O11" i="191"/>
  <c r="P11" i="191"/>
  <c r="P12" i="191"/>
  <c r="O12" i="191"/>
  <c r="O15" i="191"/>
  <c r="P15" i="191"/>
  <c r="P16" i="191"/>
  <c r="O16" i="191"/>
  <c r="O19" i="191"/>
  <c r="P19" i="191"/>
  <c r="P20" i="191"/>
  <c r="O20" i="191"/>
  <c r="O23" i="191"/>
  <c r="P23" i="191"/>
  <c r="P24" i="191"/>
  <c r="O24" i="191"/>
  <c r="O27" i="191"/>
  <c r="P27" i="191"/>
  <c r="P28" i="191"/>
  <c r="O28" i="191"/>
  <c r="K7" i="191"/>
  <c r="B6" i="188"/>
  <c r="I8" i="191"/>
  <c r="I394" i="191" s="1"/>
  <c r="J71" i="113"/>
  <c r="J36" i="183" s="1"/>
  <c r="F38" i="228"/>
  <c r="F71" i="228" s="1"/>
  <c r="D7" i="229" s="1"/>
  <c r="E38" i="228"/>
  <c r="E71" i="228" s="1"/>
  <c r="C7" i="229" s="1"/>
  <c r="G38" i="228"/>
  <c r="G71" i="228" s="1"/>
  <c r="E7" i="229" s="1"/>
  <c r="F102" i="224"/>
  <c r="M76" i="113" s="1"/>
  <c r="F46" i="224"/>
  <c r="E45" i="224"/>
  <c r="D45" i="224" s="1"/>
  <c r="E102" i="224"/>
  <c r="G102" i="224"/>
  <c r="G46" i="224"/>
  <c r="F41" i="183"/>
  <c r="M56" i="224"/>
  <c r="M59" i="224" s="1"/>
  <c r="O56" i="224"/>
  <c r="O59" i="224" s="1"/>
  <c r="D99" i="224"/>
  <c r="J41" i="183"/>
  <c r="N56" i="224"/>
  <c r="N59" i="224" s="1"/>
  <c r="P403" i="45"/>
  <c r="F406" i="45"/>
  <c r="I406" i="45" s="1"/>
  <c r="L406" i="45" s="1"/>
  <c r="O406" i="45" s="1"/>
  <c r="R406" i="45" s="1"/>
  <c r="D406" i="45"/>
  <c r="H403" i="45"/>
  <c r="S407" i="45"/>
  <c r="G407" i="45"/>
  <c r="J407" i="45" s="1"/>
  <c r="M407" i="45" s="1"/>
  <c r="P407" i="45" s="1"/>
  <c r="S408" i="45"/>
  <c r="E406" i="45"/>
  <c r="T408" i="45"/>
  <c r="H407" i="45"/>
  <c r="K407" i="45" s="1"/>
  <c r="N407" i="45" s="1"/>
  <c r="Q407" i="45" s="1"/>
  <c r="I403" i="45"/>
  <c r="T407" i="45"/>
  <c r="G431" i="45"/>
  <c r="J431" i="45" s="1"/>
  <c r="M431" i="45" s="1"/>
  <c r="P431" i="45" s="1"/>
  <c r="S431" i="45"/>
  <c r="F432" i="45"/>
  <c r="I432" i="45" s="1"/>
  <c r="L432" i="45" s="1"/>
  <c r="O432" i="45" s="1"/>
  <c r="R432" i="45" s="1"/>
  <c r="T432" i="45"/>
  <c r="E485" i="45"/>
  <c r="T428" i="45"/>
  <c r="G429" i="45"/>
  <c r="J429" i="45" s="1"/>
  <c r="M429" i="45" s="1"/>
  <c r="P429" i="45" s="1"/>
  <c r="S429" i="45"/>
  <c r="D430" i="45"/>
  <c r="G436" i="45"/>
  <c r="J436" i="45" s="1"/>
  <c r="M436" i="45" s="1"/>
  <c r="P436" i="45" s="1"/>
  <c r="D482" i="45"/>
  <c r="G428" i="45"/>
  <c r="J428" i="45" s="1"/>
  <c r="M428" i="45" s="1"/>
  <c r="P428" i="45" s="1"/>
  <c r="F429" i="45"/>
  <c r="I429" i="45" s="1"/>
  <c r="L429" i="45" s="1"/>
  <c r="O429" i="45" s="1"/>
  <c r="R429" i="45" s="1"/>
  <c r="H429" i="45"/>
  <c r="K429" i="45" s="1"/>
  <c r="N429" i="45" s="1"/>
  <c r="Q429" i="45" s="1"/>
  <c r="T429" i="45"/>
  <c r="C430" i="45"/>
  <c r="E430" i="45"/>
  <c r="H436" i="45"/>
  <c r="K436" i="45" s="1"/>
  <c r="N436" i="45" s="1"/>
  <c r="Q436" i="45" s="1"/>
  <c r="H4" i="239"/>
  <c r="P6" i="183"/>
  <c r="G100" i="198"/>
  <c r="G102" i="198" s="1"/>
  <c r="Q7" i="113" s="1"/>
  <c r="W7" i="123" s="1"/>
  <c r="G45" i="198"/>
  <c r="O62" i="198"/>
  <c r="L6" i="183"/>
  <c r="G4" i="239"/>
  <c r="N62" i="198"/>
  <c r="E100" i="198"/>
  <c r="E102" i="198" s="1"/>
  <c r="I7" i="113" s="1"/>
  <c r="O7" i="123" s="1"/>
  <c r="E45" i="198"/>
  <c r="F4" i="239"/>
  <c r="H6" i="183"/>
  <c r="M62" i="198"/>
  <c r="N6" i="113"/>
  <c r="N6" i="183" s="1"/>
  <c r="N8" i="183" s="1"/>
  <c r="D99" i="198"/>
  <c r="S7" i="123"/>
  <c r="K7" i="113"/>
  <c r="F45" i="198"/>
  <c r="O59" i="222"/>
  <c r="G102" i="222"/>
  <c r="G46" i="222"/>
  <c r="N71" i="113"/>
  <c r="N36" i="183" s="1"/>
  <c r="N41" i="183" s="1"/>
  <c r="F102" i="222"/>
  <c r="N56" i="222"/>
  <c r="M56" i="222"/>
  <c r="D99" i="222"/>
  <c r="G102" i="220"/>
  <c r="O56" i="220"/>
  <c r="N35" i="183"/>
  <c r="F102" i="220"/>
  <c r="J35" i="183"/>
  <c r="N56" i="220"/>
  <c r="M59" i="220"/>
  <c r="E102" i="220"/>
  <c r="E46" i="220"/>
  <c r="D99" i="220"/>
  <c r="F67" i="113"/>
  <c r="F34" i="183" s="1"/>
  <c r="G100" i="219"/>
  <c r="G46" i="219" s="1"/>
  <c r="G45" i="219"/>
  <c r="P65" i="113"/>
  <c r="G63" i="239"/>
  <c r="L33" i="183"/>
  <c r="F100" i="219"/>
  <c r="F46" i="219" s="1"/>
  <c r="F45" i="219"/>
  <c r="N62" i="219"/>
  <c r="F63" i="239"/>
  <c r="H33" i="183"/>
  <c r="E100" i="219"/>
  <c r="E102" i="219" s="1"/>
  <c r="E45" i="219"/>
  <c r="M62" i="219"/>
  <c r="M59" i="219" s="1"/>
  <c r="F102" i="219"/>
  <c r="N56" i="219"/>
  <c r="D99" i="219"/>
  <c r="F65" i="113"/>
  <c r="F33" i="183" s="1"/>
  <c r="M59" i="214"/>
  <c r="O59" i="214"/>
  <c r="N59" i="214"/>
  <c r="G102" i="214"/>
  <c r="G46" i="214"/>
  <c r="F102" i="214"/>
  <c r="F46" i="214"/>
  <c r="D45" i="214"/>
  <c r="E102" i="214"/>
  <c r="E46" i="214"/>
  <c r="D99" i="214"/>
  <c r="M59" i="207"/>
  <c r="O59" i="207"/>
  <c r="E102" i="207"/>
  <c r="G102" i="207"/>
  <c r="G48" i="207" s="1"/>
  <c r="Q37" i="113" s="1"/>
  <c r="G46" i="207"/>
  <c r="N59" i="207"/>
  <c r="Q38" i="113"/>
  <c r="F102" i="207"/>
  <c r="F46" i="207"/>
  <c r="I38" i="113"/>
  <c r="F45" i="207"/>
  <c r="G33" i="205"/>
  <c r="G33" i="228" s="1"/>
  <c r="G100" i="205"/>
  <c r="G46" i="205" s="1"/>
  <c r="G45" i="205"/>
  <c r="P30" i="113"/>
  <c r="F100" i="205"/>
  <c r="F46" i="205" s="1"/>
  <c r="F45" i="205"/>
  <c r="L30" i="113"/>
  <c r="F28" i="239"/>
  <c r="H15" i="183"/>
  <c r="G11" i="233" s="1"/>
  <c r="E100" i="205"/>
  <c r="E102" i="205" s="1"/>
  <c r="E45" i="205"/>
  <c r="N56" i="205"/>
  <c r="D99" i="205"/>
  <c r="F30" i="113"/>
  <c r="F15" i="183" s="1"/>
  <c r="H23" i="239"/>
  <c r="P14" i="183"/>
  <c r="G256" i="204"/>
  <c r="G258" i="204" s="1"/>
  <c r="Q29" i="113" s="1"/>
  <c r="O29" i="113" s="1"/>
  <c r="G45" i="204"/>
  <c r="O62" i="204"/>
  <c r="F256" i="204"/>
  <c r="F258" i="204" s="1"/>
  <c r="M29" i="113" s="1"/>
  <c r="K29" i="113" s="1"/>
  <c r="F45" i="204"/>
  <c r="G23" i="239"/>
  <c r="L14" i="183"/>
  <c r="N62" i="204"/>
  <c r="F23" i="239"/>
  <c r="H14" i="183"/>
  <c r="E256" i="204"/>
  <c r="E258" i="204" s="1"/>
  <c r="I29" i="113" s="1"/>
  <c r="G29" i="113" s="1"/>
  <c r="E45" i="204"/>
  <c r="M62" i="204"/>
  <c r="M56" i="204"/>
  <c r="D255" i="204"/>
  <c r="O29" i="123"/>
  <c r="J25" i="113"/>
  <c r="J14" i="183" s="1"/>
  <c r="G219" i="204"/>
  <c r="O56" i="204"/>
  <c r="N17" i="183"/>
  <c r="F46" i="204"/>
  <c r="F219" i="204"/>
  <c r="N56" i="204"/>
  <c r="E219" i="204"/>
  <c r="E46" i="204"/>
  <c r="F25" i="113"/>
  <c r="F14" i="183" s="1"/>
  <c r="D216" i="204"/>
  <c r="G100" i="218"/>
  <c r="G102" i="218" s="1"/>
  <c r="G45" i="218"/>
  <c r="H59" i="239"/>
  <c r="P31" i="183"/>
  <c r="I23" i="233" s="1"/>
  <c r="O62" i="218"/>
  <c r="F100" i="218"/>
  <c r="F102" i="218" s="1"/>
  <c r="F45" i="218"/>
  <c r="G59" i="239"/>
  <c r="L31" i="183"/>
  <c r="H23" i="233" s="1"/>
  <c r="N62" i="218"/>
  <c r="E100" i="218"/>
  <c r="E46" i="218" s="1"/>
  <c r="E45" i="218"/>
  <c r="F59" i="239"/>
  <c r="H31" i="183"/>
  <c r="G23" i="233" s="1"/>
  <c r="G46" i="218"/>
  <c r="O56" i="218"/>
  <c r="J61" i="113"/>
  <c r="J31" i="183" s="1"/>
  <c r="M56" i="218"/>
  <c r="D99" i="218"/>
  <c r="N56" i="203"/>
  <c r="N59" i="203" s="1"/>
  <c r="F20" i="113"/>
  <c r="F13" i="183" s="1"/>
  <c r="F141" i="203"/>
  <c r="M56" i="203"/>
  <c r="O56" i="203"/>
  <c r="E141" i="203"/>
  <c r="G141" i="203"/>
  <c r="J20" i="113"/>
  <c r="J13" i="183" s="1"/>
  <c r="J17" i="183" s="1"/>
  <c r="O56" i="201"/>
  <c r="D45" i="201"/>
  <c r="D99" i="201"/>
  <c r="M56" i="201"/>
  <c r="O59" i="201"/>
  <c r="G102" i="201"/>
  <c r="G46" i="201"/>
  <c r="N16" i="113"/>
  <c r="N10" i="183" s="1"/>
  <c r="N12" i="183" s="1"/>
  <c r="F102" i="201"/>
  <c r="F46" i="201"/>
  <c r="N56" i="201"/>
  <c r="E102" i="201"/>
  <c r="F16" i="113"/>
  <c r="F10" i="183" s="1"/>
  <c r="F12" i="183" s="1"/>
  <c r="N59" i="199"/>
  <c r="M59" i="199"/>
  <c r="F46" i="199"/>
  <c r="F219" i="199"/>
  <c r="E219" i="199"/>
  <c r="E46" i="199"/>
  <c r="D216" i="199"/>
  <c r="N56" i="198"/>
  <c r="F219" i="198"/>
  <c r="F46" i="198"/>
  <c r="E219" i="198"/>
  <c r="G219" i="198"/>
  <c r="M56" i="198"/>
  <c r="O56" i="198"/>
  <c r="D216" i="198"/>
  <c r="J6" i="113"/>
  <c r="J6" i="183" s="1"/>
  <c r="J8" i="183" s="1"/>
  <c r="G18" i="228"/>
  <c r="G7" i="131" s="1"/>
  <c r="E18" i="228"/>
  <c r="E7" i="131" s="1"/>
  <c r="H47" i="239"/>
  <c r="P24" i="183"/>
  <c r="G100" i="212"/>
  <c r="G46" i="212" s="1"/>
  <c r="G45" i="212"/>
  <c r="O62" i="212"/>
  <c r="G37" i="228"/>
  <c r="G70" i="228" s="1"/>
  <c r="E6" i="229" s="1"/>
  <c r="L24" i="183"/>
  <c r="G47" i="239"/>
  <c r="F100" i="212"/>
  <c r="F102" i="212" s="1"/>
  <c r="N62" i="212"/>
  <c r="F33" i="228"/>
  <c r="F29" i="228"/>
  <c r="F75" i="228" s="1"/>
  <c r="D11" i="229" s="1"/>
  <c r="F37" i="228"/>
  <c r="F70" i="228" s="1"/>
  <c r="D6" i="229" s="1"/>
  <c r="F47" i="239"/>
  <c r="H24" i="183"/>
  <c r="M62" i="212"/>
  <c r="E33" i="228"/>
  <c r="E37" i="228"/>
  <c r="E70" i="228" s="1"/>
  <c r="C6" i="229" s="1"/>
  <c r="G36" i="228"/>
  <c r="G69" i="228" s="1"/>
  <c r="E5" i="229" s="1"/>
  <c r="G35" i="228"/>
  <c r="G68" i="228" s="1"/>
  <c r="E4" i="229" s="1"/>
  <c r="F49" i="113"/>
  <c r="F24" i="183" s="1"/>
  <c r="F27" i="183" s="1"/>
  <c r="E36" i="228"/>
  <c r="E69" i="228" s="1"/>
  <c r="C5" i="229" s="1"/>
  <c r="E102" i="212"/>
  <c r="E45" i="212"/>
  <c r="D99" i="212"/>
  <c r="E35" i="228"/>
  <c r="E68" i="228" s="1"/>
  <c r="C4" i="229" s="1"/>
  <c r="O53" i="217"/>
  <c r="N53" i="217"/>
  <c r="M53" i="217"/>
  <c r="O62" i="228"/>
  <c r="F139" i="217"/>
  <c r="F46" i="217" s="1"/>
  <c r="F45" i="217"/>
  <c r="G139" i="217"/>
  <c r="G46" i="217" s="1"/>
  <c r="G45" i="217"/>
  <c r="N62" i="217"/>
  <c r="P58" i="113"/>
  <c r="G29" i="228"/>
  <c r="G75" i="228" s="1"/>
  <c r="E11" i="229" s="1"/>
  <c r="L58" i="113"/>
  <c r="H30" i="183"/>
  <c r="F56" i="239"/>
  <c r="H83" i="113"/>
  <c r="E139" i="217"/>
  <c r="E141" i="217" s="1"/>
  <c r="E45" i="217"/>
  <c r="E29" i="228"/>
  <c r="E75" i="228" s="1"/>
  <c r="C11" i="229" s="1"/>
  <c r="M62" i="217"/>
  <c r="N56" i="217"/>
  <c r="F58" i="113"/>
  <c r="J58" i="113"/>
  <c r="N58" i="113"/>
  <c r="M56" i="217"/>
  <c r="O56" i="217"/>
  <c r="D138" i="217"/>
  <c r="AN48" i="234"/>
  <c r="AN50" i="234"/>
  <c r="AN17" i="234"/>
  <c r="AN23" i="234"/>
  <c r="AN54" i="234"/>
  <c r="AN34" i="234"/>
  <c r="AN21" i="234"/>
  <c r="AN15" i="234"/>
  <c r="AN45" i="234"/>
  <c r="AN51" i="234"/>
  <c r="AN52" i="234"/>
  <c r="AN11" i="234"/>
  <c r="AN49" i="234"/>
  <c r="AN26" i="234"/>
  <c r="AN44" i="234"/>
  <c r="AN8" i="234"/>
  <c r="AN35" i="234"/>
  <c r="AN24" i="234"/>
  <c r="AN55" i="234"/>
  <c r="AN20" i="234"/>
  <c r="AN56" i="234"/>
  <c r="AN42" i="234"/>
  <c r="AN30" i="234"/>
  <c r="AN41" i="234"/>
  <c r="AN32" i="234"/>
  <c r="AN58" i="234"/>
  <c r="AN13" i="234"/>
  <c r="AN31" i="234"/>
  <c r="AN46" i="234"/>
  <c r="AN40" i="234"/>
  <c r="AN39" i="234"/>
  <c r="AN9" i="234"/>
  <c r="AN63" i="234"/>
  <c r="AN29" i="234"/>
  <c r="AN53" i="234"/>
  <c r="AN62" i="234"/>
  <c r="AN47" i="234"/>
  <c r="AN14" i="234"/>
  <c r="AN27" i="234"/>
  <c r="AN43" i="234"/>
  <c r="AN59" i="234"/>
  <c r="AN25" i="234"/>
  <c r="AN61" i="234"/>
  <c r="AN10" i="234"/>
  <c r="AN38" i="234"/>
  <c r="AN60" i="234"/>
  <c r="AN18" i="234"/>
  <c r="AN16" i="234"/>
  <c r="AN36" i="234"/>
  <c r="AN37" i="234"/>
  <c r="AN33" i="234"/>
  <c r="AN19" i="234"/>
  <c r="AN12" i="234"/>
  <c r="AN57" i="234"/>
  <c r="AN28" i="234"/>
  <c r="Q223" i="45" l="1"/>
  <c r="M58" i="217"/>
  <c r="P301" i="45"/>
  <c r="N55" i="201"/>
  <c r="Q145" i="45"/>
  <c r="G148" i="45"/>
  <c r="J148" i="45" s="1"/>
  <c r="M148" i="45" s="1"/>
  <c r="P148" i="45" s="1"/>
  <c r="S70" i="123"/>
  <c r="K70" i="113"/>
  <c r="S45" i="123"/>
  <c r="K45" i="113"/>
  <c r="S36" i="123"/>
  <c r="K36" i="113"/>
  <c r="W26" i="123"/>
  <c r="O26" i="113"/>
  <c r="W48" i="123"/>
  <c r="O48" i="113"/>
  <c r="O26" i="123"/>
  <c r="G26" i="113"/>
  <c r="W77" i="123"/>
  <c r="O77" i="113"/>
  <c r="S59" i="123"/>
  <c r="K59" i="113"/>
  <c r="W59" i="123"/>
  <c r="O59" i="113"/>
  <c r="W36" i="123"/>
  <c r="O36" i="113"/>
  <c r="O27" i="123"/>
  <c r="G27" i="113"/>
  <c r="S23" i="123"/>
  <c r="K23" i="113"/>
  <c r="I81" i="113"/>
  <c r="E48" i="225"/>
  <c r="I80" i="113" s="1"/>
  <c r="D177" i="225"/>
  <c r="F45" i="223"/>
  <c r="F100" i="223"/>
  <c r="D138" i="220"/>
  <c r="F139" i="220"/>
  <c r="D216" i="219"/>
  <c r="F100" i="213"/>
  <c r="F45" i="213"/>
  <c r="Q47" i="113"/>
  <c r="G48" i="211"/>
  <c r="Q46" i="113" s="1"/>
  <c r="D138" i="210"/>
  <c r="E139" i="210"/>
  <c r="E141" i="210" s="1"/>
  <c r="I45" i="113" s="1"/>
  <c r="D177" i="211"/>
  <c r="E178" i="207"/>
  <c r="D177" i="207"/>
  <c r="G45" i="206"/>
  <c r="D138" i="206"/>
  <c r="W29" i="123"/>
  <c r="D45" i="207"/>
  <c r="G45" i="216"/>
  <c r="G100" i="216"/>
  <c r="D177" i="220"/>
  <c r="M47" i="113"/>
  <c r="F48" i="211"/>
  <c r="M46" i="113" s="1"/>
  <c r="Q40" i="113"/>
  <c r="G48" i="208"/>
  <c r="Q39" i="113" s="1"/>
  <c r="I40" i="113"/>
  <c r="E48" i="208"/>
  <c r="I39" i="113" s="1"/>
  <c r="E45" i="206"/>
  <c r="E100" i="206"/>
  <c r="D99" i="206"/>
  <c r="D138" i="209"/>
  <c r="N22" i="183"/>
  <c r="F45" i="210"/>
  <c r="G46" i="206"/>
  <c r="M15" i="113"/>
  <c r="S15" i="123" s="1"/>
  <c r="V15" i="123" s="1"/>
  <c r="F48" i="200"/>
  <c r="M14" i="113" s="1"/>
  <c r="D177" i="202"/>
  <c r="E178" i="202"/>
  <c r="E180" i="202" s="1"/>
  <c r="M59" i="204"/>
  <c r="O58" i="215"/>
  <c r="O60" i="215" s="1"/>
  <c r="F48" i="225"/>
  <c r="M80" i="113" s="1"/>
  <c r="M81" i="113"/>
  <c r="E139" i="224"/>
  <c r="D138" i="224"/>
  <c r="I53" i="113"/>
  <c r="E48" i="213"/>
  <c r="I52" i="113" s="1"/>
  <c r="F45" i="209"/>
  <c r="F100" i="209"/>
  <c r="J22" i="183"/>
  <c r="E45" i="207"/>
  <c r="F46" i="210"/>
  <c r="F102" i="210"/>
  <c r="G12" i="45"/>
  <c r="J12" i="45" s="1"/>
  <c r="M12" i="45" s="1"/>
  <c r="P12" i="45" s="1"/>
  <c r="S12" i="45"/>
  <c r="D138" i="201"/>
  <c r="E139" i="201"/>
  <c r="K15" i="113"/>
  <c r="E178" i="223"/>
  <c r="E180" i="223" s="1"/>
  <c r="D177" i="223"/>
  <c r="D138" i="216"/>
  <c r="D177" i="219"/>
  <c r="Q44" i="113"/>
  <c r="F46" i="206"/>
  <c r="F77" i="228"/>
  <c r="D13" i="229" s="1"/>
  <c r="E139" i="202"/>
  <c r="E141" i="202" s="1"/>
  <c r="D138" i="202"/>
  <c r="E178" i="198"/>
  <c r="E180" i="198" s="1"/>
  <c r="D177" i="198"/>
  <c r="D45" i="200"/>
  <c r="G46" i="204"/>
  <c r="D138" i="225"/>
  <c r="D177" i="224"/>
  <c r="G46" i="223"/>
  <c r="D99" i="223"/>
  <c r="E45" i="223"/>
  <c r="E100" i="223"/>
  <c r="I57" i="113"/>
  <c r="F45" i="215"/>
  <c r="D45" i="215" s="1"/>
  <c r="F100" i="215"/>
  <c r="D177" i="210"/>
  <c r="Q35" i="113"/>
  <c r="G48" i="206"/>
  <c r="Q34" i="113" s="1"/>
  <c r="G45" i="211"/>
  <c r="F45" i="206"/>
  <c r="F102" i="208"/>
  <c r="G46" i="209"/>
  <c r="D255" i="199"/>
  <c r="G46" i="199"/>
  <c r="F102" i="205"/>
  <c r="G102" i="219"/>
  <c r="I79" i="113"/>
  <c r="E48" i="216"/>
  <c r="I78" i="113" s="1"/>
  <c r="F46" i="225"/>
  <c r="F102" i="216"/>
  <c r="F46" i="216"/>
  <c r="G45" i="223"/>
  <c r="E139" i="219"/>
  <c r="E141" i="219" s="1"/>
  <c r="D138" i="219"/>
  <c r="G139" i="220"/>
  <c r="G45" i="220"/>
  <c r="D138" i="213"/>
  <c r="F45" i="211"/>
  <c r="D99" i="209"/>
  <c r="E45" i="209"/>
  <c r="E100" i="209"/>
  <c r="G46" i="211"/>
  <c r="G45" i="209"/>
  <c r="I19" i="113"/>
  <c r="E48" i="202"/>
  <c r="I18" i="113" s="1"/>
  <c r="H12" i="45"/>
  <c r="K12" i="45" s="1"/>
  <c r="N12" i="45" s="1"/>
  <c r="Q12" i="45" s="1"/>
  <c r="T12" i="45"/>
  <c r="D45" i="202"/>
  <c r="E46" i="200"/>
  <c r="E102" i="200"/>
  <c r="G45" i="199"/>
  <c r="D45" i="199" s="1"/>
  <c r="F45" i="225"/>
  <c r="D45" i="225" s="1"/>
  <c r="F45" i="216"/>
  <c r="E46" i="216"/>
  <c r="D99" i="217"/>
  <c r="E139" i="215"/>
  <c r="D138" i="215"/>
  <c r="D99" i="213"/>
  <c r="F46" i="211"/>
  <c r="D138" i="211"/>
  <c r="F22" i="183"/>
  <c r="Q15" i="113"/>
  <c r="G48" i="200"/>
  <c r="Q14" i="113" s="1"/>
  <c r="E46" i="202"/>
  <c r="C9" i="203"/>
  <c r="B184" i="203" s="1"/>
  <c r="G45" i="225"/>
  <c r="G100" i="225"/>
  <c r="D45" i="216"/>
  <c r="Q74" i="113"/>
  <c r="G48" i="223"/>
  <c r="Q73" i="113" s="1"/>
  <c r="F178" i="222"/>
  <c r="D177" i="222"/>
  <c r="E100" i="222"/>
  <c r="E45" i="222"/>
  <c r="D45" i="222" s="1"/>
  <c r="F45" i="220"/>
  <c r="D45" i="220" s="1"/>
  <c r="G45" i="215"/>
  <c r="G100" i="215"/>
  <c r="G100" i="213"/>
  <c r="G45" i="213"/>
  <c r="D177" i="212"/>
  <c r="E178" i="212"/>
  <c r="E100" i="210"/>
  <c r="E45" i="210"/>
  <c r="D45" i="210" s="1"/>
  <c r="D99" i="210"/>
  <c r="G178" i="210"/>
  <c r="G45" i="210"/>
  <c r="Q42" i="113"/>
  <c r="G48" i="209"/>
  <c r="Q41" i="113" s="1"/>
  <c r="M35" i="113"/>
  <c r="F48" i="206"/>
  <c r="M34" i="113" s="1"/>
  <c r="M19" i="113"/>
  <c r="F48" i="202"/>
  <c r="M18" i="113" s="1"/>
  <c r="M41" i="228"/>
  <c r="Q11" i="113"/>
  <c r="G48" i="199"/>
  <c r="Q10" i="113" s="1"/>
  <c r="S29" i="123"/>
  <c r="X14" i="192"/>
  <c r="H12" i="2" s="1"/>
  <c r="O41" i="192"/>
  <c r="X53" i="192"/>
  <c r="AV43" i="234" s="1"/>
  <c r="AT55" i="234"/>
  <c r="I11" i="203"/>
  <c r="S99" i="122" s="1"/>
  <c r="C7" i="203"/>
  <c r="B106" i="203" s="1"/>
  <c r="A116" i="224"/>
  <c r="A48" i="222"/>
  <c r="A102" i="222" s="1"/>
  <c r="B177" i="222"/>
  <c r="A129" i="222"/>
  <c r="I147" i="224"/>
  <c r="I147" i="200"/>
  <c r="O52" i="213"/>
  <c r="O54" i="213" s="1"/>
  <c r="D8" i="192"/>
  <c r="D6" i="2" s="1"/>
  <c r="AT14" i="234"/>
  <c r="D7" i="98"/>
  <c r="D7" i="234" s="1"/>
  <c r="AK7" i="234" s="1"/>
  <c r="AT62" i="234"/>
  <c r="AT53" i="234"/>
  <c r="C10" i="203"/>
  <c r="B223" i="203" s="1"/>
  <c r="A127" i="216"/>
  <c r="A138" i="216"/>
  <c r="B168" i="216"/>
  <c r="A111" i="222"/>
  <c r="A72" i="213"/>
  <c r="A72" i="208"/>
  <c r="A150" i="208" s="1"/>
  <c r="B173" i="213"/>
  <c r="A141" i="213"/>
  <c r="A180" i="208"/>
  <c r="X48" i="192"/>
  <c r="AG48" i="192" s="1"/>
  <c r="AT57" i="234"/>
  <c r="G56" i="2"/>
  <c r="X62" i="192"/>
  <c r="C11" i="203"/>
  <c r="B262" i="203" s="1"/>
  <c r="M55" i="215"/>
  <c r="M57" i="215" s="1"/>
  <c r="A117" i="60"/>
  <c r="B144" i="213"/>
  <c r="B105" i="219"/>
  <c r="B222" i="204"/>
  <c r="B144" i="225"/>
  <c r="B105" i="209"/>
  <c r="B144" i="216"/>
  <c r="B183" i="218"/>
  <c r="B144" i="218"/>
  <c r="B105" i="203"/>
  <c r="B261" i="203" s="1"/>
  <c r="B105" i="199"/>
  <c r="B222" i="199" s="1"/>
  <c r="B144" i="219"/>
  <c r="B144" i="215"/>
  <c r="B183" i="206"/>
  <c r="B105" i="202"/>
  <c r="O55" i="204"/>
  <c r="O57" i="204" s="1"/>
  <c r="N55" i="219"/>
  <c r="N57" i="219" s="1"/>
  <c r="M52" i="222"/>
  <c r="M54" i="222" s="1"/>
  <c r="O58" i="223"/>
  <c r="O60" i="223" s="1"/>
  <c r="M61" i="213"/>
  <c r="M63" i="213" s="1"/>
  <c r="O52" i="222"/>
  <c r="O54" i="222" s="1"/>
  <c r="L54" i="222" s="1"/>
  <c r="B144" i="208"/>
  <c r="B105" i="204"/>
  <c r="B144" i="199"/>
  <c r="B144" i="222"/>
  <c r="B105" i="198"/>
  <c r="B261" i="198" s="1"/>
  <c r="N61" i="205"/>
  <c r="N63" i="205" s="1"/>
  <c r="O58" i="219"/>
  <c r="I7" i="203"/>
  <c r="S95" i="122" s="1"/>
  <c r="M52" i="223"/>
  <c r="M54" i="223" s="1"/>
  <c r="M52" i="225"/>
  <c r="M54" i="225" s="1"/>
  <c r="M55" i="213"/>
  <c r="M57" i="213" s="1"/>
  <c r="M55" i="217"/>
  <c r="M57" i="217" s="1"/>
  <c r="A40" i="60"/>
  <c r="B105" i="200"/>
  <c r="M61" i="217"/>
  <c r="M63" i="217" s="1"/>
  <c r="N52" i="199"/>
  <c r="N54" i="199" s="1"/>
  <c r="B105" i="214"/>
  <c r="B183" i="204"/>
  <c r="B183" i="205"/>
  <c r="B144" i="198"/>
  <c r="O58" i="201"/>
  <c r="O61" i="203"/>
  <c r="O63" i="203" s="1"/>
  <c r="N52" i="203"/>
  <c r="N54" i="203" s="1"/>
  <c r="C8" i="203"/>
  <c r="B145" i="203" s="1"/>
  <c r="M58" i="223"/>
  <c r="M60" i="223" s="1"/>
  <c r="N58" i="225"/>
  <c r="N60" i="225" s="1"/>
  <c r="B144" i="206"/>
  <c r="B144" i="201"/>
  <c r="B105" i="224"/>
  <c r="B105" i="223"/>
  <c r="B105" i="217"/>
  <c r="B105" i="212"/>
  <c r="B144" i="210"/>
  <c r="B105" i="205"/>
  <c r="B144" i="203"/>
  <c r="B183" i="198"/>
  <c r="B222" i="203"/>
  <c r="F48" i="224"/>
  <c r="M75" i="113" s="1"/>
  <c r="H30" i="126" s="1"/>
  <c r="P95" i="60"/>
  <c r="H95" i="60"/>
  <c r="E46" i="219"/>
  <c r="G46" i="198"/>
  <c r="G141" i="217"/>
  <c r="D31" i="233"/>
  <c r="C80" i="239"/>
  <c r="X55" i="192"/>
  <c r="AG55" i="192" s="1"/>
  <c r="AT45" i="234"/>
  <c r="AT58" i="234"/>
  <c r="AT56" i="234"/>
  <c r="O61" i="198"/>
  <c r="O63" i="198" s="1"/>
  <c r="X33" i="192"/>
  <c r="O32" i="192"/>
  <c r="AG42" i="192"/>
  <c r="N59" i="218"/>
  <c r="P169" i="45"/>
  <c r="F141" i="217"/>
  <c r="F48" i="217" s="1"/>
  <c r="E46" i="217"/>
  <c r="E100" i="211"/>
  <c r="D99" i="211"/>
  <c r="E45" i="211"/>
  <c r="D45" i="211" s="1"/>
  <c r="T94" i="45"/>
  <c r="N58" i="224"/>
  <c r="N60" i="224" s="1"/>
  <c r="X72" i="192"/>
  <c r="P91" i="45"/>
  <c r="M61" i="203" s="1"/>
  <c r="M63" i="203" s="1"/>
  <c r="F190" i="45"/>
  <c r="I190" i="45" s="1"/>
  <c r="L190" i="45" s="1"/>
  <c r="O190" i="45" s="1"/>
  <c r="R190" i="45" s="1"/>
  <c r="F92" i="192"/>
  <c r="F83" i="2" s="1"/>
  <c r="P355" i="45"/>
  <c r="M61" i="219" s="1"/>
  <c r="M63" i="219" s="1"/>
  <c r="W33" i="123"/>
  <c r="O33" i="113"/>
  <c r="S33" i="123"/>
  <c r="K33" i="113"/>
  <c r="E178" i="205"/>
  <c r="E180" i="205" s="1"/>
  <c r="I33" i="113" s="1"/>
  <c r="D177" i="205"/>
  <c r="E217" i="205"/>
  <c r="E219" i="205" s="1"/>
  <c r="D216" i="205"/>
  <c r="W32" i="123"/>
  <c r="O32" i="113"/>
  <c r="S32" i="123"/>
  <c r="K32" i="113"/>
  <c r="E139" i="205"/>
  <c r="D138" i="205"/>
  <c r="R313" i="45"/>
  <c r="O61" i="217" s="1"/>
  <c r="O63" i="217" s="1"/>
  <c r="G334" i="45"/>
  <c r="J334" i="45" s="1"/>
  <c r="M334" i="45" s="1"/>
  <c r="P334" i="45" s="1"/>
  <c r="T358" i="45"/>
  <c r="O52" i="205"/>
  <c r="O54" i="205" s="1"/>
  <c r="N57" i="198"/>
  <c r="N52" i="222"/>
  <c r="N54" i="222" s="1"/>
  <c r="M61" i="222"/>
  <c r="M63" i="222" s="1"/>
  <c r="H10" i="45"/>
  <c r="K10" i="45" s="1"/>
  <c r="N10" i="45" s="1"/>
  <c r="Q10" i="45" s="1"/>
  <c r="S8" i="45"/>
  <c r="H70" i="45"/>
  <c r="K70" i="45" s="1"/>
  <c r="N70" i="45" s="1"/>
  <c r="Q70" i="45" s="1"/>
  <c r="H94" i="45"/>
  <c r="K94" i="45" s="1"/>
  <c r="N94" i="45" s="1"/>
  <c r="Q94" i="45" s="1"/>
  <c r="M58" i="203"/>
  <c r="M58" i="207"/>
  <c r="M60" i="207" s="1"/>
  <c r="N61" i="212"/>
  <c r="N63" i="212" s="1"/>
  <c r="N61" i="220"/>
  <c r="N63" i="220" s="1"/>
  <c r="M52" i="199"/>
  <c r="M54" i="199" s="1"/>
  <c r="O55" i="201"/>
  <c r="O57" i="201" s="1"/>
  <c r="O52" i="203"/>
  <c r="O54" i="203" s="1"/>
  <c r="M52" i="204"/>
  <c r="M54" i="204" s="1"/>
  <c r="O61" i="207"/>
  <c r="O63" i="207" s="1"/>
  <c r="O55" i="212"/>
  <c r="O57" i="212" s="1"/>
  <c r="N58" i="214"/>
  <c r="N60" i="214" s="1"/>
  <c r="M52" i="217"/>
  <c r="M54" i="217" s="1"/>
  <c r="N61" i="218"/>
  <c r="N63" i="218" s="1"/>
  <c r="O55" i="218"/>
  <c r="O61" i="219"/>
  <c r="O63" i="219" s="1"/>
  <c r="M52" i="219"/>
  <c r="M54" i="219" s="1"/>
  <c r="N55" i="222"/>
  <c r="N55" i="223"/>
  <c r="N57" i="223" s="1"/>
  <c r="O52" i="223"/>
  <c r="O54" i="223" s="1"/>
  <c r="M58" i="222"/>
  <c r="O55" i="225"/>
  <c r="O57" i="225" s="1"/>
  <c r="O52" i="225"/>
  <c r="O54" i="225" s="1"/>
  <c r="O61" i="225"/>
  <c r="O63" i="225" s="1"/>
  <c r="M52" i="213"/>
  <c r="M54" i="213" s="1"/>
  <c r="M58" i="213"/>
  <c r="M60" i="213" s="1"/>
  <c r="O61" i="213"/>
  <c r="O63" i="213" s="1"/>
  <c r="N52" i="215"/>
  <c r="N54" i="215" s="1"/>
  <c r="M58" i="215"/>
  <c r="M60" i="215" s="1"/>
  <c r="M61" i="215"/>
  <c r="M63" i="215" s="1"/>
  <c r="N52" i="224"/>
  <c r="N54" i="224" s="1"/>
  <c r="O55" i="205"/>
  <c r="O57" i="205" s="1"/>
  <c r="H226" i="45"/>
  <c r="K226" i="45" s="1"/>
  <c r="N226" i="45" s="1"/>
  <c r="Q226" i="45" s="1"/>
  <c r="H202" i="45"/>
  <c r="K202" i="45" s="1"/>
  <c r="N202" i="45" s="1"/>
  <c r="Q202" i="45" s="1"/>
  <c r="O60" i="201"/>
  <c r="M55" i="220"/>
  <c r="M57" i="220" s="1"/>
  <c r="M58" i="201"/>
  <c r="O61" i="201"/>
  <c r="O63" i="201" s="1"/>
  <c r="M61" i="201"/>
  <c r="M63" i="201" s="1"/>
  <c r="O58" i="203"/>
  <c r="N55" i="203"/>
  <c r="N57" i="203" s="1"/>
  <c r="N58" i="204"/>
  <c r="M55" i="204"/>
  <c r="M57" i="204" s="1"/>
  <c r="O61" i="205"/>
  <c r="O63" i="205" s="1"/>
  <c r="O58" i="207"/>
  <c r="O60" i="207" s="1"/>
  <c r="M61" i="207"/>
  <c r="M63" i="207" s="1"/>
  <c r="G262" i="45"/>
  <c r="J262" i="45" s="1"/>
  <c r="M262" i="45" s="1"/>
  <c r="P262" i="45" s="1"/>
  <c r="O58" i="217"/>
  <c r="N55" i="217"/>
  <c r="H358" i="45"/>
  <c r="K358" i="45" s="1"/>
  <c r="N358" i="45" s="1"/>
  <c r="Q358" i="45" s="1"/>
  <c r="M58" i="219"/>
  <c r="M60" i="219" s="1"/>
  <c r="N55" i="220"/>
  <c r="N57" i="220" s="1"/>
  <c r="O61" i="220"/>
  <c r="O63" i="220" s="1"/>
  <c r="N55" i="224"/>
  <c r="M58" i="199"/>
  <c r="M60" i="199" s="1"/>
  <c r="N52" i="201"/>
  <c r="N54" i="201" s="1"/>
  <c r="M52" i="203"/>
  <c r="M54" i="203" s="1"/>
  <c r="O52" i="204"/>
  <c r="O54" i="204" s="1"/>
  <c r="N55" i="205"/>
  <c r="N57" i="205" s="1"/>
  <c r="N58" i="212"/>
  <c r="M55" i="212"/>
  <c r="M57" i="212" s="1"/>
  <c r="N52" i="214"/>
  <c r="N54" i="214" s="1"/>
  <c r="O52" i="217"/>
  <c r="O54" i="217" s="1"/>
  <c r="N58" i="218"/>
  <c r="M55" i="218"/>
  <c r="M57" i="218" s="1"/>
  <c r="O52" i="219"/>
  <c r="O54" i="219" s="1"/>
  <c r="O55" i="203"/>
  <c r="O57" i="203" s="1"/>
  <c r="N58" i="222"/>
  <c r="M55" i="222"/>
  <c r="M57" i="222" s="1"/>
  <c r="M55" i="223"/>
  <c r="M57" i="223" s="1"/>
  <c r="O55" i="223"/>
  <c r="O57" i="223" s="1"/>
  <c r="N52" i="223"/>
  <c r="N54" i="223" s="1"/>
  <c r="N58" i="223"/>
  <c r="N60" i="223" s="1"/>
  <c r="O55" i="222"/>
  <c r="O57" i="222" s="1"/>
  <c r="O58" i="222"/>
  <c r="O60" i="222" s="1"/>
  <c r="N55" i="225"/>
  <c r="N57" i="225" s="1"/>
  <c r="M58" i="225"/>
  <c r="M60" i="225" s="1"/>
  <c r="N52" i="225"/>
  <c r="N54" i="225" s="1"/>
  <c r="M55" i="225"/>
  <c r="M57" i="225" s="1"/>
  <c r="O58" i="225"/>
  <c r="O60" i="225" s="1"/>
  <c r="M61" i="225"/>
  <c r="M63" i="225" s="1"/>
  <c r="N55" i="213"/>
  <c r="N57" i="213" s="1"/>
  <c r="N52" i="213"/>
  <c r="N54" i="213" s="1"/>
  <c r="O55" i="213"/>
  <c r="O57" i="213" s="1"/>
  <c r="N58" i="213"/>
  <c r="N60" i="213" s="1"/>
  <c r="N61" i="213"/>
  <c r="N63" i="213" s="1"/>
  <c r="O58" i="213"/>
  <c r="O60" i="213" s="1"/>
  <c r="M52" i="215"/>
  <c r="M54" i="215" s="1"/>
  <c r="O52" i="215"/>
  <c r="O54" i="215" s="1"/>
  <c r="N55" i="215"/>
  <c r="N57" i="215" s="1"/>
  <c r="O55" i="215"/>
  <c r="O57" i="215" s="1"/>
  <c r="N58" i="215"/>
  <c r="N60" i="215" s="1"/>
  <c r="O61" i="215"/>
  <c r="O63" i="215" s="1"/>
  <c r="M55" i="224"/>
  <c r="M57" i="224" s="1"/>
  <c r="N58" i="217"/>
  <c r="N58" i="205"/>
  <c r="R223" i="45"/>
  <c r="R199" i="45"/>
  <c r="R169" i="45"/>
  <c r="R211" i="45"/>
  <c r="Q55" i="45"/>
  <c r="N61" i="200" s="1"/>
  <c r="N63" i="200" s="1"/>
  <c r="N58" i="201"/>
  <c r="H179" i="60"/>
  <c r="L6" i="203"/>
  <c r="T94" i="122" s="1"/>
  <c r="I10" i="203"/>
  <c r="S98" i="122" s="1"/>
  <c r="I8" i="203"/>
  <c r="S96" i="122" s="1"/>
  <c r="L11" i="203"/>
  <c r="T99" i="122" s="1"/>
  <c r="L10" i="203"/>
  <c r="T98" i="122" s="1"/>
  <c r="L9" i="203"/>
  <c r="T97" i="122" s="1"/>
  <c r="L8" i="203"/>
  <c r="T96" i="122" s="1"/>
  <c r="L7" i="203"/>
  <c r="T95" i="122" s="1"/>
  <c r="S418" i="45"/>
  <c r="Q415" i="45"/>
  <c r="N61" i="223" s="1"/>
  <c r="N63" i="223" s="1"/>
  <c r="O52" i="201"/>
  <c r="O54" i="201" s="1"/>
  <c r="S304" i="45"/>
  <c r="Q301" i="45"/>
  <c r="N61" i="215" s="1"/>
  <c r="N63" i="215" s="1"/>
  <c r="S460" i="45"/>
  <c r="Q457" i="45"/>
  <c r="N61" i="225" s="1"/>
  <c r="N63" i="225" s="1"/>
  <c r="G460" i="45"/>
  <c r="J460" i="45" s="1"/>
  <c r="M460" i="45" s="1"/>
  <c r="P460" i="45" s="1"/>
  <c r="T418" i="45"/>
  <c r="H418" i="45"/>
  <c r="K418" i="45" s="1"/>
  <c r="N418" i="45" s="1"/>
  <c r="Q418" i="45" s="1"/>
  <c r="R415" i="45"/>
  <c r="O61" i="223" s="1"/>
  <c r="O63" i="223" s="1"/>
  <c r="S394" i="45"/>
  <c r="G394" i="45"/>
  <c r="J394" i="45" s="1"/>
  <c r="M394" i="45" s="1"/>
  <c r="P394" i="45" s="1"/>
  <c r="Q391" i="45"/>
  <c r="O61" i="202"/>
  <c r="O63" i="202" s="1"/>
  <c r="F418" i="45"/>
  <c r="I418" i="45" s="1"/>
  <c r="L418" i="45" s="1"/>
  <c r="O418" i="45" s="1"/>
  <c r="R418" i="45" s="1"/>
  <c r="P415" i="45"/>
  <c r="M61" i="223" s="1"/>
  <c r="M63" i="223" s="1"/>
  <c r="S172" i="45"/>
  <c r="G172" i="45"/>
  <c r="J172" i="45" s="1"/>
  <c r="M172" i="45" s="1"/>
  <c r="P172" i="45" s="1"/>
  <c r="Q169" i="45"/>
  <c r="S33" i="45"/>
  <c r="N31" i="45"/>
  <c r="M55" i="201"/>
  <c r="M57" i="201" s="1"/>
  <c r="A175" i="225"/>
  <c r="A136" i="225"/>
  <c r="A169" i="225"/>
  <c r="A130" i="225"/>
  <c r="I88" i="225"/>
  <c r="F5" i="123"/>
  <c r="J5" i="123" s="1"/>
  <c r="N5" i="123" s="1"/>
  <c r="R5" i="123" s="1"/>
  <c r="V5" i="123" s="1"/>
  <c r="Z5" i="123" s="1"/>
  <c r="B122" i="225"/>
  <c r="B161" i="225"/>
  <c r="A119" i="225"/>
  <c r="A158" i="225"/>
  <c r="A177" i="225"/>
  <c r="A138" i="225"/>
  <c r="B136" i="225"/>
  <c r="B175" i="225"/>
  <c r="B173" i="225"/>
  <c r="B134" i="225"/>
  <c r="B170" i="225"/>
  <c r="B131" i="225"/>
  <c r="A168" i="225"/>
  <c r="A129" i="225"/>
  <c r="A126" i="225"/>
  <c r="A165" i="225"/>
  <c r="B175" i="216"/>
  <c r="B136" i="216"/>
  <c r="B136" i="224"/>
  <c r="B175" i="224"/>
  <c r="B167" i="224"/>
  <c r="B128" i="224"/>
  <c r="B176" i="223"/>
  <c r="B137" i="223"/>
  <c r="B167" i="223"/>
  <c r="B128" i="223"/>
  <c r="A136" i="222"/>
  <c r="A175" i="222"/>
  <c r="A165" i="222"/>
  <c r="A126" i="222"/>
  <c r="B176" i="220"/>
  <c r="B215" i="220"/>
  <c r="B137" i="220"/>
  <c r="B212" i="220"/>
  <c r="B134" i="220"/>
  <c r="B173" i="220"/>
  <c r="A208" i="220"/>
  <c r="A130" i="220"/>
  <c r="A169" i="220"/>
  <c r="A147" i="225"/>
  <c r="A108" i="225"/>
  <c r="A122" i="216"/>
  <c r="A161" i="216"/>
  <c r="B119" i="216"/>
  <c r="B158" i="216"/>
  <c r="A108" i="216"/>
  <c r="A147" i="216"/>
  <c r="A137" i="216"/>
  <c r="A176" i="216"/>
  <c r="A173" i="216"/>
  <c r="A134" i="216"/>
  <c r="A170" i="216"/>
  <c r="A131" i="216"/>
  <c r="A129" i="216"/>
  <c r="A168" i="216"/>
  <c r="A48" i="216"/>
  <c r="A102" i="216" s="1"/>
  <c r="A72" i="216"/>
  <c r="I164" i="224"/>
  <c r="I125" i="224"/>
  <c r="A150" i="224"/>
  <c r="A111" i="224"/>
  <c r="A176" i="224"/>
  <c r="A137" i="224"/>
  <c r="B174" i="224"/>
  <c r="B135" i="224"/>
  <c r="B172" i="224"/>
  <c r="B133" i="224"/>
  <c r="A169" i="224"/>
  <c r="A130" i="224"/>
  <c r="A167" i="224"/>
  <c r="A128" i="224"/>
  <c r="A152" i="224"/>
  <c r="A113" i="224"/>
  <c r="A125" i="223"/>
  <c r="A164" i="223"/>
  <c r="A114" i="223"/>
  <c r="A153" i="223"/>
  <c r="A137" i="223"/>
  <c r="A176" i="223"/>
  <c r="B135" i="223"/>
  <c r="B174" i="223"/>
  <c r="B172" i="223"/>
  <c r="B133" i="223"/>
  <c r="A130" i="223"/>
  <c r="A169" i="223"/>
  <c r="A128" i="223"/>
  <c r="A167" i="223"/>
  <c r="A152" i="223"/>
  <c r="A113" i="223"/>
  <c r="B161" i="222"/>
  <c r="B122" i="222"/>
  <c r="A158" i="222"/>
  <c r="A119" i="222"/>
  <c r="A180" i="222"/>
  <c r="A141" i="222"/>
  <c r="B176" i="222"/>
  <c r="B137" i="222"/>
  <c r="A174" i="222"/>
  <c r="A135" i="222"/>
  <c r="A133" i="222"/>
  <c r="A172" i="222"/>
  <c r="B132" i="222"/>
  <c r="B171" i="222"/>
  <c r="A130" i="222"/>
  <c r="A169" i="222"/>
  <c r="A128" i="222"/>
  <c r="A167" i="222"/>
  <c r="A152" i="222"/>
  <c r="A113" i="222"/>
  <c r="A203" i="220"/>
  <c r="A125" i="220"/>
  <c r="A164" i="220"/>
  <c r="A198" i="220"/>
  <c r="A120" i="220"/>
  <c r="A159" i="220"/>
  <c r="A195" i="220"/>
  <c r="A117" i="220"/>
  <c r="A156" i="220"/>
  <c r="A193" i="220"/>
  <c r="A115" i="220"/>
  <c r="A154" i="220"/>
  <c r="A215" i="220"/>
  <c r="A137" i="220"/>
  <c r="A176" i="220"/>
  <c r="B213" i="220"/>
  <c r="B135" i="220"/>
  <c r="B174" i="220"/>
  <c r="B172" i="220"/>
  <c r="B211" i="220"/>
  <c r="B133" i="220"/>
  <c r="B169" i="220"/>
  <c r="B208" i="220"/>
  <c r="B130" i="220"/>
  <c r="B167" i="220"/>
  <c r="B206" i="220"/>
  <c r="B128" i="220"/>
  <c r="A152" i="220"/>
  <c r="A191" i="220"/>
  <c r="A113" i="220"/>
  <c r="O58" i="220"/>
  <c r="N58" i="220"/>
  <c r="M58" i="220"/>
  <c r="M60" i="220" s="1"/>
  <c r="A66" i="220"/>
  <c r="O55" i="220"/>
  <c r="M52" i="220"/>
  <c r="M54" i="220" s="1"/>
  <c r="N52" i="220"/>
  <c r="N54" i="220" s="1"/>
  <c r="O52" i="220"/>
  <c r="O54" i="220" s="1"/>
  <c r="A154" i="225"/>
  <c r="A115" i="225"/>
  <c r="A215" i="219"/>
  <c r="A137" i="219"/>
  <c r="A176" i="219"/>
  <c r="A212" i="219"/>
  <c r="A173" i="219"/>
  <c r="A134" i="219"/>
  <c r="A209" i="219"/>
  <c r="A170" i="219"/>
  <c r="A131" i="219"/>
  <c r="A152" i="219"/>
  <c r="A191" i="219"/>
  <c r="A113" i="219"/>
  <c r="B215" i="218"/>
  <c r="B137" i="218"/>
  <c r="B176" i="218"/>
  <c r="B173" i="218"/>
  <c r="B212" i="218"/>
  <c r="B134" i="218"/>
  <c r="A169" i="218"/>
  <c r="A208" i="218"/>
  <c r="A130" i="218"/>
  <c r="B137" i="217"/>
  <c r="B176" i="217"/>
  <c r="B173" i="217"/>
  <c r="B134" i="217"/>
  <c r="A169" i="217"/>
  <c r="A130" i="217"/>
  <c r="A178" i="215"/>
  <c r="A139" i="215"/>
  <c r="B175" i="215"/>
  <c r="B136" i="215"/>
  <c r="B131" i="215"/>
  <c r="B170" i="215"/>
  <c r="A129" i="215"/>
  <c r="A168" i="215"/>
  <c r="B177" i="214"/>
  <c r="B138" i="214"/>
  <c r="B172" i="214"/>
  <c r="B133" i="214"/>
  <c r="B169" i="214"/>
  <c r="B130" i="214"/>
  <c r="B167" i="214"/>
  <c r="B128" i="214"/>
  <c r="B200" i="219"/>
  <c r="B161" i="219"/>
  <c r="B122" i="219"/>
  <c r="A197" i="219"/>
  <c r="A158" i="219"/>
  <c r="A119" i="219"/>
  <c r="A155" i="219"/>
  <c r="A194" i="219"/>
  <c r="A116" i="219"/>
  <c r="A217" i="219"/>
  <c r="A178" i="219"/>
  <c r="A139" i="219"/>
  <c r="B215" i="219"/>
  <c r="B176" i="219"/>
  <c r="B137" i="219"/>
  <c r="A213" i="219"/>
  <c r="A174" i="219"/>
  <c r="A135" i="219"/>
  <c r="A211" i="219"/>
  <c r="A133" i="219"/>
  <c r="A172" i="219"/>
  <c r="B210" i="219"/>
  <c r="B132" i="219"/>
  <c r="B171" i="219"/>
  <c r="A208" i="219"/>
  <c r="A130" i="219"/>
  <c r="A169" i="219"/>
  <c r="A206" i="219"/>
  <c r="A128" i="219"/>
  <c r="A167" i="219"/>
  <c r="A66" i="219"/>
  <c r="O55" i="219"/>
  <c r="O57" i="219" s="1"/>
  <c r="M55" i="219"/>
  <c r="M57" i="219" s="1"/>
  <c r="N52" i="219"/>
  <c r="N54" i="219" s="1"/>
  <c r="N58" i="219"/>
  <c r="A164" i="218"/>
  <c r="A203" i="218"/>
  <c r="A125" i="218"/>
  <c r="A159" i="218"/>
  <c r="A198" i="218"/>
  <c r="A120" i="218"/>
  <c r="A156" i="218"/>
  <c r="A195" i="218"/>
  <c r="A117" i="218"/>
  <c r="A154" i="218"/>
  <c r="A193" i="218"/>
  <c r="A115" i="218"/>
  <c r="B216" i="218"/>
  <c r="B138" i="218"/>
  <c r="B177" i="218"/>
  <c r="A175" i="218"/>
  <c r="A214" i="218"/>
  <c r="A136" i="218"/>
  <c r="A212" i="218"/>
  <c r="A134" i="218"/>
  <c r="A173" i="218"/>
  <c r="A210" i="218"/>
  <c r="A132" i="218"/>
  <c r="A171" i="218"/>
  <c r="A209" i="218"/>
  <c r="A131" i="218"/>
  <c r="A170" i="218"/>
  <c r="A168" i="218"/>
  <c r="A207" i="218"/>
  <c r="A129" i="218"/>
  <c r="I166" i="218"/>
  <c r="I205" i="218"/>
  <c r="I127" i="218"/>
  <c r="A72" i="218"/>
  <c r="A48" i="218"/>
  <c r="A102" i="218" s="1"/>
  <c r="A161" i="217"/>
  <c r="A122" i="217"/>
  <c r="B158" i="217"/>
  <c r="B119" i="217"/>
  <c r="B155" i="217"/>
  <c r="B116" i="217"/>
  <c r="A153" i="217"/>
  <c r="A114" i="217"/>
  <c r="B138" i="217"/>
  <c r="B177" i="217"/>
  <c r="A175" i="217"/>
  <c r="A136" i="217"/>
  <c r="A134" i="217"/>
  <c r="A173" i="217"/>
  <c r="A132" i="217"/>
  <c r="A171" i="217"/>
  <c r="A131" i="217"/>
  <c r="A170" i="217"/>
  <c r="A168" i="217"/>
  <c r="A129" i="217"/>
  <c r="I166" i="217"/>
  <c r="I127" i="217"/>
  <c r="A122" i="215"/>
  <c r="A161" i="215"/>
  <c r="B119" i="215"/>
  <c r="B158" i="215"/>
  <c r="A114" i="215"/>
  <c r="A153" i="215"/>
  <c r="B177" i="215"/>
  <c r="B138" i="215"/>
  <c r="A136" i="215"/>
  <c r="A175" i="215"/>
  <c r="A173" i="215"/>
  <c r="A134" i="215"/>
  <c r="A171" i="215"/>
  <c r="A132" i="215"/>
  <c r="A170" i="215"/>
  <c r="A131" i="215"/>
  <c r="B168" i="215"/>
  <c r="B129" i="215"/>
  <c r="I127" i="215"/>
  <c r="I166" i="215"/>
  <c r="A124" i="214"/>
  <c r="A163" i="214"/>
  <c r="A122" i="214"/>
  <c r="A161" i="214"/>
  <c r="A118" i="214"/>
  <c r="A157" i="214"/>
  <c r="A177" i="214"/>
  <c r="A138" i="214"/>
  <c r="B175" i="214"/>
  <c r="B136" i="214"/>
  <c r="B173" i="214"/>
  <c r="B134" i="214"/>
  <c r="B170" i="214"/>
  <c r="B131" i="214"/>
  <c r="B168" i="214"/>
  <c r="B129" i="214"/>
  <c r="A165" i="214"/>
  <c r="A126" i="214"/>
  <c r="N55" i="214"/>
  <c r="N57" i="214" s="1"/>
  <c r="M55" i="214"/>
  <c r="M57" i="214" s="1"/>
  <c r="O55" i="214"/>
  <c r="O57" i="214" s="1"/>
  <c r="A66" i="214"/>
  <c r="M52" i="214"/>
  <c r="M54" i="214" s="1"/>
  <c r="O52" i="214"/>
  <c r="O54" i="214" s="1"/>
  <c r="A139" i="213"/>
  <c r="A178" i="213"/>
  <c r="B170" i="213"/>
  <c r="B131" i="213"/>
  <c r="A137" i="212"/>
  <c r="A176" i="212"/>
  <c r="A173" i="212"/>
  <c r="A134" i="212"/>
  <c r="A170" i="212"/>
  <c r="A131" i="212"/>
  <c r="B168" i="212"/>
  <c r="B129" i="212"/>
  <c r="A165" i="212"/>
  <c r="A126" i="212"/>
  <c r="A176" i="211"/>
  <c r="A137" i="211"/>
  <c r="A131" i="211"/>
  <c r="A170" i="211"/>
  <c r="I166" i="211"/>
  <c r="I127" i="211"/>
  <c r="B136" i="210"/>
  <c r="B175" i="210"/>
  <c r="A176" i="209"/>
  <c r="A137" i="209"/>
  <c r="A134" i="209"/>
  <c r="A173" i="209"/>
  <c r="A131" i="209"/>
  <c r="A170" i="209"/>
  <c r="A72" i="209"/>
  <c r="A48" i="209"/>
  <c r="A102" i="209" s="1"/>
  <c r="A178" i="208"/>
  <c r="A139" i="208"/>
  <c r="B175" i="208"/>
  <c r="B136" i="208"/>
  <c r="B131" i="208"/>
  <c r="B170" i="208"/>
  <c r="A129" i="208"/>
  <c r="A168" i="208"/>
  <c r="B176" i="207"/>
  <c r="B137" i="207"/>
  <c r="B134" i="207"/>
  <c r="B173" i="207"/>
  <c r="A130" i="207"/>
  <c r="A169" i="207"/>
  <c r="A175" i="206"/>
  <c r="A214" i="206"/>
  <c r="A136" i="206"/>
  <c r="A204" i="206"/>
  <c r="A126" i="206"/>
  <c r="A165" i="206"/>
  <c r="B176" i="205"/>
  <c r="B215" i="205"/>
  <c r="B137" i="205"/>
  <c r="B212" i="205"/>
  <c r="B134" i="205"/>
  <c r="B173" i="205"/>
  <c r="A208" i="205"/>
  <c r="A130" i="205"/>
  <c r="A169" i="205"/>
  <c r="A217" i="204"/>
  <c r="A178" i="204"/>
  <c r="A295" i="204"/>
  <c r="A256" i="204"/>
  <c r="A139" i="204"/>
  <c r="B175" i="204"/>
  <c r="B292" i="204"/>
  <c r="B253" i="204"/>
  <c r="B214" i="204"/>
  <c r="B136" i="204"/>
  <c r="B287" i="204"/>
  <c r="B248" i="204"/>
  <c r="B209" i="204"/>
  <c r="B131" i="204"/>
  <c r="B170" i="204"/>
  <c r="A180" i="217"/>
  <c r="A141" i="217"/>
  <c r="A164" i="213"/>
  <c r="A125" i="213"/>
  <c r="A153" i="213"/>
  <c r="A114" i="213"/>
  <c r="A176" i="213"/>
  <c r="A137" i="213"/>
  <c r="B174" i="213"/>
  <c r="B135" i="213"/>
  <c r="B133" i="213"/>
  <c r="B172" i="213"/>
  <c r="A176" i="225"/>
  <c r="A137" i="225"/>
  <c r="A134" i="225"/>
  <c r="A173" i="225"/>
  <c r="A131" i="225"/>
  <c r="A170" i="225"/>
  <c r="B129" i="225"/>
  <c r="B168" i="225"/>
  <c r="H26" i="233"/>
  <c r="L41" i="183"/>
  <c r="I13" i="233"/>
  <c r="P22" i="183"/>
  <c r="H13" i="233"/>
  <c r="L22" i="183"/>
  <c r="G13" i="233"/>
  <c r="H22" i="183"/>
  <c r="I6" i="233"/>
  <c r="P12" i="183"/>
  <c r="H6" i="233"/>
  <c r="L12" i="183"/>
  <c r="G6" i="233"/>
  <c r="H12" i="183"/>
  <c r="B125" i="225"/>
  <c r="B164" i="225"/>
  <c r="B120" i="225"/>
  <c r="B159" i="225"/>
  <c r="A139" i="225"/>
  <c r="A178" i="225"/>
  <c r="B137" i="225"/>
  <c r="B176" i="225"/>
  <c r="A135" i="225"/>
  <c r="A174" i="225"/>
  <c r="A172" i="225"/>
  <c r="A133" i="225"/>
  <c r="B171" i="225"/>
  <c r="B132" i="225"/>
  <c r="B130" i="225"/>
  <c r="B169" i="225"/>
  <c r="B128" i="225"/>
  <c r="B167" i="225"/>
  <c r="I26" i="233"/>
  <c r="P41" i="183"/>
  <c r="G26" i="233"/>
  <c r="H41" i="183"/>
  <c r="I21" i="233"/>
  <c r="P29" i="183"/>
  <c r="H21" i="233"/>
  <c r="L29" i="183"/>
  <c r="G21" i="233"/>
  <c r="H29" i="183"/>
  <c r="B134" i="216"/>
  <c r="B173" i="216"/>
  <c r="B170" i="224"/>
  <c r="B131" i="224"/>
  <c r="A178" i="223"/>
  <c r="A139" i="223"/>
  <c r="B131" i="223"/>
  <c r="B170" i="223"/>
  <c r="A105" i="222"/>
  <c r="A144" i="222"/>
  <c r="A173" i="222"/>
  <c r="A134" i="222"/>
  <c r="A178" i="220"/>
  <c r="A217" i="220"/>
  <c r="A139" i="220"/>
  <c r="B175" i="220"/>
  <c r="B214" i="220"/>
  <c r="B136" i="220"/>
  <c r="B209" i="220"/>
  <c r="B131" i="220"/>
  <c r="B170" i="220"/>
  <c r="A72" i="225"/>
  <c r="A48" i="225"/>
  <c r="A102" i="225" s="1"/>
  <c r="I125" i="216"/>
  <c r="I164" i="216"/>
  <c r="A120" i="216"/>
  <c r="A159" i="216"/>
  <c r="A115" i="216"/>
  <c r="A154" i="216"/>
  <c r="B177" i="216"/>
  <c r="B138" i="216"/>
  <c r="A136" i="216"/>
  <c r="A175" i="216"/>
  <c r="B169" i="216"/>
  <c r="B130" i="216"/>
  <c r="A165" i="216"/>
  <c r="A126" i="216"/>
  <c r="O61" i="216"/>
  <c r="O63" i="216" s="1"/>
  <c r="N61" i="216"/>
  <c r="N63" i="216" s="1"/>
  <c r="M61" i="216"/>
  <c r="M63" i="216" s="1"/>
  <c r="O58" i="216"/>
  <c r="O60" i="216" s="1"/>
  <c r="N58" i="216"/>
  <c r="N60" i="216" s="1"/>
  <c r="M58" i="216"/>
  <c r="M60" i="216" s="1"/>
  <c r="O55" i="216"/>
  <c r="O57" i="216" s="1"/>
  <c r="N55" i="216"/>
  <c r="N57" i="216" s="1"/>
  <c r="M55" i="216"/>
  <c r="M57" i="216" s="1"/>
  <c r="M52" i="216"/>
  <c r="M54" i="216" s="1"/>
  <c r="O52" i="216"/>
  <c r="O54" i="216" s="1"/>
  <c r="N52" i="216"/>
  <c r="N54" i="216" s="1"/>
  <c r="A66" i="216"/>
  <c r="A156" i="224"/>
  <c r="A117" i="224"/>
  <c r="B138" i="224"/>
  <c r="B177" i="224"/>
  <c r="A175" i="224"/>
  <c r="A136" i="224"/>
  <c r="A173" i="224"/>
  <c r="A134" i="224"/>
  <c r="A171" i="224"/>
  <c r="A132" i="224"/>
  <c r="A170" i="224"/>
  <c r="A131" i="224"/>
  <c r="B168" i="224"/>
  <c r="B129" i="224"/>
  <c r="A165" i="224"/>
  <c r="A126" i="224"/>
  <c r="A117" i="223"/>
  <c r="A156" i="223"/>
  <c r="A111" i="223"/>
  <c r="A150" i="223"/>
  <c r="A136" i="223"/>
  <c r="A175" i="223"/>
  <c r="A173" i="223"/>
  <c r="A134" i="223"/>
  <c r="A171" i="223"/>
  <c r="A132" i="223"/>
  <c r="A170" i="223"/>
  <c r="A131" i="223"/>
  <c r="B168" i="223"/>
  <c r="B129" i="223"/>
  <c r="I127" i="223"/>
  <c r="I166" i="223"/>
  <c r="A166" i="222"/>
  <c r="A127" i="222"/>
  <c r="B159" i="222"/>
  <c r="B120" i="222"/>
  <c r="B154" i="222"/>
  <c r="B115" i="222"/>
  <c r="A138" i="222"/>
  <c r="A177" i="222"/>
  <c r="B175" i="222"/>
  <c r="B136" i="222"/>
  <c r="B134" i="222"/>
  <c r="B173" i="222"/>
  <c r="B131" i="222"/>
  <c r="B170" i="222"/>
  <c r="B168" i="222"/>
  <c r="B129" i="222"/>
  <c r="I127" i="222"/>
  <c r="I166" i="222"/>
  <c r="I203" i="220"/>
  <c r="I125" i="220"/>
  <c r="I164" i="220"/>
  <c r="A200" i="220"/>
  <c r="A122" i="220"/>
  <c r="A161" i="220"/>
  <c r="B197" i="220"/>
  <c r="B119" i="220"/>
  <c r="B158" i="220"/>
  <c r="B194" i="220"/>
  <c r="B116" i="220"/>
  <c r="B155" i="220"/>
  <c r="B177" i="220"/>
  <c r="B216" i="220"/>
  <c r="B138" i="220"/>
  <c r="A214" i="220"/>
  <c r="A136" i="220"/>
  <c r="A175" i="220"/>
  <c r="A173" i="220"/>
  <c r="A212" i="220"/>
  <c r="A134" i="220"/>
  <c r="A171" i="220"/>
  <c r="A210" i="220"/>
  <c r="A132" i="220"/>
  <c r="A170" i="220"/>
  <c r="A209" i="220"/>
  <c r="A131" i="220"/>
  <c r="A207" i="220"/>
  <c r="A129" i="220"/>
  <c r="A168" i="220"/>
  <c r="A165" i="220"/>
  <c r="A204" i="220"/>
  <c r="A126" i="220"/>
  <c r="A72" i="220"/>
  <c r="A48" i="220"/>
  <c r="A102" i="220" s="1"/>
  <c r="A167" i="225"/>
  <c r="A128" i="225"/>
  <c r="A144" i="225"/>
  <c r="A105" i="225"/>
  <c r="A219" i="219"/>
  <c r="A180" i="219"/>
  <c r="A141" i="219"/>
  <c r="A214" i="219"/>
  <c r="A136" i="219"/>
  <c r="A175" i="219"/>
  <c r="I205" i="219"/>
  <c r="I127" i="219"/>
  <c r="I166" i="219"/>
  <c r="A217" i="218"/>
  <c r="A139" i="218"/>
  <c r="A178" i="218"/>
  <c r="B214" i="218"/>
  <c r="B136" i="218"/>
  <c r="B175" i="218"/>
  <c r="B170" i="218"/>
  <c r="B209" i="218"/>
  <c r="B131" i="218"/>
  <c r="A139" i="217"/>
  <c r="A178" i="217"/>
  <c r="B136" i="217"/>
  <c r="B175" i="217"/>
  <c r="B170" i="217"/>
  <c r="B131" i="217"/>
  <c r="B176" i="215"/>
  <c r="B137" i="215"/>
  <c r="B134" i="215"/>
  <c r="B173" i="215"/>
  <c r="B169" i="215"/>
  <c r="B130" i="215"/>
  <c r="B167" i="215"/>
  <c r="B128" i="215"/>
  <c r="A178" i="214"/>
  <c r="A139" i="214"/>
  <c r="B174" i="214"/>
  <c r="B135" i="214"/>
  <c r="A171" i="214"/>
  <c r="A132" i="214"/>
  <c r="A168" i="214"/>
  <c r="A129" i="214"/>
  <c r="B203" i="219"/>
  <c r="B164" i="219"/>
  <c r="B125" i="219"/>
  <c r="B198" i="219"/>
  <c r="B159" i="219"/>
  <c r="B120" i="219"/>
  <c r="B195" i="219"/>
  <c r="B156" i="219"/>
  <c r="B117" i="219"/>
  <c r="B154" i="219"/>
  <c r="B193" i="219"/>
  <c r="B115" i="219"/>
  <c r="A216" i="219"/>
  <c r="A138" i="219"/>
  <c r="A177" i="219"/>
  <c r="B214" i="219"/>
  <c r="B175" i="219"/>
  <c r="B136" i="219"/>
  <c r="B212" i="219"/>
  <c r="B134" i="219"/>
  <c r="B173" i="219"/>
  <c r="B209" i="219"/>
  <c r="B131" i="219"/>
  <c r="B170" i="219"/>
  <c r="B207" i="219"/>
  <c r="B168" i="219"/>
  <c r="B129" i="219"/>
  <c r="A204" i="219"/>
  <c r="A165" i="219"/>
  <c r="A126" i="219"/>
  <c r="A161" i="218"/>
  <c r="A200" i="218"/>
  <c r="A122" i="218"/>
  <c r="B158" i="218"/>
  <c r="B197" i="218"/>
  <c r="B119" i="218"/>
  <c r="B155" i="218"/>
  <c r="B194" i="218"/>
  <c r="B116" i="218"/>
  <c r="A153" i="218"/>
  <c r="A192" i="218"/>
  <c r="A114" i="218"/>
  <c r="A176" i="218"/>
  <c r="A215" i="218"/>
  <c r="A137" i="218"/>
  <c r="B174" i="218"/>
  <c r="B213" i="218"/>
  <c r="B135" i="218"/>
  <c r="B211" i="218"/>
  <c r="B133" i="218"/>
  <c r="B172" i="218"/>
  <c r="B208" i="218"/>
  <c r="B130" i="218"/>
  <c r="B169" i="218"/>
  <c r="B206" i="218"/>
  <c r="B128" i="218"/>
  <c r="B167" i="218"/>
  <c r="A191" i="218"/>
  <c r="A113" i="218"/>
  <c r="A152" i="218"/>
  <c r="A66" i="218"/>
  <c r="N55" i="218"/>
  <c r="N57" i="218" s="1"/>
  <c r="O52" i="218"/>
  <c r="O54" i="218" s="1"/>
  <c r="N52" i="218"/>
  <c r="N54" i="218" s="1"/>
  <c r="O58" i="218"/>
  <c r="M52" i="218"/>
  <c r="M54" i="218" s="1"/>
  <c r="M58" i="218"/>
  <c r="A164" i="217"/>
  <c r="A125" i="217"/>
  <c r="A159" i="217"/>
  <c r="A120" i="217"/>
  <c r="A156" i="217"/>
  <c r="A117" i="217"/>
  <c r="A154" i="217"/>
  <c r="A115" i="217"/>
  <c r="A147" i="217"/>
  <c r="A108" i="217"/>
  <c r="A176" i="217"/>
  <c r="A137" i="217"/>
  <c r="B174" i="217"/>
  <c r="B135" i="217"/>
  <c r="B133" i="217"/>
  <c r="B172" i="217"/>
  <c r="B130" i="217"/>
  <c r="B169" i="217"/>
  <c r="B128" i="217"/>
  <c r="B167" i="217"/>
  <c r="A152" i="217"/>
  <c r="A113" i="217"/>
  <c r="A125" i="215"/>
  <c r="A164" i="215"/>
  <c r="A120" i="215"/>
  <c r="A159" i="215"/>
  <c r="A117" i="215"/>
  <c r="A156" i="215"/>
  <c r="A108" i="215"/>
  <c r="A147" i="215"/>
  <c r="A137" i="215"/>
  <c r="A176" i="215"/>
  <c r="B135" i="215"/>
  <c r="B174" i="215"/>
  <c r="B172" i="215"/>
  <c r="B133" i="215"/>
  <c r="A130" i="215"/>
  <c r="A169" i="215"/>
  <c r="A128" i="215"/>
  <c r="A167" i="215"/>
  <c r="A152" i="215"/>
  <c r="A113" i="215"/>
  <c r="I125" i="214"/>
  <c r="I164" i="214"/>
  <c r="A123" i="214"/>
  <c r="A162" i="214"/>
  <c r="A121" i="214"/>
  <c r="A160" i="214"/>
  <c r="A108" i="214"/>
  <c r="A147" i="214"/>
  <c r="B176" i="214"/>
  <c r="B137" i="214"/>
  <c r="A174" i="214"/>
  <c r="A135" i="214"/>
  <c r="A172" i="214"/>
  <c r="A133" i="214"/>
  <c r="B171" i="214"/>
  <c r="B132" i="214"/>
  <c r="A169" i="214"/>
  <c r="A130" i="214"/>
  <c r="A167" i="214"/>
  <c r="A128" i="214"/>
  <c r="A72" i="214"/>
  <c r="A48" i="214"/>
  <c r="A102" i="214" s="1"/>
  <c r="B137" i="213"/>
  <c r="B176" i="213"/>
  <c r="B167" i="213"/>
  <c r="B128" i="213"/>
  <c r="A136" i="212"/>
  <c r="A175" i="212"/>
  <c r="A130" i="212"/>
  <c r="A169" i="212"/>
  <c r="A128" i="212"/>
  <c r="A167" i="212"/>
  <c r="A152" i="212"/>
  <c r="A113" i="212"/>
  <c r="A167" i="211"/>
  <c r="A128" i="211"/>
  <c r="A113" i="211"/>
  <c r="A152" i="211"/>
  <c r="B173" i="210"/>
  <c r="B134" i="210"/>
  <c r="A175" i="209"/>
  <c r="A136" i="209"/>
  <c r="A126" i="209"/>
  <c r="A165" i="209"/>
  <c r="B176" i="208"/>
  <c r="B137" i="208"/>
  <c r="B134" i="208"/>
  <c r="B173" i="208"/>
  <c r="B169" i="208"/>
  <c r="B130" i="208"/>
  <c r="B167" i="208"/>
  <c r="B128" i="208"/>
  <c r="A178" i="207"/>
  <c r="A139" i="207"/>
  <c r="B175" i="207"/>
  <c r="B136" i="207"/>
  <c r="B131" i="207"/>
  <c r="B170" i="207"/>
  <c r="A176" i="206"/>
  <c r="A215" i="206"/>
  <c r="A137" i="206"/>
  <c r="A212" i="206"/>
  <c r="A134" i="206"/>
  <c r="A173" i="206"/>
  <c r="A209" i="206"/>
  <c r="A131" i="206"/>
  <c r="A170" i="206"/>
  <c r="A72" i="206"/>
  <c r="A48" i="206"/>
  <c r="A102" i="206" s="1"/>
  <c r="A178" i="205"/>
  <c r="A217" i="205"/>
  <c r="A139" i="205"/>
  <c r="B175" i="205"/>
  <c r="B214" i="205"/>
  <c r="B136" i="205"/>
  <c r="B209" i="205"/>
  <c r="B131" i="205"/>
  <c r="B170" i="205"/>
  <c r="B176" i="204"/>
  <c r="B293" i="204"/>
  <c r="B254" i="204"/>
  <c r="B215" i="204"/>
  <c r="B137" i="204"/>
  <c r="B290" i="204"/>
  <c r="B251" i="204"/>
  <c r="B212" i="204"/>
  <c r="B134" i="204"/>
  <c r="B173" i="204"/>
  <c r="A286" i="204"/>
  <c r="A247" i="204"/>
  <c r="A208" i="204"/>
  <c r="A130" i="204"/>
  <c r="A169" i="204"/>
  <c r="A150" i="217"/>
  <c r="A111" i="217"/>
  <c r="A156" i="213"/>
  <c r="A117" i="213"/>
  <c r="A150" i="213"/>
  <c r="A111" i="213"/>
  <c r="A175" i="213"/>
  <c r="A136" i="213"/>
  <c r="A134" i="213"/>
  <c r="A173" i="213"/>
  <c r="A171" i="213"/>
  <c r="A132" i="213"/>
  <c r="A170" i="213"/>
  <c r="A131" i="213"/>
  <c r="B168" i="213"/>
  <c r="B129" i="213"/>
  <c r="I166" i="213"/>
  <c r="I127" i="213"/>
  <c r="B164" i="212"/>
  <c r="B125" i="212"/>
  <c r="F17" i="183"/>
  <c r="O7" i="113"/>
  <c r="E80" i="239"/>
  <c r="A169" i="213"/>
  <c r="A130" i="213"/>
  <c r="A167" i="213"/>
  <c r="A128" i="213"/>
  <c r="A152" i="213"/>
  <c r="A113" i="213"/>
  <c r="B161" i="212"/>
  <c r="B122" i="212"/>
  <c r="A158" i="212"/>
  <c r="A119" i="212"/>
  <c r="A138" i="212"/>
  <c r="A177" i="212"/>
  <c r="B175" i="212"/>
  <c r="B136" i="212"/>
  <c r="B134" i="212"/>
  <c r="B173" i="212"/>
  <c r="B131" i="212"/>
  <c r="B170" i="212"/>
  <c r="A129" i="212"/>
  <c r="A168" i="212"/>
  <c r="I166" i="212"/>
  <c r="I127" i="212"/>
  <c r="A144" i="212"/>
  <c r="A105" i="212"/>
  <c r="B125" i="211"/>
  <c r="B164" i="211"/>
  <c r="A177" i="211"/>
  <c r="A138" i="211"/>
  <c r="B136" i="211"/>
  <c r="B175" i="211"/>
  <c r="B173" i="211"/>
  <c r="B134" i="211"/>
  <c r="B170" i="211"/>
  <c r="B131" i="211"/>
  <c r="A168" i="211"/>
  <c r="A129" i="211"/>
  <c r="A126" i="211"/>
  <c r="A165" i="211"/>
  <c r="O61" i="211"/>
  <c r="O63" i="211" s="1"/>
  <c r="N61" i="211"/>
  <c r="N63" i="211" s="1"/>
  <c r="M61" i="211"/>
  <c r="M63" i="211" s="1"/>
  <c r="N58" i="211"/>
  <c r="N60" i="211" s="1"/>
  <c r="O58" i="211"/>
  <c r="O60" i="211" s="1"/>
  <c r="N55" i="211"/>
  <c r="N57" i="211" s="1"/>
  <c r="M55" i="211"/>
  <c r="M57" i="211" s="1"/>
  <c r="M58" i="211"/>
  <c r="M60" i="211" s="1"/>
  <c r="O55" i="211"/>
  <c r="O57" i="211" s="1"/>
  <c r="O52" i="211"/>
  <c r="O54" i="211" s="1"/>
  <c r="N52" i="211"/>
  <c r="N54" i="211" s="1"/>
  <c r="M52" i="211"/>
  <c r="M54" i="211" s="1"/>
  <c r="A66" i="211"/>
  <c r="I164" i="210"/>
  <c r="I125" i="210"/>
  <c r="A159" i="210"/>
  <c r="A120" i="210"/>
  <c r="A154" i="210"/>
  <c r="A115" i="210"/>
  <c r="B138" i="210"/>
  <c r="B177" i="210"/>
  <c r="A175" i="210"/>
  <c r="A136" i="210"/>
  <c r="A173" i="210"/>
  <c r="A134" i="210"/>
  <c r="A171" i="210"/>
  <c r="A132" i="210"/>
  <c r="A170" i="210"/>
  <c r="A131" i="210"/>
  <c r="A168" i="210"/>
  <c r="A129" i="210"/>
  <c r="A165" i="210"/>
  <c r="A126" i="210"/>
  <c r="O58" i="210"/>
  <c r="O60" i="210" s="1"/>
  <c r="O61" i="210"/>
  <c r="O63" i="210" s="1"/>
  <c r="N61" i="210"/>
  <c r="N63" i="210" s="1"/>
  <c r="M61" i="210"/>
  <c r="M63" i="210" s="1"/>
  <c r="N58" i="210"/>
  <c r="N60" i="210" s="1"/>
  <c r="M58" i="210"/>
  <c r="M60" i="210" s="1"/>
  <c r="O55" i="210"/>
  <c r="O57" i="210" s="1"/>
  <c r="O52" i="210"/>
  <c r="O54" i="210" s="1"/>
  <c r="N52" i="210"/>
  <c r="N54" i="210" s="1"/>
  <c r="M52" i="210"/>
  <c r="M54" i="210" s="1"/>
  <c r="N55" i="210"/>
  <c r="N57" i="210" s="1"/>
  <c r="M55" i="210"/>
  <c r="M57" i="210" s="1"/>
  <c r="A66" i="210"/>
  <c r="B125" i="209"/>
  <c r="B164" i="209"/>
  <c r="B120" i="209"/>
  <c r="B159" i="209"/>
  <c r="B117" i="209"/>
  <c r="B156" i="209"/>
  <c r="B115" i="209"/>
  <c r="B154" i="209"/>
  <c r="A177" i="209"/>
  <c r="A138" i="209"/>
  <c r="B136" i="209"/>
  <c r="B175" i="209"/>
  <c r="B173" i="209"/>
  <c r="B134" i="209"/>
  <c r="B170" i="209"/>
  <c r="B131" i="209"/>
  <c r="B129" i="209"/>
  <c r="B168" i="209"/>
  <c r="I166" i="209"/>
  <c r="I127" i="209"/>
  <c r="A122" i="208"/>
  <c r="A161" i="208"/>
  <c r="B119" i="208"/>
  <c r="B158" i="208"/>
  <c r="A114" i="208"/>
  <c r="A153" i="208"/>
  <c r="B177" i="208"/>
  <c r="B138" i="208"/>
  <c r="A136" i="208"/>
  <c r="A175" i="208"/>
  <c r="A173" i="208"/>
  <c r="A134" i="208"/>
  <c r="A171" i="208"/>
  <c r="A132" i="208"/>
  <c r="A170" i="208"/>
  <c r="A131" i="208"/>
  <c r="B168" i="208"/>
  <c r="B129" i="208"/>
  <c r="I127" i="208"/>
  <c r="I166" i="208"/>
  <c r="A122" i="207"/>
  <c r="A161" i="207"/>
  <c r="B119" i="207"/>
  <c r="B158" i="207"/>
  <c r="B116" i="207"/>
  <c r="B155" i="207"/>
  <c r="A114" i="207"/>
  <c r="A153" i="207"/>
  <c r="A180" i="207"/>
  <c r="A141" i="207"/>
  <c r="A137" i="207"/>
  <c r="A176" i="207"/>
  <c r="B135" i="207"/>
  <c r="B174" i="207"/>
  <c r="B172" i="207"/>
  <c r="B133" i="207"/>
  <c r="B169" i="207"/>
  <c r="B130" i="207"/>
  <c r="B167" i="207"/>
  <c r="B128" i="207"/>
  <c r="N55" i="207"/>
  <c r="N57" i="207" s="1"/>
  <c r="M55" i="207"/>
  <c r="M57" i="207" s="1"/>
  <c r="O55" i="207"/>
  <c r="O57" i="207" s="1"/>
  <c r="A66" i="207"/>
  <c r="B203" i="206"/>
  <c r="B125" i="206"/>
  <c r="B164" i="206"/>
  <c r="B198" i="206"/>
  <c r="B120" i="206"/>
  <c r="B159" i="206"/>
  <c r="B195" i="206"/>
  <c r="B117" i="206"/>
  <c r="B156" i="206"/>
  <c r="B193" i="206"/>
  <c r="B115" i="206"/>
  <c r="B154" i="206"/>
  <c r="A177" i="206"/>
  <c r="A216" i="206"/>
  <c r="A138" i="206"/>
  <c r="B214" i="206"/>
  <c r="B136" i="206"/>
  <c r="B175" i="206"/>
  <c r="B173" i="206"/>
  <c r="B212" i="206"/>
  <c r="B134" i="206"/>
  <c r="B170" i="206"/>
  <c r="B209" i="206"/>
  <c r="B131" i="206"/>
  <c r="B207" i="206"/>
  <c r="B129" i="206"/>
  <c r="B168" i="206"/>
  <c r="I166" i="206"/>
  <c r="I205" i="206"/>
  <c r="I127" i="206"/>
  <c r="A203" i="205"/>
  <c r="A125" i="205"/>
  <c r="A164" i="205"/>
  <c r="A198" i="205"/>
  <c r="A120" i="205"/>
  <c r="A159" i="205"/>
  <c r="A195" i="205"/>
  <c r="A117" i="205"/>
  <c r="A156" i="205"/>
  <c r="A193" i="205"/>
  <c r="A115" i="205"/>
  <c r="A154" i="205"/>
  <c r="A186" i="205"/>
  <c r="A108" i="205"/>
  <c r="A147" i="205"/>
  <c r="A215" i="205"/>
  <c r="A137" i="205"/>
  <c r="A176" i="205"/>
  <c r="B213" i="205"/>
  <c r="B135" i="205"/>
  <c r="B174" i="205"/>
  <c r="B172" i="205"/>
  <c r="B211" i="205"/>
  <c r="B133" i="205"/>
  <c r="B169" i="205"/>
  <c r="B208" i="205"/>
  <c r="B130" i="205"/>
  <c r="B167" i="205"/>
  <c r="B206" i="205"/>
  <c r="B128" i="205"/>
  <c r="A281" i="204"/>
  <c r="A242" i="204"/>
  <c r="A203" i="204"/>
  <c r="A125" i="204"/>
  <c r="A164" i="204"/>
  <c r="A276" i="204"/>
  <c r="A237" i="204"/>
  <c r="A198" i="204"/>
  <c r="A120" i="204"/>
  <c r="A159" i="204"/>
  <c r="A273" i="204"/>
  <c r="A234" i="204"/>
  <c r="A195" i="204"/>
  <c r="A117" i="204"/>
  <c r="A156" i="204"/>
  <c r="A271" i="204"/>
  <c r="A232" i="204"/>
  <c r="A193" i="204"/>
  <c r="A115" i="204"/>
  <c r="A154" i="204"/>
  <c r="B177" i="204"/>
  <c r="B294" i="204"/>
  <c r="B255" i="204"/>
  <c r="B216" i="204"/>
  <c r="B138" i="204"/>
  <c r="A292" i="204"/>
  <c r="A253" i="204"/>
  <c r="A214" i="204"/>
  <c r="A136" i="204"/>
  <c r="A175" i="204"/>
  <c r="A173" i="204"/>
  <c r="A290" i="204"/>
  <c r="A251" i="204"/>
  <c r="A212" i="204"/>
  <c r="A134" i="204"/>
  <c r="A171" i="204"/>
  <c r="A288" i="204"/>
  <c r="A249" i="204"/>
  <c r="A210" i="204"/>
  <c r="A132" i="204"/>
  <c r="A170" i="204"/>
  <c r="A287" i="204"/>
  <c r="A248" i="204"/>
  <c r="A209" i="204"/>
  <c r="A131" i="204"/>
  <c r="A285" i="204"/>
  <c r="A246" i="204"/>
  <c r="A207" i="204"/>
  <c r="A129" i="204"/>
  <c r="A168" i="204"/>
  <c r="A165" i="204"/>
  <c r="A282" i="204"/>
  <c r="A243" i="204"/>
  <c r="A204" i="204"/>
  <c r="A126" i="204"/>
  <c r="A222" i="204"/>
  <c r="A183" i="204"/>
  <c r="A105" i="204"/>
  <c r="A261" i="204"/>
  <c r="A144" i="204"/>
  <c r="A111" i="215"/>
  <c r="A150" i="215"/>
  <c r="A105" i="215"/>
  <c r="A144" i="215"/>
  <c r="A176" i="202"/>
  <c r="A137" i="202"/>
  <c r="A173" i="202"/>
  <c r="A134" i="202"/>
  <c r="A131" i="202"/>
  <c r="A170" i="202"/>
  <c r="A72" i="202"/>
  <c r="A48" i="202"/>
  <c r="A102" i="202" s="1"/>
  <c r="B176" i="201"/>
  <c r="B137" i="201"/>
  <c r="B134" i="201"/>
  <c r="B173" i="201"/>
  <c r="A130" i="201"/>
  <c r="A169" i="201"/>
  <c r="I153" i="200"/>
  <c r="I114" i="200"/>
  <c r="B176" i="200"/>
  <c r="B137" i="200"/>
  <c r="B134" i="200"/>
  <c r="B173" i="200"/>
  <c r="B169" i="200"/>
  <c r="B130" i="200"/>
  <c r="B167" i="200"/>
  <c r="B128" i="200"/>
  <c r="A213" i="199"/>
  <c r="A135" i="199"/>
  <c r="A252" i="199" s="1"/>
  <c r="A174" i="199"/>
  <c r="A169" i="199"/>
  <c r="A208" i="199"/>
  <c r="A130" i="199"/>
  <c r="A247" i="199" s="1"/>
  <c r="A167" i="199"/>
  <c r="A206" i="199"/>
  <c r="A128" i="199"/>
  <c r="A245" i="199" s="1"/>
  <c r="A191" i="199"/>
  <c r="A113" i="199"/>
  <c r="A230" i="199" s="1"/>
  <c r="A152" i="199"/>
  <c r="A253" i="198"/>
  <c r="A214" i="198"/>
  <c r="A136" i="198"/>
  <c r="A292" i="198" s="1"/>
  <c r="A175" i="198"/>
  <c r="J209" i="198"/>
  <c r="J248" i="198" s="1"/>
  <c r="J287" i="198" s="1"/>
  <c r="J92" i="198"/>
  <c r="J131" i="198" s="1"/>
  <c r="J170" i="198" s="1"/>
  <c r="A247" i="198"/>
  <c r="A208" i="198"/>
  <c r="A130" i="198"/>
  <c r="A286" i="198" s="1"/>
  <c r="A169" i="198"/>
  <c r="A245" i="198"/>
  <c r="A206" i="198"/>
  <c r="A128" i="198"/>
  <c r="A284" i="198" s="1"/>
  <c r="A167" i="198"/>
  <c r="A144" i="209"/>
  <c r="A105" i="209"/>
  <c r="A189" i="205"/>
  <c r="A111" i="205"/>
  <c r="A150" i="205"/>
  <c r="B125" i="202"/>
  <c r="B164" i="202"/>
  <c r="B120" i="202"/>
  <c r="B159" i="202"/>
  <c r="B117" i="202"/>
  <c r="B156" i="202"/>
  <c r="B115" i="202"/>
  <c r="B154" i="202"/>
  <c r="A177" i="202"/>
  <c r="A138" i="202"/>
  <c r="B175" i="202"/>
  <c r="B136" i="202"/>
  <c r="B173" i="202"/>
  <c r="B134" i="202"/>
  <c r="B170" i="202"/>
  <c r="B131" i="202"/>
  <c r="B129" i="202"/>
  <c r="B168" i="202"/>
  <c r="I166" i="202"/>
  <c r="I127" i="202"/>
  <c r="A122" i="201"/>
  <c r="A161" i="201"/>
  <c r="B119" i="201"/>
  <c r="B158" i="201"/>
  <c r="B116" i="201"/>
  <c r="B155" i="201"/>
  <c r="A114" i="201"/>
  <c r="A153" i="201"/>
  <c r="A178" i="201"/>
  <c r="A139" i="201"/>
  <c r="A137" i="201"/>
  <c r="A176" i="201"/>
  <c r="B135" i="201"/>
  <c r="B174" i="201"/>
  <c r="B172" i="201"/>
  <c r="B133" i="201"/>
  <c r="B169" i="201"/>
  <c r="B130" i="201"/>
  <c r="B167" i="201"/>
  <c r="B128" i="201"/>
  <c r="A152" i="201"/>
  <c r="A113" i="201"/>
  <c r="A122" i="200"/>
  <c r="A161" i="200"/>
  <c r="B119" i="200"/>
  <c r="B158" i="200"/>
  <c r="A114" i="200"/>
  <c r="A153" i="200"/>
  <c r="B177" i="200"/>
  <c r="B138" i="200"/>
  <c r="A136" i="200"/>
  <c r="A175" i="200"/>
  <c r="A173" i="200"/>
  <c r="A134" i="200"/>
  <c r="A171" i="200"/>
  <c r="A132" i="200"/>
  <c r="A170" i="200"/>
  <c r="A131" i="200"/>
  <c r="B168" i="200"/>
  <c r="B129" i="200"/>
  <c r="I127" i="200"/>
  <c r="I166" i="200"/>
  <c r="B202" i="199"/>
  <c r="B124" i="199"/>
  <c r="B241" i="199" s="1"/>
  <c r="B163" i="199"/>
  <c r="B199" i="199"/>
  <c r="B121" i="199"/>
  <c r="B238" i="199" s="1"/>
  <c r="B160" i="199"/>
  <c r="A141" i="199"/>
  <c r="A258" i="199" s="1"/>
  <c r="A219" i="199"/>
  <c r="A180" i="199"/>
  <c r="B216" i="199"/>
  <c r="B138" i="199"/>
  <c r="B255" i="199" s="1"/>
  <c r="B177" i="199"/>
  <c r="A175" i="199"/>
  <c r="A214" i="199"/>
  <c r="A136" i="199"/>
  <c r="A253" i="199" s="1"/>
  <c r="A212" i="199"/>
  <c r="A134" i="199"/>
  <c r="A251" i="199" s="1"/>
  <c r="A173" i="199"/>
  <c r="A210" i="199"/>
  <c r="A132" i="199"/>
  <c r="A249" i="199" s="1"/>
  <c r="A171" i="199"/>
  <c r="A209" i="199"/>
  <c r="A131" i="199"/>
  <c r="A248" i="199" s="1"/>
  <c r="A170" i="199"/>
  <c r="A168" i="199"/>
  <c r="A207" i="199"/>
  <c r="A129" i="199"/>
  <c r="A246" i="199" s="1"/>
  <c r="A204" i="199"/>
  <c r="A126" i="199"/>
  <c r="A243" i="199" s="1"/>
  <c r="A165" i="199"/>
  <c r="B203" i="198"/>
  <c r="B164" i="198"/>
  <c r="B242" i="198"/>
  <c r="B125" i="198"/>
  <c r="B281" i="198" s="1"/>
  <c r="B159" i="198"/>
  <c r="B237" i="198"/>
  <c r="B198" i="198"/>
  <c r="B120" i="198"/>
  <c r="B276" i="198" s="1"/>
  <c r="I147" i="198"/>
  <c r="I225" i="198"/>
  <c r="I186" i="198"/>
  <c r="I108" i="198"/>
  <c r="I264" i="198" s="1"/>
  <c r="A255" i="198"/>
  <c r="A216" i="198"/>
  <c r="A138" i="198"/>
  <c r="A294" i="198" s="1"/>
  <c r="A177" i="198"/>
  <c r="B175" i="198"/>
  <c r="B253" i="198"/>
  <c r="B214" i="198"/>
  <c r="B136" i="198"/>
  <c r="B292" i="198" s="1"/>
  <c r="B251" i="198"/>
  <c r="B212" i="198"/>
  <c r="B134" i="198"/>
  <c r="B290" i="198" s="1"/>
  <c r="B173" i="198"/>
  <c r="J93" i="198"/>
  <c r="J132" i="198" s="1"/>
  <c r="J171" i="198" s="1"/>
  <c r="J210" i="198"/>
  <c r="J249" i="198" s="1"/>
  <c r="J288" i="198" s="1"/>
  <c r="B169" i="198"/>
  <c r="B247" i="198"/>
  <c r="B208" i="198"/>
  <c r="B130" i="198"/>
  <c r="B286" i="198" s="1"/>
  <c r="B167" i="198"/>
  <c r="B245" i="198"/>
  <c r="B206" i="198"/>
  <c r="B128" i="198"/>
  <c r="B284" i="198" s="1"/>
  <c r="A152" i="198"/>
  <c r="A230" i="198"/>
  <c r="A191" i="198"/>
  <c r="A113" i="198"/>
  <c r="A269" i="198" s="1"/>
  <c r="A111" i="194"/>
  <c r="A111" i="193"/>
  <c r="A116" i="232"/>
  <c r="A118" i="60"/>
  <c r="A106" i="194"/>
  <c r="A110" i="232"/>
  <c r="A112" i="60"/>
  <c r="A106" i="193"/>
  <c r="A101" i="194"/>
  <c r="A101" i="193"/>
  <c r="A104" i="232"/>
  <c r="A106" i="60"/>
  <c r="A54" i="194"/>
  <c r="A57" i="60"/>
  <c r="A54" i="193"/>
  <c r="A55" i="232"/>
  <c r="A38" i="194"/>
  <c r="A40" i="232"/>
  <c r="A41" i="60"/>
  <c r="A38" i="193"/>
  <c r="A8" i="194"/>
  <c r="M169" i="198" s="1"/>
  <c r="M173" i="198" s="1"/>
  <c r="A8" i="193"/>
  <c r="O156" i="199" s="1"/>
  <c r="O158" i="199" s="1"/>
  <c r="A8" i="232"/>
  <c r="A9" i="60"/>
  <c r="L158" i="199" s="1"/>
  <c r="M12" i="123" s="1"/>
  <c r="A144" i="202"/>
  <c r="A105" i="202"/>
  <c r="A145" i="225"/>
  <c r="L8" i="225"/>
  <c r="T250" i="122" s="1"/>
  <c r="C8" i="225"/>
  <c r="B145" i="225" s="1"/>
  <c r="I8" i="225"/>
  <c r="S250" i="122" s="1"/>
  <c r="A106" i="222"/>
  <c r="L7" i="222"/>
  <c r="T221" i="122" s="1"/>
  <c r="C7" i="222"/>
  <c r="B106" i="222" s="1"/>
  <c r="I7" i="222"/>
  <c r="S221" i="122" s="1"/>
  <c r="A67" i="222"/>
  <c r="L6" i="222"/>
  <c r="T220" i="122" s="1"/>
  <c r="C6" i="222"/>
  <c r="B67" i="222" s="1"/>
  <c r="I6" i="222"/>
  <c r="S220" i="122" s="1"/>
  <c r="A184" i="220"/>
  <c r="I9" i="220"/>
  <c r="S209" i="122" s="1"/>
  <c r="L9" i="220"/>
  <c r="T209" i="122" s="1"/>
  <c r="C9" i="220"/>
  <c r="B184" i="220" s="1"/>
  <c r="I8" i="220"/>
  <c r="S208" i="122" s="1"/>
  <c r="A145" i="220"/>
  <c r="L8" i="220"/>
  <c r="T208" i="122" s="1"/>
  <c r="C8" i="220"/>
  <c r="B145" i="220" s="1"/>
  <c r="A106" i="220"/>
  <c r="I7" i="220"/>
  <c r="S207" i="122" s="1"/>
  <c r="L7" i="220"/>
  <c r="T207" i="122" s="1"/>
  <c r="C7" i="220"/>
  <c r="B106" i="220" s="1"/>
  <c r="I6" i="220"/>
  <c r="S206" i="122" s="1"/>
  <c r="A67" i="220"/>
  <c r="L6" i="220"/>
  <c r="T206" i="122" s="1"/>
  <c r="C6" i="220"/>
  <c r="B67" i="220" s="1"/>
  <c r="A184" i="219"/>
  <c r="I9" i="219"/>
  <c r="S202" i="122" s="1"/>
  <c r="L9" i="219"/>
  <c r="T202" i="122" s="1"/>
  <c r="C9" i="219"/>
  <c r="B184" i="219" s="1"/>
  <c r="I8" i="219"/>
  <c r="S201" i="122" s="1"/>
  <c r="A145" i="219"/>
  <c r="L8" i="219"/>
  <c r="T201" i="122" s="1"/>
  <c r="C8" i="219"/>
  <c r="B145" i="219" s="1"/>
  <c r="A106" i="219"/>
  <c r="I7" i="219"/>
  <c r="S200" i="122" s="1"/>
  <c r="L7" i="219"/>
  <c r="T200" i="122" s="1"/>
  <c r="C7" i="219"/>
  <c r="B106" i="219" s="1"/>
  <c r="A67" i="219"/>
  <c r="I6" i="219"/>
  <c r="S199" i="122" s="1"/>
  <c r="L6" i="219"/>
  <c r="T199" i="122" s="1"/>
  <c r="C6" i="219"/>
  <c r="B67" i="219" s="1"/>
  <c r="I8" i="214"/>
  <c r="S173" i="122" s="1"/>
  <c r="A145" i="214"/>
  <c r="L8" i="214"/>
  <c r="T173" i="122" s="1"/>
  <c r="C8" i="214"/>
  <c r="B145" i="214" s="1"/>
  <c r="A106" i="207"/>
  <c r="I7" i="207"/>
  <c r="S123" i="122" s="1"/>
  <c r="L7" i="207"/>
  <c r="T123" i="122" s="1"/>
  <c r="C7" i="207"/>
  <c r="B106" i="207" s="1"/>
  <c r="I6" i="207"/>
  <c r="S122" i="122" s="1"/>
  <c r="A67" i="207"/>
  <c r="L6" i="207"/>
  <c r="T122" i="122" s="1"/>
  <c r="C6" i="207"/>
  <c r="B67" i="207" s="1"/>
  <c r="A145" i="202"/>
  <c r="L8" i="202"/>
  <c r="T89" i="122" s="1"/>
  <c r="C8" i="202"/>
  <c r="B145" i="202" s="1"/>
  <c r="I8" i="202"/>
  <c r="S89" i="122" s="1"/>
  <c r="A67" i="202"/>
  <c r="L6" i="202"/>
  <c r="T87" i="122" s="1"/>
  <c r="C6" i="202"/>
  <c r="B67" i="202" s="1"/>
  <c r="I6" i="202"/>
  <c r="S87" i="122" s="1"/>
  <c r="L8" i="201"/>
  <c r="T82" i="122" s="1"/>
  <c r="C8" i="201"/>
  <c r="B145" i="201" s="1"/>
  <c r="A145" i="201"/>
  <c r="I8" i="201"/>
  <c r="S82" i="122" s="1"/>
  <c r="J158" i="199"/>
  <c r="E12" i="123" s="1"/>
  <c r="L151" i="199"/>
  <c r="J151" i="199"/>
  <c r="K158" i="199"/>
  <c r="I12" i="123" s="1"/>
  <c r="M156" i="199"/>
  <c r="M158" i="199" s="1"/>
  <c r="D150" i="199"/>
  <c r="B150" i="199"/>
  <c r="I7" i="199"/>
  <c r="S67" i="122" s="1"/>
  <c r="A106" i="199"/>
  <c r="L7" i="199"/>
  <c r="T67" i="122" s="1"/>
  <c r="C7" i="199"/>
  <c r="B106" i="199" s="1"/>
  <c r="A76" i="239"/>
  <c r="A78" i="123"/>
  <c r="B31" i="126"/>
  <c r="A71" i="239"/>
  <c r="A73" i="123"/>
  <c r="B29" i="126"/>
  <c r="A65" i="239"/>
  <c r="A67" i="123"/>
  <c r="B27" i="126"/>
  <c r="A59" i="239"/>
  <c r="A61" i="123"/>
  <c r="B25" i="126"/>
  <c r="A54" i="239"/>
  <c r="A56" i="123"/>
  <c r="B23" i="126"/>
  <c r="A50" i="239"/>
  <c r="A52" i="123"/>
  <c r="B21" i="126"/>
  <c r="A44" i="239"/>
  <c r="A46" i="123"/>
  <c r="B19" i="126"/>
  <c r="A39" i="239"/>
  <c r="A41" i="123"/>
  <c r="B17" i="126"/>
  <c r="A35" i="239"/>
  <c r="A37" i="123"/>
  <c r="B15" i="126"/>
  <c r="A28" i="239"/>
  <c r="A30" i="123"/>
  <c r="B13" i="126"/>
  <c r="A18" i="239"/>
  <c r="A20" i="123"/>
  <c r="B11" i="126"/>
  <c r="A14" i="239"/>
  <c r="B9" i="126"/>
  <c r="A16" i="123"/>
  <c r="A8" i="239"/>
  <c r="B7" i="126"/>
  <c r="A10" i="123"/>
  <c r="A164" i="194"/>
  <c r="A171" i="232"/>
  <c r="A164" i="193"/>
  <c r="A173" i="60"/>
  <c r="A106" i="223"/>
  <c r="L7" i="223"/>
  <c r="T228" i="122" s="1"/>
  <c r="C7" i="223"/>
  <c r="B106" i="223" s="1"/>
  <c r="I7" i="223"/>
  <c r="S228" i="122" s="1"/>
  <c r="L6" i="223"/>
  <c r="T227" i="122" s="1"/>
  <c r="C6" i="223"/>
  <c r="B67" i="223" s="1"/>
  <c r="A67" i="223"/>
  <c r="I6" i="223"/>
  <c r="S227" i="122" s="1"/>
  <c r="L8" i="222"/>
  <c r="T222" i="122" s="1"/>
  <c r="C8" i="222"/>
  <c r="B145" i="222" s="1"/>
  <c r="A145" i="222"/>
  <c r="I8" i="222"/>
  <c r="S222" i="122" s="1"/>
  <c r="A145" i="210"/>
  <c r="I8" i="210"/>
  <c r="S145" i="122" s="1"/>
  <c r="L8" i="210"/>
  <c r="T145" i="122" s="1"/>
  <c r="C8" i="210"/>
  <c r="B145" i="210" s="1"/>
  <c r="A106" i="210"/>
  <c r="I7" i="210"/>
  <c r="S144" i="122" s="1"/>
  <c r="L7" i="210"/>
  <c r="T144" i="122" s="1"/>
  <c r="C7" i="210"/>
  <c r="B106" i="210" s="1"/>
  <c r="I6" i="210"/>
  <c r="S143" i="122" s="1"/>
  <c r="A67" i="210"/>
  <c r="L6" i="210"/>
  <c r="T143" i="122" s="1"/>
  <c r="C6" i="210"/>
  <c r="B67" i="210" s="1"/>
  <c r="A145" i="209"/>
  <c r="L8" i="209"/>
  <c r="T138" i="122" s="1"/>
  <c r="C8" i="209"/>
  <c r="B145" i="209" s="1"/>
  <c r="I8" i="209"/>
  <c r="S138" i="122" s="1"/>
  <c r="L9" i="206"/>
  <c r="T118" i="122" s="1"/>
  <c r="C9" i="206"/>
  <c r="B184" i="206" s="1"/>
  <c r="A184" i="206"/>
  <c r="I9" i="206"/>
  <c r="S118" i="122" s="1"/>
  <c r="A145" i="206"/>
  <c r="L8" i="206"/>
  <c r="T117" i="122" s="1"/>
  <c r="C8" i="206"/>
  <c r="B145" i="206" s="1"/>
  <c r="I8" i="206"/>
  <c r="S117" i="122" s="1"/>
  <c r="L7" i="206"/>
  <c r="T116" i="122" s="1"/>
  <c r="C7" i="206"/>
  <c r="B106" i="206" s="1"/>
  <c r="A106" i="206"/>
  <c r="I7" i="206"/>
  <c r="S116" i="122" s="1"/>
  <c r="A67" i="206"/>
  <c r="L6" i="206"/>
  <c r="T115" i="122" s="1"/>
  <c r="C6" i="206"/>
  <c r="B67" i="206" s="1"/>
  <c r="I6" i="206"/>
  <c r="S115" i="122" s="1"/>
  <c r="A184" i="205"/>
  <c r="L9" i="205"/>
  <c r="T111" i="122" s="1"/>
  <c r="C9" i="205"/>
  <c r="B184" i="205" s="1"/>
  <c r="I9" i="205"/>
  <c r="S111" i="122" s="1"/>
  <c r="L8" i="205"/>
  <c r="T110" i="122" s="1"/>
  <c r="C8" i="205"/>
  <c r="B145" i="205" s="1"/>
  <c r="A145" i="205"/>
  <c r="I8" i="205"/>
  <c r="S110" i="122" s="1"/>
  <c r="A106" i="205"/>
  <c r="L7" i="205"/>
  <c r="T109" i="122" s="1"/>
  <c r="C7" i="205"/>
  <c r="B106" i="205" s="1"/>
  <c r="I7" i="205"/>
  <c r="S109" i="122" s="1"/>
  <c r="L6" i="205"/>
  <c r="T108" i="122" s="1"/>
  <c r="C6" i="205"/>
  <c r="B67" i="205" s="1"/>
  <c r="A67" i="205"/>
  <c r="I6" i="205"/>
  <c r="S108" i="122" s="1"/>
  <c r="I11" i="204"/>
  <c r="S106" i="122" s="1"/>
  <c r="A262" i="204"/>
  <c r="L11" i="204"/>
  <c r="T106" i="122" s="1"/>
  <c r="C11" i="204"/>
  <c r="B262" i="204" s="1"/>
  <c r="A223" i="204"/>
  <c r="I10" i="204"/>
  <c r="S105" i="122" s="1"/>
  <c r="L10" i="204"/>
  <c r="T105" i="122" s="1"/>
  <c r="C10" i="204"/>
  <c r="B223" i="204" s="1"/>
  <c r="A184" i="204"/>
  <c r="I9" i="204"/>
  <c r="S104" i="122" s="1"/>
  <c r="L9" i="204"/>
  <c r="T104" i="122" s="1"/>
  <c r="C9" i="204"/>
  <c r="B184" i="204" s="1"/>
  <c r="L6" i="201"/>
  <c r="T80" i="122" s="1"/>
  <c r="C6" i="201"/>
  <c r="B67" i="201" s="1"/>
  <c r="A67" i="201"/>
  <c r="I6" i="201"/>
  <c r="S80" i="122" s="1"/>
  <c r="L8" i="200"/>
  <c r="T75" i="122" s="1"/>
  <c r="C8" i="200"/>
  <c r="B145" i="200" s="1"/>
  <c r="A145" i="200"/>
  <c r="I8" i="200"/>
  <c r="S75" i="122" s="1"/>
  <c r="J236" i="198"/>
  <c r="L229" i="198"/>
  <c r="J229" i="198"/>
  <c r="N247" i="198"/>
  <c r="N251" i="198" s="1"/>
  <c r="K236" i="198"/>
  <c r="K229" i="198"/>
  <c r="B228" i="198"/>
  <c r="A184" i="198"/>
  <c r="L9" i="198"/>
  <c r="T62" i="122" s="1"/>
  <c r="C9" i="198"/>
  <c r="B184" i="198" s="1"/>
  <c r="I9" i="198"/>
  <c r="S62" i="122" s="1"/>
  <c r="N169" i="198"/>
  <c r="N173" i="198" s="1"/>
  <c r="K158" i="198"/>
  <c r="K151" i="198"/>
  <c r="D150" i="198"/>
  <c r="B150" i="198"/>
  <c r="O169" i="198"/>
  <c r="O173" i="198" s="1"/>
  <c r="L158" i="198"/>
  <c r="J158" i="198"/>
  <c r="J151" i="198"/>
  <c r="C150" i="198"/>
  <c r="A106" i="198"/>
  <c r="L7" i="198"/>
  <c r="T60" i="122" s="1"/>
  <c r="C7" i="198"/>
  <c r="B106" i="198" s="1"/>
  <c r="I7" i="198"/>
  <c r="S60" i="122" s="1"/>
  <c r="B78" i="123"/>
  <c r="C31" i="126"/>
  <c r="B73" i="123"/>
  <c r="C29" i="126"/>
  <c r="B67" i="123"/>
  <c r="C27" i="126"/>
  <c r="B61" i="123"/>
  <c r="C25" i="126"/>
  <c r="B56" i="123"/>
  <c r="C23" i="126"/>
  <c r="B52" i="123"/>
  <c r="C21" i="126"/>
  <c r="B46" i="123"/>
  <c r="C19" i="126"/>
  <c r="B41" i="123"/>
  <c r="C17" i="126"/>
  <c r="B37" i="123"/>
  <c r="C15" i="126"/>
  <c r="B30" i="123"/>
  <c r="C13" i="126"/>
  <c r="C11" i="126"/>
  <c r="B20" i="123"/>
  <c r="B16" i="123"/>
  <c r="C9" i="126"/>
  <c r="B10" i="123"/>
  <c r="C7" i="126"/>
  <c r="N55" i="212"/>
  <c r="N52" i="207"/>
  <c r="N54" i="207" s="1"/>
  <c r="N52" i="209"/>
  <c r="N54" i="209" s="1"/>
  <c r="O55" i="209"/>
  <c r="O57" i="209" s="1"/>
  <c r="M55" i="209"/>
  <c r="M57" i="209" s="1"/>
  <c r="O58" i="209"/>
  <c r="O60" i="209" s="1"/>
  <c r="M61" i="209"/>
  <c r="M63" i="209" s="1"/>
  <c r="O61" i="209"/>
  <c r="O63" i="209" s="1"/>
  <c r="M55" i="208"/>
  <c r="M57" i="208" s="1"/>
  <c r="M52" i="208"/>
  <c r="M54" i="208" s="1"/>
  <c r="O52" i="208"/>
  <c r="O54" i="208" s="1"/>
  <c r="M58" i="208"/>
  <c r="M60" i="208" s="1"/>
  <c r="M61" i="208"/>
  <c r="M63" i="208" s="1"/>
  <c r="O61" i="208"/>
  <c r="O63" i="208" s="1"/>
  <c r="M52" i="200"/>
  <c r="O52" i="200"/>
  <c r="O54" i="200" s="1"/>
  <c r="N55" i="200"/>
  <c r="N57" i="200" s="1"/>
  <c r="O55" i="200"/>
  <c r="O57" i="200" s="1"/>
  <c r="N58" i="200"/>
  <c r="N60" i="200" s="1"/>
  <c r="M58" i="224"/>
  <c r="M60" i="224" s="1"/>
  <c r="O55" i="224"/>
  <c r="O57" i="224" s="1"/>
  <c r="M52" i="224"/>
  <c r="M54" i="224" s="1"/>
  <c r="O55" i="217"/>
  <c r="O57" i="217" s="1"/>
  <c r="M58" i="212"/>
  <c r="N58" i="207"/>
  <c r="N60" i="207" s="1"/>
  <c r="M52" i="207"/>
  <c r="M54" i="207" s="1"/>
  <c r="M58" i="205"/>
  <c r="M60" i="205" s="1"/>
  <c r="N52" i="205"/>
  <c r="N54" i="205" s="1"/>
  <c r="O58" i="204"/>
  <c r="M52" i="201"/>
  <c r="M54" i="201" s="1"/>
  <c r="M52" i="206"/>
  <c r="M54" i="206" s="1"/>
  <c r="O52" i="206"/>
  <c r="O54" i="206" s="1"/>
  <c r="N55" i="206"/>
  <c r="N57" i="206" s="1"/>
  <c r="O55" i="206"/>
  <c r="O57" i="206" s="1"/>
  <c r="N58" i="206"/>
  <c r="N60" i="206" s="1"/>
  <c r="N61" i="206"/>
  <c r="N63" i="206" s="1"/>
  <c r="M52" i="202"/>
  <c r="M54" i="202" s="1"/>
  <c r="O52" i="202"/>
  <c r="O54" i="202" s="1"/>
  <c r="N55" i="202"/>
  <c r="N57" i="202" s="1"/>
  <c r="N58" i="202"/>
  <c r="N60" i="202" s="1"/>
  <c r="N61" i="202"/>
  <c r="N63" i="202" s="1"/>
  <c r="O58" i="202"/>
  <c r="O60" i="202" s="1"/>
  <c r="I7" i="200"/>
  <c r="S74" i="122" s="1"/>
  <c r="L7" i="200"/>
  <c r="T74" i="122" s="1"/>
  <c r="L8" i="199"/>
  <c r="T68" i="122" s="1"/>
  <c r="C6" i="199"/>
  <c r="B67" i="199" s="1"/>
  <c r="I6" i="199"/>
  <c r="S66" i="122" s="1"/>
  <c r="L10" i="199"/>
  <c r="T70" i="122" s="1"/>
  <c r="I10" i="199"/>
  <c r="S70" i="122" s="1"/>
  <c r="C10" i="198"/>
  <c r="B223" i="198" s="1"/>
  <c r="L8" i="198"/>
  <c r="T61" i="122" s="1"/>
  <c r="I6" i="198"/>
  <c r="S59" i="122" s="1"/>
  <c r="L6" i="198"/>
  <c r="T59" i="122" s="1"/>
  <c r="B159" i="212"/>
  <c r="B120" i="212"/>
  <c r="A178" i="212"/>
  <c r="A139" i="212"/>
  <c r="B176" i="212"/>
  <c r="B137" i="212"/>
  <c r="A174" i="212"/>
  <c r="A135" i="212"/>
  <c r="A133" i="212"/>
  <c r="A172" i="212"/>
  <c r="B132" i="212"/>
  <c r="B171" i="212"/>
  <c r="B169" i="212"/>
  <c r="B130" i="212"/>
  <c r="B167" i="212"/>
  <c r="B128" i="212"/>
  <c r="A72" i="212"/>
  <c r="A48" i="212"/>
  <c r="A102" i="212" s="1"/>
  <c r="A139" i="211"/>
  <c r="A178" i="211"/>
  <c r="B137" i="211"/>
  <c r="B176" i="211"/>
  <c r="A135" i="211"/>
  <c r="A174" i="211"/>
  <c r="A172" i="211"/>
  <c r="A133" i="211"/>
  <c r="B171" i="211"/>
  <c r="B132" i="211"/>
  <c r="B130" i="211"/>
  <c r="B169" i="211"/>
  <c r="B128" i="211"/>
  <c r="B167" i="211"/>
  <c r="A72" i="211"/>
  <c r="A48" i="211"/>
  <c r="A102" i="211" s="1"/>
  <c r="A161" i="210"/>
  <c r="A122" i="210"/>
  <c r="B158" i="210"/>
  <c r="B119" i="210"/>
  <c r="A147" i="210"/>
  <c r="A108" i="210"/>
  <c r="A176" i="210"/>
  <c r="A137" i="210"/>
  <c r="B174" i="210"/>
  <c r="B135" i="210"/>
  <c r="B172" i="210"/>
  <c r="B133" i="210"/>
  <c r="B169" i="210"/>
  <c r="B130" i="210"/>
  <c r="B167" i="210"/>
  <c r="B128" i="210"/>
  <c r="A48" i="210"/>
  <c r="A102" i="210" s="1"/>
  <c r="A72" i="210"/>
  <c r="B122" i="209"/>
  <c r="B161" i="209"/>
  <c r="A119" i="209"/>
  <c r="A158" i="209"/>
  <c r="A116" i="209"/>
  <c r="A155" i="209"/>
  <c r="A139" i="209"/>
  <c r="A178" i="209"/>
  <c r="B137" i="209"/>
  <c r="B176" i="209"/>
  <c r="A135" i="209"/>
  <c r="A174" i="209"/>
  <c r="A172" i="209"/>
  <c r="A133" i="209"/>
  <c r="B171" i="209"/>
  <c r="B132" i="209"/>
  <c r="A169" i="209"/>
  <c r="A130" i="209"/>
  <c r="A167" i="209"/>
  <c r="A128" i="209"/>
  <c r="A113" i="209"/>
  <c r="A152" i="209"/>
  <c r="A125" i="208"/>
  <c r="A164" i="208"/>
  <c r="A120" i="208"/>
  <c r="A159" i="208"/>
  <c r="A117" i="208"/>
  <c r="A156" i="208"/>
  <c r="A137" i="208"/>
  <c r="A176" i="208"/>
  <c r="B135" i="208"/>
  <c r="B174" i="208"/>
  <c r="B172" i="208"/>
  <c r="B133" i="208"/>
  <c r="A130" i="208"/>
  <c r="A169" i="208"/>
  <c r="A128" i="208"/>
  <c r="A167" i="208"/>
  <c r="A152" i="208"/>
  <c r="A113" i="208"/>
  <c r="A125" i="207"/>
  <c r="A164" i="207"/>
  <c r="A120" i="207"/>
  <c r="A159" i="207"/>
  <c r="A117" i="207"/>
  <c r="A156" i="207"/>
  <c r="A115" i="207"/>
  <c r="A154" i="207"/>
  <c r="A108" i="207"/>
  <c r="A147" i="207"/>
  <c r="B177" i="207"/>
  <c r="B138" i="207"/>
  <c r="A136" i="207"/>
  <c r="A175" i="207"/>
  <c r="A173" i="207"/>
  <c r="A134" i="207"/>
  <c r="A171" i="207"/>
  <c r="A132" i="207"/>
  <c r="A170" i="207"/>
  <c r="A131" i="207"/>
  <c r="A129" i="207"/>
  <c r="A168" i="207"/>
  <c r="I127" i="207"/>
  <c r="I166" i="207"/>
  <c r="B200" i="206"/>
  <c r="B122" i="206"/>
  <c r="B161" i="206"/>
  <c r="A197" i="206"/>
  <c r="A119" i="206"/>
  <c r="A158" i="206"/>
  <c r="A194" i="206"/>
  <c r="A116" i="206"/>
  <c r="A155" i="206"/>
  <c r="A217" i="206"/>
  <c r="A139" i="206"/>
  <c r="A178" i="206"/>
  <c r="B215" i="206"/>
  <c r="B137" i="206"/>
  <c r="B176" i="206"/>
  <c r="A213" i="206"/>
  <c r="A135" i="206"/>
  <c r="A174" i="206"/>
  <c r="A172" i="206"/>
  <c r="A211" i="206"/>
  <c r="A133" i="206"/>
  <c r="B171" i="206"/>
  <c r="B210" i="206"/>
  <c r="B132" i="206"/>
  <c r="A169" i="206"/>
  <c r="A208" i="206"/>
  <c r="A130" i="206"/>
  <c r="A167" i="206"/>
  <c r="A206" i="206"/>
  <c r="A128" i="206"/>
  <c r="A191" i="206"/>
  <c r="A113" i="206"/>
  <c r="A152" i="206"/>
  <c r="I203" i="205"/>
  <c r="I125" i="205"/>
  <c r="I164" i="205"/>
  <c r="A200" i="205"/>
  <c r="A122" i="205"/>
  <c r="A161" i="205"/>
  <c r="B197" i="205"/>
  <c r="B119" i="205"/>
  <c r="B158" i="205"/>
  <c r="B194" i="205"/>
  <c r="B116" i="205"/>
  <c r="B155" i="205"/>
  <c r="A192" i="205"/>
  <c r="A114" i="205"/>
  <c r="A153" i="205"/>
  <c r="B177" i="205"/>
  <c r="B216" i="205"/>
  <c r="B138" i="205"/>
  <c r="A214" i="205"/>
  <c r="A136" i="205"/>
  <c r="A175" i="205"/>
  <c r="A173" i="205"/>
  <c r="A212" i="205"/>
  <c r="A134" i="205"/>
  <c r="A171" i="205"/>
  <c r="A210" i="205"/>
  <c r="A132" i="205"/>
  <c r="A170" i="205"/>
  <c r="A209" i="205"/>
  <c r="A131" i="205"/>
  <c r="A207" i="205"/>
  <c r="A129" i="205"/>
  <c r="A168" i="205"/>
  <c r="A152" i="205"/>
  <c r="A191" i="205"/>
  <c r="A113" i="205"/>
  <c r="I281" i="204"/>
  <c r="I242" i="204"/>
  <c r="I203" i="204"/>
  <c r="I125" i="204"/>
  <c r="I164" i="204"/>
  <c r="A278" i="204"/>
  <c r="A239" i="204"/>
  <c r="A200" i="204"/>
  <c r="A122" i="204"/>
  <c r="A161" i="204"/>
  <c r="B275" i="204"/>
  <c r="B236" i="204"/>
  <c r="B197" i="204"/>
  <c r="B119" i="204"/>
  <c r="B158" i="204"/>
  <c r="B272" i="204"/>
  <c r="B233" i="204"/>
  <c r="B194" i="204"/>
  <c r="B116" i="204"/>
  <c r="B155" i="204"/>
  <c r="A225" i="204"/>
  <c r="A186" i="204"/>
  <c r="A108" i="204"/>
  <c r="A264" i="204"/>
  <c r="A147" i="204"/>
  <c r="A293" i="204"/>
  <c r="A254" i="204"/>
  <c r="A215" i="204"/>
  <c r="A137" i="204"/>
  <c r="A176" i="204"/>
  <c r="B291" i="204"/>
  <c r="B252" i="204"/>
  <c r="B213" i="204"/>
  <c r="B135" i="204"/>
  <c r="B174" i="204"/>
  <c r="B172" i="204"/>
  <c r="B289" i="204"/>
  <c r="B250" i="204"/>
  <c r="B211" i="204"/>
  <c r="B133" i="204"/>
  <c r="B169" i="204"/>
  <c r="B286" i="204"/>
  <c r="B247" i="204"/>
  <c r="B208" i="204"/>
  <c r="B130" i="204"/>
  <c r="B167" i="204"/>
  <c r="B284" i="204"/>
  <c r="B245" i="204"/>
  <c r="B206" i="204"/>
  <c r="B128" i="204"/>
  <c r="A72" i="204"/>
  <c r="A48" i="204"/>
  <c r="A102" i="204" s="1"/>
  <c r="A180" i="215"/>
  <c r="A141" i="215"/>
  <c r="A175" i="202"/>
  <c r="A136" i="202"/>
  <c r="A126" i="202"/>
  <c r="A165" i="202"/>
  <c r="B175" i="201"/>
  <c r="B136" i="201"/>
  <c r="B131" i="201"/>
  <c r="B170" i="201"/>
  <c r="A178" i="200"/>
  <c r="A139" i="200"/>
  <c r="B175" i="200"/>
  <c r="B136" i="200"/>
  <c r="B131" i="200"/>
  <c r="B170" i="200"/>
  <c r="A129" i="200"/>
  <c r="A168" i="200"/>
  <c r="A177" i="199"/>
  <c r="A216" i="199"/>
  <c r="A138" i="199"/>
  <c r="A255" i="199" s="1"/>
  <c r="A172" i="199"/>
  <c r="A211" i="199"/>
  <c r="A133" i="199"/>
  <c r="A250" i="199" s="1"/>
  <c r="B171" i="199"/>
  <c r="B210" i="199"/>
  <c r="B132" i="199"/>
  <c r="B249" i="199" s="1"/>
  <c r="B207" i="199"/>
  <c r="B129" i="199"/>
  <c r="B246" i="199" s="1"/>
  <c r="B168" i="199"/>
  <c r="I166" i="199"/>
  <c r="I205" i="199"/>
  <c r="I127" i="199"/>
  <c r="I244" i="199" s="1"/>
  <c r="A254" i="198"/>
  <c r="A215" i="198"/>
  <c r="A137" i="198"/>
  <c r="A293" i="198" s="1"/>
  <c r="A176" i="198"/>
  <c r="A173" i="198"/>
  <c r="A251" i="198"/>
  <c r="A212" i="198"/>
  <c r="A134" i="198"/>
  <c r="A290" i="198" s="1"/>
  <c r="A170" i="198"/>
  <c r="A248" i="198"/>
  <c r="A209" i="198"/>
  <c r="A131" i="198"/>
  <c r="A287" i="198" s="1"/>
  <c r="B168" i="198"/>
  <c r="B246" i="198"/>
  <c r="B207" i="198"/>
  <c r="B129" i="198"/>
  <c r="B285" i="198" s="1"/>
  <c r="A72" i="198"/>
  <c r="A48" i="198"/>
  <c r="A102" i="198" s="1"/>
  <c r="G35" i="2"/>
  <c r="AT31" i="234"/>
  <c r="X40" i="192"/>
  <c r="A105" i="208"/>
  <c r="A144" i="208"/>
  <c r="A180" i="205"/>
  <c r="A219" i="205"/>
  <c r="A141" i="205"/>
  <c r="B122" i="202"/>
  <c r="B161" i="202"/>
  <c r="A119" i="202"/>
  <c r="A158" i="202"/>
  <c r="A116" i="202"/>
  <c r="A155" i="202"/>
  <c r="A178" i="202"/>
  <c r="A139" i="202"/>
  <c r="B176" i="202"/>
  <c r="B137" i="202"/>
  <c r="A174" i="202"/>
  <c r="A135" i="202"/>
  <c r="A172" i="202"/>
  <c r="A133" i="202"/>
  <c r="B171" i="202"/>
  <c r="B132" i="202"/>
  <c r="A169" i="202"/>
  <c r="A130" i="202"/>
  <c r="A167" i="202"/>
  <c r="A128" i="202"/>
  <c r="A113" i="202"/>
  <c r="A152" i="202"/>
  <c r="A125" i="201"/>
  <c r="A164" i="201"/>
  <c r="A120" i="201"/>
  <c r="A159" i="201"/>
  <c r="A117" i="201"/>
  <c r="A156" i="201"/>
  <c r="A115" i="201"/>
  <c r="A154" i="201"/>
  <c r="A111" i="201"/>
  <c r="A150" i="201"/>
  <c r="B177" i="201"/>
  <c r="B138" i="201"/>
  <c r="A136" i="201"/>
  <c r="A175" i="201"/>
  <c r="A173" i="201"/>
  <c r="A134" i="201"/>
  <c r="A171" i="201"/>
  <c r="A132" i="201"/>
  <c r="A170" i="201"/>
  <c r="A131" i="201"/>
  <c r="A129" i="201"/>
  <c r="A168" i="201"/>
  <c r="I127" i="201"/>
  <c r="I166" i="201"/>
  <c r="A125" i="200"/>
  <c r="A164" i="200"/>
  <c r="A120" i="200"/>
  <c r="A159" i="200"/>
  <c r="A117" i="200"/>
  <c r="A156" i="200"/>
  <c r="A111" i="200"/>
  <c r="A150" i="200"/>
  <c r="A137" i="200"/>
  <c r="A176" i="200"/>
  <c r="B135" i="200"/>
  <c r="B174" i="200"/>
  <c r="B172" i="200"/>
  <c r="B133" i="200"/>
  <c r="A130" i="200"/>
  <c r="A169" i="200"/>
  <c r="A128" i="200"/>
  <c r="A167" i="200"/>
  <c r="A152" i="200"/>
  <c r="A113" i="200"/>
  <c r="B201" i="199"/>
  <c r="B123" i="199"/>
  <c r="B240" i="199" s="1"/>
  <c r="B162" i="199"/>
  <c r="B196" i="199"/>
  <c r="B118" i="199"/>
  <c r="B235" i="199" s="1"/>
  <c r="B157" i="199"/>
  <c r="A139" i="199"/>
  <c r="A256" i="199" s="1"/>
  <c r="A217" i="199"/>
  <c r="A178" i="199"/>
  <c r="A176" i="199"/>
  <c r="A215" i="199"/>
  <c r="A137" i="199"/>
  <c r="A254" i="199" s="1"/>
  <c r="B174" i="199"/>
  <c r="B213" i="199"/>
  <c r="B135" i="199"/>
  <c r="B252" i="199" s="1"/>
  <c r="B211" i="199"/>
  <c r="B133" i="199"/>
  <c r="B250" i="199" s="1"/>
  <c r="B172" i="199"/>
  <c r="B208" i="199"/>
  <c r="B130" i="199"/>
  <c r="B247" i="199" s="1"/>
  <c r="B169" i="199"/>
  <c r="B206" i="199"/>
  <c r="B128" i="199"/>
  <c r="B245" i="199" s="1"/>
  <c r="B167" i="199"/>
  <c r="O58" i="199"/>
  <c r="O60" i="199" s="1"/>
  <c r="O61" i="199"/>
  <c r="O63" i="199" s="1"/>
  <c r="N55" i="199"/>
  <c r="M55" i="199"/>
  <c r="M57" i="199" s="1"/>
  <c r="O52" i="199"/>
  <c r="O54" i="199" s="1"/>
  <c r="L54" i="199" s="1"/>
  <c r="O55" i="199"/>
  <c r="A66" i="199"/>
  <c r="B200" i="198"/>
  <c r="B161" i="198"/>
  <c r="B239" i="198"/>
  <c r="B122" i="198"/>
  <c r="B278" i="198" s="1"/>
  <c r="A158" i="198"/>
  <c r="A236" i="198"/>
  <c r="A197" i="198"/>
  <c r="A119" i="198"/>
  <c r="A275" i="198" s="1"/>
  <c r="A217" i="198"/>
  <c r="A178" i="198"/>
  <c r="A256" i="198"/>
  <c r="A139" i="198"/>
  <c r="A295" i="198" s="1"/>
  <c r="B176" i="198"/>
  <c r="B254" i="198"/>
  <c r="B215" i="198"/>
  <c r="B137" i="198"/>
  <c r="B293" i="198" s="1"/>
  <c r="A174" i="198"/>
  <c r="A252" i="198"/>
  <c r="A213" i="198"/>
  <c r="A135" i="198"/>
  <c r="A291" i="198" s="1"/>
  <c r="A250" i="198"/>
  <c r="A211" i="198"/>
  <c r="A133" i="198"/>
  <c r="A289" i="198" s="1"/>
  <c r="A172" i="198"/>
  <c r="B249" i="198"/>
  <c r="B210" i="198"/>
  <c r="B132" i="198"/>
  <c r="B288" i="198" s="1"/>
  <c r="B171" i="198"/>
  <c r="A246" i="198"/>
  <c r="A207" i="198"/>
  <c r="A129" i="198"/>
  <c r="A285" i="198" s="1"/>
  <c r="A168" i="198"/>
  <c r="A204" i="198"/>
  <c r="A165" i="198"/>
  <c r="A243" i="198"/>
  <c r="A126" i="198"/>
  <c r="A282" i="198" s="1"/>
  <c r="H31" i="2"/>
  <c r="AV27" i="234"/>
  <c r="AG36" i="192"/>
  <c r="W30" i="192"/>
  <c r="AF6" i="192"/>
  <c r="AF30" i="192" s="1"/>
  <c r="A144" i="206"/>
  <c r="A183" i="206"/>
  <c r="A105" i="206"/>
  <c r="A159" i="194"/>
  <c r="A159" i="193"/>
  <c r="A168" i="60"/>
  <c r="A166" i="232"/>
  <c r="A144" i="194"/>
  <c r="A151" i="232"/>
  <c r="A153" i="60"/>
  <c r="A144" i="193"/>
  <c r="A116" i="194"/>
  <c r="A121" i="232"/>
  <c r="A123" i="60"/>
  <c r="A116" i="193"/>
  <c r="A81" i="194"/>
  <c r="A81" i="193"/>
  <c r="A85" i="60"/>
  <c r="A83" i="232"/>
  <c r="A71" i="194"/>
  <c r="A71" i="193"/>
  <c r="A75" i="60"/>
  <c r="A73" i="232"/>
  <c r="A60" i="194"/>
  <c r="A63" i="60"/>
  <c r="A60" i="193"/>
  <c r="A61" i="232"/>
  <c r="A46" i="194"/>
  <c r="A49" i="60"/>
  <c r="A46" i="193"/>
  <c r="A47" i="232"/>
  <c r="A28" i="194"/>
  <c r="N91" i="203" s="1"/>
  <c r="A28" i="193"/>
  <c r="A30" i="60"/>
  <c r="A29" i="232"/>
  <c r="H16" i="122"/>
  <c r="I283" i="198"/>
  <c r="A106" i="216"/>
  <c r="I7" i="216"/>
  <c r="S242" i="122" s="1"/>
  <c r="L7" i="216"/>
  <c r="T242" i="122" s="1"/>
  <c r="C7" i="216"/>
  <c r="B106" i="216" s="1"/>
  <c r="I6" i="216"/>
  <c r="S241" i="122" s="1"/>
  <c r="A67" i="216"/>
  <c r="L6" i="216"/>
  <c r="T241" i="122" s="1"/>
  <c r="C6" i="216"/>
  <c r="B67" i="216" s="1"/>
  <c r="A145" i="224"/>
  <c r="L8" i="224"/>
  <c r="T236" i="122" s="1"/>
  <c r="C8" i="224"/>
  <c r="B145" i="224" s="1"/>
  <c r="I8" i="224"/>
  <c r="S236" i="122" s="1"/>
  <c r="A106" i="224"/>
  <c r="L7" i="224"/>
  <c r="T235" i="122" s="1"/>
  <c r="C7" i="224"/>
  <c r="B106" i="224" s="1"/>
  <c r="I7" i="224"/>
  <c r="S235" i="122" s="1"/>
  <c r="L6" i="224"/>
  <c r="T234" i="122" s="1"/>
  <c r="C6" i="224"/>
  <c r="B67" i="224" s="1"/>
  <c r="A67" i="224"/>
  <c r="I6" i="224"/>
  <c r="S234" i="122" s="1"/>
  <c r="L8" i="223"/>
  <c r="T229" i="122" s="1"/>
  <c r="C8" i="223"/>
  <c r="B145" i="223" s="1"/>
  <c r="A145" i="223"/>
  <c r="I8" i="223"/>
  <c r="S229" i="122" s="1"/>
  <c r="L8" i="215"/>
  <c r="T180" i="122" s="1"/>
  <c r="C8" i="215"/>
  <c r="B145" i="215" s="1"/>
  <c r="A145" i="215"/>
  <c r="I8" i="215"/>
  <c r="S180" i="122" s="1"/>
  <c r="A106" i="213"/>
  <c r="L7" i="213"/>
  <c r="T165" i="122" s="1"/>
  <c r="C7" i="213"/>
  <c r="B106" i="213" s="1"/>
  <c r="I7" i="213"/>
  <c r="S165" i="122" s="1"/>
  <c r="L6" i="213"/>
  <c r="T164" i="122" s="1"/>
  <c r="C6" i="213"/>
  <c r="B67" i="213" s="1"/>
  <c r="A67" i="213"/>
  <c r="I6" i="213"/>
  <c r="S164" i="122" s="1"/>
  <c r="I8" i="212"/>
  <c r="S159" i="122" s="1"/>
  <c r="A145" i="212"/>
  <c r="L8" i="212"/>
  <c r="T159" i="122" s="1"/>
  <c r="C8" i="212"/>
  <c r="B145" i="212" s="1"/>
  <c r="I7" i="212"/>
  <c r="S158" i="122" s="1"/>
  <c r="A106" i="212"/>
  <c r="L7" i="212"/>
  <c r="T158" i="122" s="1"/>
  <c r="C7" i="212"/>
  <c r="B106" i="212" s="1"/>
  <c r="A67" i="212"/>
  <c r="I6" i="212"/>
  <c r="S157" i="122" s="1"/>
  <c r="L6" i="212"/>
  <c r="T157" i="122" s="1"/>
  <c r="C6" i="212"/>
  <c r="B67" i="212" s="1"/>
  <c r="A145" i="211"/>
  <c r="I8" i="211"/>
  <c r="S152" i="122" s="1"/>
  <c r="L8" i="211"/>
  <c r="T152" i="122" s="1"/>
  <c r="C8" i="211"/>
  <c r="B145" i="211" s="1"/>
  <c r="I7" i="211"/>
  <c r="S151" i="122" s="1"/>
  <c r="A106" i="211"/>
  <c r="L7" i="211"/>
  <c r="T151" i="122" s="1"/>
  <c r="C7" i="211"/>
  <c r="B106" i="211" s="1"/>
  <c r="A67" i="211"/>
  <c r="I6" i="211"/>
  <c r="S150" i="122" s="1"/>
  <c r="L6" i="211"/>
  <c r="T150" i="122" s="1"/>
  <c r="C6" i="211"/>
  <c r="B67" i="211" s="1"/>
  <c r="L7" i="209"/>
  <c r="T137" i="122" s="1"/>
  <c r="C7" i="209"/>
  <c r="B106" i="209" s="1"/>
  <c r="A106" i="209"/>
  <c r="I7" i="209"/>
  <c r="S137" i="122" s="1"/>
  <c r="A67" i="209"/>
  <c r="L6" i="209"/>
  <c r="T136" i="122" s="1"/>
  <c r="C6" i="209"/>
  <c r="B67" i="209" s="1"/>
  <c r="I6" i="209"/>
  <c r="S136" i="122" s="1"/>
  <c r="L8" i="208"/>
  <c r="T131" i="122" s="1"/>
  <c r="C8" i="208"/>
  <c r="B145" i="208" s="1"/>
  <c r="A145" i="208"/>
  <c r="I8" i="208"/>
  <c r="S131" i="122" s="1"/>
  <c r="L7" i="202"/>
  <c r="T88" i="122" s="1"/>
  <c r="C7" i="202"/>
  <c r="B106" i="202" s="1"/>
  <c r="A106" i="202"/>
  <c r="I7" i="202"/>
  <c r="S88" i="122" s="1"/>
  <c r="L119" i="200"/>
  <c r="J119" i="200"/>
  <c r="J112" i="200"/>
  <c r="C111" i="200"/>
  <c r="N130" i="200"/>
  <c r="N134" i="200" s="1"/>
  <c r="O117" i="200"/>
  <c r="K112" i="200"/>
  <c r="D111" i="200"/>
  <c r="L6" i="200"/>
  <c r="T73" i="122" s="1"/>
  <c r="C6" i="200"/>
  <c r="B67" i="200" s="1"/>
  <c r="A67" i="200"/>
  <c r="I6" i="200"/>
  <c r="S73" i="122" s="1"/>
  <c r="I9" i="199"/>
  <c r="S69" i="122" s="1"/>
  <c r="A184" i="199"/>
  <c r="L9" i="199"/>
  <c r="T69" i="122" s="1"/>
  <c r="C9" i="199"/>
  <c r="B184" i="199" s="1"/>
  <c r="M91" i="199"/>
  <c r="L80" i="199"/>
  <c r="L73" i="199"/>
  <c r="J73" i="199"/>
  <c r="C72" i="199"/>
  <c r="K80" i="199"/>
  <c r="M78" i="199"/>
  <c r="K73" i="199"/>
  <c r="B72" i="199"/>
  <c r="L11" i="198"/>
  <c r="T64" i="122" s="1"/>
  <c r="C11" i="198"/>
  <c r="B262" i="198" s="1"/>
  <c r="A262" i="198"/>
  <c r="I11" i="198"/>
  <c r="S64" i="122" s="1"/>
  <c r="A78" i="239"/>
  <c r="A80" i="123"/>
  <c r="B32" i="126"/>
  <c r="A73" i="239"/>
  <c r="A75" i="123"/>
  <c r="B30" i="126"/>
  <c r="A69" i="239"/>
  <c r="A71" i="123"/>
  <c r="B28" i="126"/>
  <c r="A63" i="239"/>
  <c r="A65" i="123"/>
  <c r="B26" i="126"/>
  <c r="A56" i="239"/>
  <c r="A58" i="123"/>
  <c r="B24" i="126"/>
  <c r="A52" i="239"/>
  <c r="A54" i="123"/>
  <c r="B22" i="126"/>
  <c r="A47" i="239"/>
  <c r="A49" i="123"/>
  <c r="B20" i="126"/>
  <c r="A41" i="239"/>
  <c r="A43" i="123"/>
  <c r="B18" i="126"/>
  <c r="A37" i="239"/>
  <c r="A39" i="123"/>
  <c r="B16" i="126"/>
  <c r="A32" i="239"/>
  <c r="A34" i="123"/>
  <c r="B14" i="126"/>
  <c r="A23" i="239"/>
  <c r="A25" i="123"/>
  <c r="B12" i="126"/>
  <c r="A16" i="239"/>
  <c r="A18" i="123"/>
  <c r="B10" i="126"/>
  <c r="A12" i="239"/>
  <c r="A14" i="123"/>
  <c r="B8" i="126"/>
  <c r="A4" i="239"/>
  <c r="A6" i="123"/>
  <c r="B6" i="126"/>
  <c r="G8" i="122"/>
  <c r="B10" i="164" s="1"/>
  <c r="H25" i="122"/>
  <c r="G30" i="122" s="1"/>
  <c r="B44" i="164" s="1"/>
  <c r="L7" i="225"/>
  <c r="T249" i="122" s="1"/>
  <c r="C7" i="225"/>
  <c r="B106" i="225" s="1"/>
  <c r="A106" i="225"/>
  <c r="I7" i="225"/>
  <c r="S249" i="122" s="1"/>
  <c r="A67" i="225"/>
  <c r="L6" i="225"/>
  <c r="T248" i="122" s="1"/>
  <c r="C6" i="225"/>
  <c r="B67" i="225" s="1"/>
  <c r="I6" i="225"/>
  <c r="S248" i="122" s="1"/>
  <c r="I8" i="216"/>
  <c r="S243" i="122" s="1"/>
  <c r="A145" i="216"/>
  <c r="L8" i="216"/>
  <c r="T243" i="122" s="1"/>
  <c r="C8" i="216"/>
  <c r="B145" i="216" s="1"/>
  <c r="I9" i="218"/>
  <c r="S195" i="122" s="1"/>
  <c r="A184" i="218"/>
  <c r="L9" i="218"/>
  <c r="T195" i="122" s="1"/>
  <c r="C9" i="218"/>
  <c r="B184" i="218" s="1"/>
  <c r="A145" i="218"/>
  <c r="I8" i="218"/>
  <c r="S194" i="122" s="1"/>
  <c r="L8" i="218"/>
  <c r="T194" i="122" s="1"/>
  <c r="C8" i="218"/>
  <c r="B145" i="218" s="1"/>
  <c r="I7" i="218"/>
  <c r="S193" i="122" s="1"/>
  <c r="A106" i="218"/>
  <c r="L7" i="218"/>
  <c r="T193" i="122" s="1"/>
  <c r="C7" i="218"/>
  <c r="B106" i="218" s="1"/>
  <c r="I6" i="218"/>
  <c r="S192" i="122" s="1"/>
  <c r="A67" i="218"/>
  <c r="L6" i="218"/>
  <c r="T192" i="122" s="1"/>
  <c r="C6" i="218"/>
  <c r="B67" i="218" s="1"/>
  <c r="A145" i="217"/>
  <c r="L8" i="217"/>
  <c r="T187" i="122" s="1"/>
  <c r="C8" i="217"/>
  <c r="B145" i="217" s="1"/>
  <c r="I8" i="217"/>
  <c r="S187" i="122" s="1"/>
  <c r="A106" i="217"/>
  <c r="L7" i="217"/>
  <c r="T186" i="122" s="1"/>
  <c r="C7" i="217"/>
  <c r="B106" i="217" s="1"/>
  <c r="I7" i="217"/>
  <c r="S186" i="122" s="1"/>
  <c r="L6" i="217"/>
  <c r="T185" i="122" s="1"/>
  <c r="C6" i="217"/>
  <c r="B67" i="217" s="1"/>
  <c r="A67" i="217"/>
  <c r="I6" i="217"/>
  <c r="S185" i="122" s="1"/>
  <c r="A106" i="215"/>
  <c r="L7" i="215"/>
  <c r="T179" i="122" s="1"/>
  <c r="C7" i="215"/>
  <c r="B106" i="215" s="1"/>
  <c r="I7" i="215"/>
  <c r="S179" i="122" s="1"/>
  <c r="L6" i="215"/>
  <c r="T178" i="122" s="1"/>
  <c r="C6" i="215"/>
  <c r="B67" i="215" s="1"/>
  <c r="A67" i="215"/>
  <c r="I6" i="215"/>
  <c r="S178" i="122" s="1"/>
  <c r="A106" i="214"/>
  <c r="I7" i="214"/>
  <c r="S172" i="122" s="1"/>
  <c r="L7" i="214"/>
  <c r="T172" i="122" s="1"/>
  <c r="C7" i="214"/>
  <c r="B106" i="214" s="1"/>
  <c r="I6" i="214"/>
  <c r="S171" i="122" s="1"/>
  <c r="A67" i="214"/>
  <c r="L6" i="214"/>
  <c r="T171" i="122" s="1"/>
  <c r="C6" i="214"/>
  <c r="B67" i="214" s="1"/>
  <c r="A145" i="213"/>
  <c r="L8" i="213"/>
  <c r="T166" i="122" s="1"/>
  <c r="C8" i="213"/>
  <c r="B145" i="213" s="1"/>
  <c r="I8" i="213"/>
  <c r="S166" i="122" s="1"/>
  <c r="A106" i="208"/>
  <c r="L7" i="208"/>
  <c r="T130" i="122" s="1"/>
  <c r="C7" i="208"/>
  <c r="B106" i="208" s="1"/>
  <c r="I7" i="208"/>
  <c r="S130" i="122" s="1"/>
  <c r="L6" i="208"/>
  <c r="T129" i="122" s="1"/>
  <c r="C6" i="208"/>
  <c r="B67" i="208" s="1"/>
  <c r="A67" i="208"/>
  <c r="I6" i="208"/>
  <c r="S129" i="122" s="1"/>
  <c r="I8" i="207"/>
  <c r="S124" i="122" s="1"/>
  <c r="A145" i="207"/>
  <c r="L8" i="207"/>
  <c r="T124" i="122" s="1"/>
  <c r="C8" i="207"/>
  <c r="B145" i="207" s="1"/>
  <c r="I8" i="204"/>
  <c r="S103" i="122" s="1"/>
  <c r="A145" i="204"/>
  <c r="L8" i="204"/>
  <c r="T103" i="122" s="1"/>
  <c r="C8" i="204"/>
  <c r="B145" i="204" s="1"/>
  <c r="A106" i="204"/>
  <c r="I7" i="204"/>
  <c r="S102" i="122" s="1"/>
  <c r="L7" i="204"/>
  <c r="T102" i="122" s="1"/>
  <c r="C7" i="204"/>
  <c r="B106" i="204" s="1"/>
  <c r="I6" i="204"/>
  <c r="S101" i="122" s="1"/>
  <c r="A67" i="204"/>
  <c r="L6" i="204"/>
  <c r="T101" i="122" s="1"/>
  <c r="C6" i="204"/>
  <c r="B67" i="204" s="1"/>
  <c r="A106" i="201"/>
  <c r="L7" i="201"/>
  <c r="T81" i="122" s="1"/>
  <c r="C7" i="201"/>
  <c r="B106" i="201" s="1"/>
  <c r="I7" i="201"/>
  <c r="S81" i="122" s="1"/>
  <c r="K236" i="199"/>
  <c r="D228" i="199"/>
  <c r="B228" i="199"/>
  <c r="L236" i="199"/>
  <c r="J236" i="199"/>
  <c r="L229" i="199"/>
  <c r="C228" i="199"/>
  <c r="L80" i="198"/>
  <c r="L73" i="198"/>
  <c r="J73" i="198"/>
  <c r="C72" i="198"/>
  <c r="K80" i="198"/>
  <c r="K73" i="198"/>
  <c r="B72" i="198"/>
  <c r="B80" i="123"/>
  <c r="C32" i="126"/>
  <c r="B75" i="123"/>
  <c r="C30" i="126"/>
  <c r="B71" i="123"/>
  <c r="C28" i="126"/>
  <c r="B65" i="123"/>
  <c r="C26" i="126"/>
  <c r="B58" i="123"/>
  <c r="C24" i="126"/>
  <c r="B54" i="123"/>
  <c r="C22" i="126"/>
  <c r="B49" i="123"/>
  <c r="C20" i="126"/>
  <c r="B43" i="123"/>
  <c r="C18" i="126"/>
  <c r="B39" i="123"/>
  <c r="C16" i="126"/>
  <c r="C14" i="126"/>
  <c r="B34" i="123"/>
  <c r="B25" i="123"/>
  <c r="C12" i="126"/>
  <c r="B18" i="123"/>
  <c r="C10" i="126"/>
  <c r="B14" i="123"/>
  <c r="C8" i="126"/>
  <c r="B6" i="123"/>
  <c r="C6" i="126"/>
  <c r="D4" i="2"/>
  <c r="D30" i="192"/>
  <c r="D76" i="192" s="1"/>
  <c r="O58" i="212"/>
  <c r="N52" i="212"/>
  <c r="N55" i="204"/>
  <c r="N57" i="204" s="1"/>
  <c r="M58" i="204"/>
  <c r="M60" i="204" s="1"/>
  <c r="M52" i="209"/>
  <c r="M54" i="209" s="1"/>
  <c r="O52" i="209"/>
  <c r="O54" i="209" s="1"/>
  <c r="M58" i="209"/>
  <c r="M60" i="209" s="1"/>
  <c r="N55" i="209"/>
  <c r="N57" i="209" s="1"/>
  <c r="N58" i="209"/>
  <c r="N60" i="209" s="1"/>
  <c r="N61" i="209"/>
  <c r="N63" i="209" s="1"/>
  <c r="N55" i="208"/>
  <c r="N57" i="208" s="1"/>
  <c r="N52" i="208"/>
  <c r="N54" i="208" s="1"/>
  <c r="O55" i="208"/>
  <c r="O57" i="208" s="1"/>
  <c r="N58" i="208"/>
  <c r="N60" i="208" s="1"/>
  <c r="N61" i="208"/>
  <c r="N63" i="208" s="1"/>
  <c r="O58" i="208"/>
  <c r="O60" i="208" s="1"/>
  <c r="N52" i="200"/>
  <c r="N54" i="200" s="1"/>
  <c r="M55" i="200"/>
  <c r="M57" i="200" s="1"/>
  <c r="M58" i="200"/>
  <c r="M60" i="200" s="1"/>
  <c r="O58" i="200"/>
  <c r="O60" i="200" s="1"/>
  <c r="M61" i="200"/>
  <c r="M63" i="200" s="1"/>
  <c r="O61" i="200"/>
  <c r="O63" i="200" s="1"/>
  <c r="O58" i="224"/>
  <c r="O60" i="224" s="1"/>
  <c r="O52" i="224"/>
  <c r="O54" i="224" s="1"/>
  <c r="N52" i="217"/>
  <c r="N54" i="217" s="1"/>
  <c r="O52" i="212"/>
  <c r="O54" i="212" s="1"/>
  <c r="O52" i="207"/>
  <c r="O54" i="207" s="1"/>
  <c r="O58" i="205"/>
  <c r="M55" i="205"/>
  <c r="M57" i="205" s="1"/>
  <c r="N52" i="204"/>
  <c r="N54" i="204" s="1"/>
  <c r="N58" i="199"/>
  <c r="N60" i="199" s="1"/>
  <c r="N52" i="206"/>
  <c r="N54" i="206" s="1"/>
  <c r="M55" i="206"/>
  <c r="M57" i="206" s="1"/>
  <c r="M58" i="206"/>
  <c r="M60" i="206" s="1"/>
  <c r="O58" i="206"/>
  <c r="O60" i="206" s="1"/>
  <c r="M61" i="206"/>
  <c r="M63" i="206" s="1"/>
  <c r="O61" i="206"/>
  <c r="O63" i="206" s="1"/>
  <c r="O55" i="202"/>
  <c r="O57" i="202" s="1"/>
  <c r="N52" i="202"/>
  <c r="N54" i="202" s="1"/>
  <c r="M55" i="202"/>
  <c r="M57" i="202" s="1"/>
  <c r="M58" i="202"/>
  <c r="M60" i="202" s="1"/>
  <c r="M61" i="202"/>
  <c r="M63" i="202" s="1"/>
  <c r="C7" i="200"/>
  <c r="B106" i="200" s="1"/>
  <c r="C8" i="199"/>
  <c r="B145" i="199" s="1"/>
  <c r="I8" i="199"/>
  <c r="S68" i="122" s="1"/>
  <c r="L6" i="199"/>
  <c r="T66" i="122" s="1"/>
  <c r="I6" i="203"/>
  <c r="S94" i="122" s="1"/>
  <c r="C10" i="199"/>
  <c r="B223" i="199" s="1"/>
  <c r="I10" i="198"/>
  <c r="S63" i="122" s="1"/>
  <c r="L10" i="198"/>
  <c r="T63" i="122" s="1"/>
  <c r="I8" i="198"/>
  <c r="S61" i="122" s="1"/>
  <c r="C8" i="198"/>
  <c r="B145" i="198" s="1"/>
  <c r="C6" i="198"/>
  <c r="B67" i="198" s="1"/>
  <c r="W23" i="123"/>
  <c r="O23" i="113"/>
  <c r="S24" i="123"/>
  <c r="K24" i="113"/>
  <c r="W24" i="123"/>
  <c r="O24" i="113"/>
  <c r="E217" i="203"/>
  <c r="E219" i="203" s="1"/>
  <c r="I23" i="113" s="1"/>
  <c r="D216" i="203"/>
  <c r="B253" i="203"/>
  <c r="B175" i="203"/>
  <c r="B136" i="203"/>
  <c r="B292" i="203" s="1"/>
  <c r="B214" i="203"/>
  <c r="B248" i="203"/>
  <c r="B209" i="203"/>
  <c r="B170" i="203"/>
  <c r="B131" i="203"/>
  <c r="B287" i="203" s="1"/>
  <c r="G45" i="203"/>
  <c r="G100" i="203"/>
  <c r="I242" i="203"/>
  <c r="I203" i="203"/>
  <c r="I164" i="203"/>
  <c r="I125" i="203"/>
  <c r="I281" i="203" s="1"/>
  <c r="A239" i="203"/>
  <c r="A200" i="203"/>
  <c r="A161" i="203"/>
  <c r="A122" i="203"/>
  <c r="A278" i="203" s="1"/>
  <c r="B236" i="203"/>
  <c r="B197" i="203"/>
  <c r="B158" i="203"/>
  <c r="B119" i="203"/>
  <c r="B275" i="203" s="1"/>
  <c r="B194" i="203"/>
  <c r="B233" i="203"/>
  <c r="B155" i="203"/>
  <c r="B116" i="203"/>
  <c r="B272" i="203" s="1"/>
  <c r="A186" i="203"/>
  <c r="A225" i="203"/>
  <c r="A147" i="203"/>
  <c r="A108" i="203"/>
  <c r="A264" i="203" s="1"/>
  <c r="A256" i="203"/>
  <c r="A178" i="203"/>
  <c r="A217" i="203"/>
  <c r="A139" i="203"/>
  <c r="A295" i="203" s="1"/>
  <c r="A254" i="203"/>
  <c r="A215" i="203"/>
  <c r="A176" i="203"/>
  <c r="A137" i="203"/>
  <c r="A293" i="203" s="1"/>
  <c r="B252" i="203"/>
  <c r="B213" i="203"/>
  <c r="B174" i="203"/>
  <c r="B135" i="203"/>
  <c r="B291" i="203" s="1"/>
  <c r="B250" i="203"/>
  <c r="B172" i="203"/>
  <c r="B211" i="203"/>
  <c r="B133" i="203"/>
  <c r="B289" i="203" s="1"/>
  <c r="B247" i="203"/>
  <c r="B169" i="203"/>
  <c r="B208" i="203"/>
  <c r="B130" i="203"/>
  <c r="B286" i="203" s="1"/>
  <c r="B245" i="203"/>
  <c r="B167" i="203"/>
  <c r="B206" i="203"/>
  <c r="B128" i="203"/>
  <c r="B284" i="203" s="1"/>
  <c r="A48" i="203"/>
  <c r="A102" i="203" s="1"/>
  <c r="A72" i="203"/>
  <c r="M55" i="203"/>
  <c r="M57" i="203" s="1"/>
  <c r="E295" i="203"/>
  <c r="E297" i="203" s="1"/>
  <c r="D294" i="203"/>
  <c r="D255" i="203"/>
  <c r="E256" i="203"/>
  <c r="E258" i="203" s="1"/>
  <c r="I24" i="113" s="1"/>
  <c r="D177" i="203"/>
  <c r="E178" i="203"/>
  <c r="E180" i="203" s="1"/>
  <c r="F100" i="203"/>
  <c r="F45" i="203"/>
  <c r="B254" i="203"/>
  <c r="B176" i="203"/>
  <c r="B137" i="203"/>
  <c r="B293" i="203" s="1"/>
  <c r="B215" i="203"/>
  <c r="B251" i="203"/>
  <c r="B212" i="203"/>
  <c r="B173" i="203"/>
  <c r="B134" i="203"/>
  <c r="B290" i="203" s="1"/>
  <c r="A247" i="203"/>
  <c r="A208" i="203"/>
  <c r="A169" i="203"/>
  <c r="A130" i="203"/>
  <c r="A286" i="203" s="1"/>
  <c r="D99" i="203"/>
  <c r="E45" i="203"/>
  <c r="D45" i="203" s="1"/>
  <c r="E100" i="203"/>
  <c r="A242" i="203"/>
  <c r="A203" i="203"/>
  <c r="A164" i="203"/>
  <c r="A125" i="203"/>
  <c r="A281" i="203" s="1"/>
  <c r="A237" i="203"/>
  <c r="A198" i="203"/>
  <c r="A159" i="203"/>
  <c r="A120" i="203"/>
  <c r="A276" i="203" s="1"/>
  <c r="A195" i="203"/>
  <c r="A234" i="203"/>
  <c r="A156" i="203"/>
  <c r="A117" i="203"/>
  <c r="A273" i="203" s="1"/>
  <c r="A193" i="203"/>
  <c r="A232" i="203"/>
  <c r="A154" i="203"/>
  <c r="A115" i="203"/>
  <c r="A271" i="203" s="1"/>
  <c r="M78" i="203"/>
  <c r="K73" i="203"/>
  <c r="B255" i="203"/>
  <c r="B177" i="203"/>
  <c r="B138" i="203"/>
  <c r="B294" i="203" s="1"/>
  <c r="B216" i="203"/>
  <c r="A253" i="203"/>
  <c r="A214" i="203"/>
  <c r="A175" i="203"/>
  <c r="A136" i="203"/>
  <c r="A292" i="203" s="1"/>
  <c r="A251" i="203"/>
  <c r="A173" i="203"/>
  <c r="A212" i="203"/>
  <c r="A134" i="203"/>
  <c r="A290" i="203" s="1"/>
  <c r="A249" i="203"/>
  <c r="A171" i="203"/>
  <c r="A210" i="203"/>
  <c r="A132" i="203"/>
  <c r="A288" i="203" s="1"/>
  <c r="A248" i="203"/>
  <c r="A170" i="203"/>
  <c r="A209" i="203"/>
  <c r="A131" i="203"/>
  <c r="A287" i="203" s="1"/>
  <c r="A246" i="203"/>
  <c r="A207" i="203"/>
  <c r="A168" i="203"/>
  <c r="A129" i="203"/>
  <c r="A285" i="203" s="1"/>
  <c r="A243" i="203"/>
  <c r="A165" i="203"/>
  <c r="A204" i="203"/>
  <c r="A126" i="203"/>
  <c r="A282" i="203" s="1"/>
  <c r="A183" i="203"/>
  <c r="A222" i="203"/>
  <c r="A144" i="203"/>
  <c r="A105" i="203"/>
  <c r="A261" i="203" s="1"/>
  <c r="N58" i="203"/>
  <c r="D45" i="198"/>
  <c r="C292" i="45"/>
  <c r="F291" i="45"/>
  <c r="I291" i="45" s="1"/>
  <c r="L291" i="45" s="1"/>
  <c r="O291" i="45" s="1"/>
  <c r="R291" i="45" s="1"/>
  <c r="M289" i="45"/>
  <c r="M58" i="214" s="1"/>
  <c r="T291" i="45"/>
  <c r="O289" i="45"/>
  <c r="O58" i="214" s="1"/>
  <c r="E292" i="45"/>
  <c r="E484" i="45" s="1"/>
  <c r="H291" i="45"/>
  <c r="K291" i="45" s="1"/>
  <c r="N291" i="45" s="1"/>
  <c r="Q291" i="45" s="1"/>
  <c r="Q121" i="45"/>
  <c r="N61" i="204" s="1"/>
  <c r="N63" i="204" s="1"/>
  <c r="G124" i="45"/>
  <c r="J124" i="45" s="1"/>
  <c r="M124" i="45" s="1"/>
  <c r="P124" i="45" s="1"/>
  <c r="F34" i="45"/>
  <c r="I34" i="45" s="1"/>
  <c r="L34" i="45" s="1"/>
  <c r="O34" i="45" s="1"/>
  <c r="R34" i="45" s="1"/>
  <c r="P31" i="45"/>
  <c r="M61" i="199" s="1"/>
  <c r="M63" i="199" s="1"/>
  <c r="H19" i="2"/>
  <c r="H57" i="2"/>
  <c r="AV53" i="234"/>
  <c r="AG63" i="192"/>
  <c r="H55" i="2"/>
  <c r="AV51" i="234"/>
  <c r="AG61" i="192"/>
  <c r="AT61" i="234"/>
  <c r="AT59" i="234"/>
  <c r="X71" i="192"/>
  <c r="AG71" i="192" s="1"/>
  <c r="X69" i="192"/>
  <c r="AG69" i="192" s="1"/>
  <c r="H56" i="2"/>
  <c r="AG62" i="192"/>
  <c r="AV52" i="234"/>
  <c r="AG27" i="192"/>
  <c r="I25" i="2" s="1"/>
  <c r="H25" i="2"/>
  <c r="AX21" i="234"/>
  <c r="AV21" i="234"/>
  <c r="D7" i="192"/>
  <c r="D5" i="2" s="1"/>
  <c r="X64" i="192"/>
  <c r="AG64" i="192" s="1"/>
  <c r="G58" i="2"/>
  <c r="O60" i="192"/>
  <c r="G45" i="2"/>
  <c r="X51" i="192"/>
  <c r="H45" i="2" s="1"/>
  <c r="G43" i="2"/>
  <c r="AV39" i="234"/>
  <c r="X59" i="192"/>
  <c r="G53" i="2"/>
  <c r="AT49" i="234"/>
  <c r="G46" i="2"/>
  <c r="X52" i="192"/>
  <c r="H46" i="2" s="1"/>
  <c r="H50" i="2"/>
  <c r="G50" i="2"/>
  <c r="X47" i="192"/>
  <c r="H41" i="2" s="1"/>
  <c r="G41" i="2"/>
  <c r="X38" i="192"/>
  <c r="AG38" i="192" s="1"/>
  <c r="G33" i="2"/>
  <c r="O22" i="192"/>
  <c r="G20" i="2" s="1"/>
  <c r="G15" i="2"/>
  <c r="X16" i="192"/>
  <c r="H14" i="2" s="1"/>
  <c r="G14" i="2"/>
  <c r="X15" i="192"/>
  <c r="AG15" i="192" s="1"/>
  <c r="G13" i="2"/>
  <c r="X13" i="192"/>
  <c r="AG13" i="192" s="1"/>
  <c r="G11" i="2"/>
  <c r="X12" i="192"/>
  <c r="AG12" i="192" s="1"/>
  <c r="G10" i="2"/>
  <c r="X11" i="192"/>
  <c r="AG11" i="192" s="1"/>
  <c r="G9" i="2"/>
  <c r="O10" i="192"/>
  <c r="O8" i="192" s="1"/>
  <c r="E31" i="233"/>
  <c r="N59" i="198"/>
  <c r="N60" i="198" s="1"/>
  <c r="AV57" i="234"/>
  <c r="AG67" i="192"/>
  <c r="H61" i="2"/>
  <c r="AV55" i="234"/>
  <c r="AG65" i="192"/>
  <c r="H59" i="2"/>
  <c r="AV63" i="234"/>
  <c r="H67" i="2"/>
  <c r="X54" i="234"/>
  <c r="O50" i="234"/>
  <c r="AG72" i="192"/>
  <c r="H66" i="2"/>
  <c r="AV62" i="234"/>
  <c r="AG70" i="192"/>
  <c r="H64" i="2"/>
  <c r="AV60" i="234"/>
  <c r="H62" i="2"/>
  <c r="AV58" i="234"/>
  <c r="AG66" i="192"/>
  <c r="H60" i="2"/>
  <c r="AV56" i="234"/>
  <c r="AV47" i="234"/>
  <c r="H51" i="2"/>
  <c r="AG57" i="192"/>
  <c r="AV45" i="234"/>
  <c r="H49" i="2"/>
  <c r="AG53" i="192"/>
  <c r="D100" i="98"/>
  <c r="D31" i="192"/>
  <c r="D26" i="2" s="1"/>
  <c r="H48" i="2"/>
  <c r="AV44" i="234"/>
  <c r="AG54" i="192"/>
  <c r="AV42" i="234"/>
  <c r="H44" i="2"/>
  <c r="AV40" i="234"/>
  <c r="AG50" i="192"/>
  <c r="H42" i="2"/>
  <c r="AV38" i="234"/>
  <c r="X38" i="234"/>
  <c r="O36" i="234"/>
  <c r="G52" i="2"/>
  <c r="AT48" i="234"/>
  <c r="X58" i="192"/>
  <c r="O46" i="192"/>
  <c r="F22" i="234"/>
  <c r="AM22" i="234" s="1"/>
  <c r="F7" i="98"/>
  <c r="E7" i="234"/>
  <c r="AL7" i="234" s="1"/>
  <c r="G38" i="2"/>
  <c r="AT34" i="234"/>
  <c r="X43" i="192"/>
  <c r="X33" i="234"/>
  <c r="O32" i="234"/>
  <c r="G39" i="2"/>
  <c r="X44" i="192"/>
  <c r="AT35" i="234"/>
  <c r="G37" i="2"/>
  <c r="AT33" i="234"/>
  <c r="O28" i="234"/>
  <c r="AG29" i="234"/>
  <c r="AG28" i="234" s="1"/>
  <c r="X28" i="234"/>
  <c r="AV30" i="234"/>
  <c r="AG39" i="192"/>
  <c r="H34" i="2"/>
  <c r="AT28" i="234"/>
  <c r="G32" i="2"/>
  <c r="G30" i="2"/>
  <c r="X35" i="192"/>
  <c r="AT26" i="234"/>
  <c r="G28" i="2"/>
  <c r="AT24" i="234"/>
  <c r="X24" i="234"/>
  <c r="O23" i="234"/>
  <c r="G29" i="2"/>
  <c r="AT25" i="234"/>
  <c r="X34" i="192"/>
  <c r="G23" i="2"/>
  <c r="X25" i="192"/>
  <c r="G21" i="2"/>
  <c r="X23" i="192"/>
  <c r="G24" i="2"/>
  <c r="G22" i="2"/>
  <c r="X24" i="192"/>
  <c r="X12" i="234"/>
  <c r="O10" i="234"/>
  <c r="O8" i="234" s="1"/>
  <c r="AG18" i="192"/>
  <c r="H16" i="2"/>
  <c r="AV18" i="234"/>
  <c r="AV14" i="234"/>
  <c r="AG20" i="192"/>
  <c r="H18" i="2"/>
  <c r="AV20" i="234"/>
  <c r="AT19" i="234"/>
  <c r="X19" i="192"/>
  <c r="G17" i="2"/>
  <c r="AV17" i="234"/>
  <c r="H15" i="2"/>
  <c r="AV15" i="234"/>
  <c r="X9" i="234"/>
  <c r="G7" i="2"/>
  <c r="AT9" i="234"/>
  <c r="X9" i="192"/>
  <c r="F31" i="233"/>
  <c r="D80" i="239"/>
  <c r="S358" i="45"/>
  <c r="G358" i="45"/>
  <c r="J358" i="45" s="1"/>
  <c r="M358" i="45" s="1"/>
  <c r="P358" i="45" s="1"/>
  <c r="Q355" i="45"/>
  <c r="N61" i="219" s="1"/>
  <c r="N63" i="219" s="1"/>
  <c r="F334" i="45"/>
  <c r="I334" i="45" s="1"/>
  <c r="L334" i="45" s="1"/>
  <c r="O334" i="45" s="1"/>
  <c r="R334" i="45" s="1"/>
  <c r="P331" i="45"/>
  <c r="M61" i="218" s="1"/>
  <c r="M63" i="218" s="1"/>
  <c r="T334" i="45"/>
  <c r="H334" i="45"/>
  <c r="K334" i="45" s="1"/>
  <c r="N334" i="45" s="1"/>
  <c r="Q334" i="45" s="1"/>
  <c r="R331" i="45"/>
  <c r="O61" i="218" s="1"/>
  <c r="O63" i="218" s="1"/>
  <c r="S316" i="45"/>
  <c r="G316" i="45"/>
  <c r="J316" i="45" s="1"/>
  <c r="M316" i="45" s="1"/>
  <c r="P316" i="45" s="1"/>
  <c r="Q313" i="45"/>
  <c r="N61" i="217" s="1"/>
  <c r="N63" i="217" s="1"/>
  <c r="S292" i="45"/>
  <c r="G292" i="45"/>
  <c r="J292" i="45" s="1"/>
  <c r="M292" i="45" s="1"/>
  <c r="P292" i="45" s="1"/>
  <c r="Q289" i="45"/>
  <c r="N61" i="214" s="1"/>
  <c r="N63" i="214" s="1"/>
  <c r="R259" i="45"/>
  <c r="O61" i="212" s="1"/>
  <c r="O63" i="212" s="1"/>
  <c r="T262" i="45"/>
  <c r="H262" i="45"/>
  <c r="K262" i="45" s="1"/>
  <c r="N262" i="45" s="1"/>
  <c r="Q262" i="45" s="1"/>
  <c r="S190" i="45"/>
  <c r="G190" i="45"/>
  <c r="J190" i="45" s="1"/>
  <c r="M190" i="45" s="1"/>
  <c r="P190" i="45" s="1"/>
  <c r="Q187" i="45"/>
  <c r="N61" i="207" s="1"/>
  <c r="N63" i="207" s="1"/>
  <c r="L63" i="207" s="1"/>
  <c r="F124" i="45"/>
  <c r="I124" i="45" s="1"/>
  <c r="L124" i="45" s="1"/>
  <c r="O124" i="45" s="1"/>
  <c r="R124" i="45" s="1"/>
  <c r="P121" i="45"/>
  <c r="M61" i="204" s="1"/>
  <c r="M63" i="204" s="1"/>
  <c r="T124" i="45"/>
  <c r="H124" i="45"/>
  <c r="K124" i="45" s="1"/>
  <c r="N124" i="45" s="1"/>
  <c r="Q124" i="45" s="1"/>
  <c r="R121" i="45"/>
  <c r="O61" i="204" s="1"/>
  <c r="O63" i="204" s="1"/>
  <c r="S94" i="45"/>
  <c r="G94" i="45"/>
  <c r="J94" i="45" s="1"/>
  <c r="M94" i="45" s="1"/>
  <c r="P94" i="45" s="1"/>
  <c r="Q91" i="45"/>
  <c r="N61" i="203" s="1"/>
  <c r="N63" i="203" s="1"/>
  <c r="S70" i="45"/>
  <c r="G70" i="45"/>
  <c r="J70" i="45" s="1"/>
  <c r="M70" i="45" s="1"/>
  <c r="P70" i="45" s="1"/>
  <c r="Q67" i="45"/>
  <c r="N61" i="201" s="1"/>
  <c r="N63" i="201" s="1"/>
  <c r="L63" i="201" s="1"/>
  <c r="S34" i="45"/>
  <c r="G34" i="45"/>
  <c r="J34" i="45" s="1"/>
  <c r="M34" i="45" s="1"/>
  <c r="P34" i="45" s="1"/>
  <c r="Q31" i="45"/>
  <c r="N61" i="199" s="1"/>
  <c r="N63" i="199" s="1"/>
  <c r="F65" i="239"/>
  <c r="F80" i="239" s="1"/>
  <c r="H34" i="183"/>
  <c r="G25" i="233" s="1"/>
  <c r="F370" i="45"/>
  <c r="I370" i="45" s="1"/>
  <c r="L370" i="45" s="1"/>
  <c r="O370" i="45" s="1"/>
  <c r="R370" i="45" s="1"/>
  <c r="P367" i="45"/>
  <c r="M61" i="220" s="1"/>
  <c r="M63" i="220" s="1"/>
  <c r="D109" i="225"/>
  <c r="D148" i="225"/>
  <c r="L148" i="224"/>
  <c r="L109" i="224"/>
  <c r="L148" i="222"/>
  <c r="L109" i="222"/>
  <c r="L148" i="213"/>
  <c r="L109" i="213"/>
  <c r="D187" i="220"/>
  <c r="D109" i="220"/>
  <c r="D148" i="220"/>
  <c r="L148" i="218"/>
  <c r="L187" i="218"/>
  <c r="L109" i="218"/>
  <c r="L109" i="215"/>
  <c r="L148" i="215"/>
  <c r="L148" i="211"/>
  <c r="L109" i="211"/>
  <c r="K16" i="210"/>
  <c r="K70" i="210" s="1"/>
  <c r="C70" i="210"/>
  <c r="K16" i="209"/>
  <c r="K70" i="209" s="1"/>
  <c r="C70" i="209"/>
  <c r="B70" i="208"/>
  <c r="J16" i="208"/>
  <c r="J70" i="208" s="1"/>
  <c r="L148" i="206"/>
  <c r="L187" i="206"/>
  <c r="L109" i="206"/>
  <c r="M16" i="205"/>
  <c r="M70" i="205" s="1"/>
  <c r="E70" i="205"/>
  <c r="L226" i="204"/>
  <c r="L109" i="204"/>
  <c r="L265" i="204"/>
  <c r="L187" i="204"/>
  <c r="L148" i="204"/>
  <c r="E70" i="203"/>
  <c r="M16" i="203"/>
  <c r="M70" i="203" s="1"/>
  <c r="E70" i="202"/>
  <c r="M16" i="202"/>
  <c r="M70" i="202" s="1"/>
  <c r="J16" i="201"/>
  <c r="J70" i="201" s="1"/>
  <c r="B70" i="201"/>
  <c r="B70" i="200"/>
  <c r="J16" i="200"/>
  <c r="J70" i="200" s="1"/>
  <c r="D226" i="198"/>
  <c r="D187" i="198"/>
  <c r="D109" i="198"/>
  <c r="D265" i="198" s="1"/>
  <c r="D148" i="198"/>
  <c r="U57" i="122"/>
  <c r="AB57" i="122" s="1"/>
  <c r="B70" i="198"/>
  <c r="J16" i="198"/>
  <c r="J70" i="198" s="1"/>
  <c r="D3" i="2"/>
  <c r="D29" i="192"/>
  <c r="D75" i="192" s="1"/>
  <c r="C70" i="214"/>
  <c r="K16" i="214"/>
  <c r="K70" i="214" s="1"/>
  <c r="K16" i="211"/>
  <c r="K70" i="211" s="1"/>
  <c r="C70" i="211"/>
  <c r="C70" i="215"/>
  <c r="K16" i="215"/>
  <c r="K70" i="215" s="1"/>
  <c r="C70" i="218"/>
  <c r="K16" i="218"/>
  <c r="K70" i="218" s="1"/>
  <c r="C70" i="223"/>
  <c r="K16" i="223"/>
  <c r="K70" i="223" s="1"/>
  <c r="K16" i="224"/>
  <c r="K70" i="224" s="1"/>
  <c r="C70" i="224"/>
  <c r="C67" i="228"/>
  <c r="K16" i="228"/>
  <c r="B70" i="212"/>
  <c r="J16" i="212"/>
  <c r="J70" i="212" s="1"/>
  <c r="B70" i="217"/>
  <c r="J16" i="217"/>
  <c r="J70" i="217" s="1"/>
  <c r="B70" i="219"/>
  <c r="J16" i="219"/>
  <c r="J70" i="219" s="1"/>
  <c r="B70" i="214"/>
  <c r="J16" i="214"/>
  <c r="J70" i="214" s="1"/>
  <c r="B70" i="222"/>
  <c r="J16" i="222"/>
  <c r="J70" i="222" s="1"/>
  <c r="B70" i="216"/>
  <c r="J16" i="216"/>
  <c r="J70" i="216" s="1"/>
  <c r="J16" i="225"/>
  <c r="J70" i="225" s="1"/>
  <c r="B70" i="225"/>
  <c r="E70" i="208"/>
  <c r="M16" i="208"/>
  <c r="M70" i="208" s="1"/>
  <c r="E70" i="207"/>
  <c r="M16" i="207"/>
  <c r="M70" i="207" s="1"/>
  <c r="E70" i="206"/>
  <c r="M16" i="206"/>
  <c r="M70" i="206" s="1"/>
  <c r="L148" i="205"/>
  <c r="L187" i="205"/>
  <c r="L109" i="205"/>
  <c r="E70" i="204"/>
  <c r="M16" i="204"/>
  <c r="M70" i="204" s="1"/>
  <c r="L226" i="203"/>
  <c r="L148" i="203"/>
  <c r="L109" i="203"/>
  <c r="L265" i="203" s="1"/>
  <c r="L187" i="203"/>
  <c r="L109" i="202"/>
  <c r="L148" i="202"/>
  <c r="D109" i="201"/>
  <c r="D148" i="201"/>
  <c r="C70" i="201"/>
  <c r="K16" i="201"/>
  <c r="K70" i="201" s="1"/>
  <c r="C70" i="200"/>
  <c r="K16" i="200"/>
  <c r="K70" i="200" s="1"/>
  <c r="E70" i="199"/>
  <c r="M16" i="199"/>
  <c r="M70" i="199" s="1"/>
  <c r="X57" i="122"/>
  <c r="AE57" i="122" s="1"/>
  <c r="E70" i="198"/>
  <c r="M16" i="198"/>
  <c r="M70" i="198" s="1"/>
  <c r="E3" i="2"/>
  <c r="E29" i="192"/>
  <c r="E75" i="192" s="1"/>
  <c r="E70" i="213"/>
  <c r="M16" i="213"/>
  <c r="M70" i="213" s="1"/>
  <c r="M16" i="220"/>
  <c r="M70" i="220" s="1"/>
  <c r="E70" i="220"/>
  <c r="E70" i="212"/>
  <c r="M16" i="212"/>
  <c r="M70" i="212" s="1"/>
  <c r="M16" i="217"/>
  <c r="M70" i="217" s="1"/>
  <c r="E70" i="217"/>
  <c r="E70" i="219"/>
  <c r="M16" i="219"/>
  <c r="M70" i="219" s="1"/>
  <c r="E70" i="225"/>
  <c r="M16" i="225"/>
  <c r="M70" i="225" s="1"/>
  <c r="M16" i="222"/>
  <c r="M70" i="222" s="1"/>
  <c r="E70" i="222"/>
  <c r="E70" i="216"/>
  <c r="M16" i="216"/>
  <c r="M70" i="216" s="1"/>
  <c r="J148" i="210"/>
  <c r="J109" i="210"/>
  <c r="AT5" i="234"/>
  <c r="AZ5" i="234"/>
  <c r="C148" i="208"/>
  <c r="C109" i="208"/>
  <c r="L148" i="216"/>
  <c r="L109" i="216"/>
  <c r="D109" i="223"/>
  <c r="D148" i="223"/>
  <c r="L148" i="214"/>
  <c r="L109" i="214"/>
  <c r="L187" i="220"/>
  <c r="L109" i="220"/>
  <c r="L148" i="220"/>
  <c r="L187" i="219"/>
  <c r="L148" i="219"/>
  <c r="L109" i="219"/>
  <c r="L148" i="217"/>
  <c r="L109" i="217"/>
  <c r="L148" i="212"/>
  <c r="L109" i="212"/>
  <c r="M16" i="210"/>
  <c r="M70" i="210" s="1"/>
  <c r="E70" i="210"/>
  <c r="M16" i="209"/>
  <c r="M70" i="209" s="1"/>
  <c r="E70" i="209"/>
  <c r="L148" i="208"/>
  <c r="L109" i="208"/>
  <c r="J16" i="207"/>
  <c r="J70" i="207" s="1"/>
  <c r="B70" i="207"/>
  <c r="B70" i="206"/>
  <c r="J16" i="206"/>
  <c r="J70" i="206" s="1"/>
  <c r="K16" i="205"/>
  <c r="K70" i="205" s="1"/>
  <c r="C70" i="205"/>
  <c r="B70" i="204"/>
  <c r="J16" i="204"/>
  <c r="J70" i="204" s="1"/>
  <c r="C70" i="203"/>
  <c r="K16" i="203"/>
  <c r="K70" i="203" s="1"/>
  <c r="C70" i="202"/>
  <c r="K16" i="202"/>
  <c r="K70" i="202" s="1"/>
  <c r="L148" i="200"/>
  <c r="L109" i="200"/>
  <c r="J16" i="199"/>
  <c r="J70" i="199" s="1"/>
  <c r="B70" i="199"/>
  <c r="L226" i="198"/>
  <c r="L187" i="198"/>
  <c r="L109" i="198"/>
  <c r="L265" i="198" s="1"/>
  <c r="L148" i="198"/>
  <c r="D3" i="233"/>
  <c r="C3" i="239"/>
  <c r="C70" i="213"/>
  <c r="K16" i="213"/>
  <c r="K70" i="213" s="1"/>
  <c r="K16" i="220"/>
  <c r="K70" i="220" s="1"/>
  <c r="C70" i="220"/>
  <c r="C70" i="212"/>
  <c r="K16" i="212"/>
  <c r="K70" i="212" s="1"/>
  <c r="K16" i="217"/>
  <c r="K70" i="217" s="1"/>
  <c r="C70" i="217"/>
  <c r="C70" i="219"/>
  <c r="K16" i="219"/>
  <c r="K70" i="219" s="1"/>
  <c r="C70" i="225"/>
  <c r="K16" i="225"/>
  <c r="K70" i="225" s="1"/>
  <c r="K16" i="222"/>
  <c r="K70" i="222" s="1"/>
  <c r="C70" i="222"/>
  <c r="C70" i="216"/>
  <c r="K16" i="216"/>
  <c r="K70" i="216" s="1"/>
  <c r="B70" i="211"/>
  <c r="J16" i="211"/>
  <c r="J70" i="211" s="1"/>
  <c r="B70" i="215"/>
  <c r="J16" i="215"/>
  <c r="J70" i="215" s="1"/>
  <c r="B70" i="218"/>
  <c r="J16" i="218"/>
  <c r="J70" i="218" s="1"/>
  <c r="B70" i="213"/>
  <c r="J16" i="213"/>
  <c r="J70" i="213" s="1"/>
  <c r="B70" i="220"/>
  <c r="J16" i="220"/>
  <c r="J70" i="220" s="1"/>
  <c r="B70" i="224"/>
  <c r="J16" i="224"/>
  <c r="J70" i="224" s="1"/>
  <c r="C3" i="123"/>
  <c r="D3" i="126"/>
  <c r="B67" i="228"/>
  <c r="J16" i="228"/>
  <c r="J16" i="223"/>
  <c r="J70" i="223" s="1"/>
  <c r="B70" i="223"/>
  <c r="B70" i="209"/>
  <c r="J16" i="209"/>
  <c r="J70" i="209" s="1"/>
  <c r="D148" i="207"/>
  <c r="D109" i="207"/>
  <c r="C70" i="207"/>
  <c r="K16" i="207"/>
  <c r="K70" i="207" s="1"/>
  <c r="C70" i="206"/>
  <c r="K16" i="206"/>
  <c r="K70" i="206" s="1"/>
  <c r="B70" i="205"/>
  <c r="J16" i="205"/>
  <c r="J70" i="205" s="1"/>
  <c r="C70" i="204"/>
  <c r="K16" i="204"/>
  <c r="K70" i="204" s="1"/>
  <c r="B70" i="203"/>
  <c r="J16" i="203"/>
  <c r="J70" i="203" s="1"/>
  <c r="B70" i="202"/>
  <c r="J16" i="202"/>
  <c r="J70" i="202" s="1"/>
  <c r="E70" i="201"/>
  <c r="M16" i="201"/>
  <c r="M70" i="201" s="1"/>
  <c r="E70" i="200"/>
  <c r="M16" i="200"/>
  <c r="M70" i="200" s="1"/>
  <c r="D187" i="199"/>
  <c r="D109" i="199"/>
  <c r="D226" i="199" s="1"/>
  <c r="D148" i="199"/>
  <c r="C70" i="199"/>
  <c r="K16" i="199"/>
  <c r="K70" i="199" s="1"/>
  <c r="V57" i="122"/>
  <c r="AC57" i="122" s="1"/>
  <c r="C70" i="198"/>
  <c r="K16" i="198"/>
  <c r="K70" i="198" s="1"/>
  <c r="E3" i="233"/>
  <c r="D3" i="239"/>
  <c r="S3" i="123"/>
  <c r="F16" i="225"/>
  <c r="F16" i="223"/>
  <c r="G3" i="135"/>
  <c r="F3" i="131"/>
  <c r="F16" i="228"/>
  <c r="J3" i="183"/>
  <c r="J3" i="113"/>
  <c r="H3" i="126" s="1"/>
  <c r="F16" i="216"/>
  <c r="F16" i="224"/>
  <c r="F16" i="222"/>
  <c r="F16" i="220"/>
  <c r="F16" i="214"/>
  <c r="F16" i="213"/>
  <c r="F16" i="219"/>
  <c r="F16" i="218"/>
  <c r="F16" i="217"/>
  <c r="F16" i="215"/>
  <c r="F16" i="212"/>
  <c r="F16" i="211"/>
  <c r="F16" i="208"/>
  <c r="F16" i="207"/>
  <c r="F16" i="206"/>
  <c r="F16" i="204"/>
  <c r="F16" i="201"/>
  <c r="F16" i="200"/>
  <c r="F16" i="199"/>
  <c r="F16" i="198"/>
  <c r="E5" i="194"/>
  <c r="F16" i="210"/>
  <c r="F16" i="209"/>
  <c r="F16" i="205"/>
  <c r="F16" i="203"/>
  <c r="F16" i="202"/>
  <c r="D5" i="45"/>
  <c r="E5" i="193"/>
  <c r="K5" i="191"/>
  <c r="E5" i="188" s="1"/>
  <c r="F5" i="188" s="1"/>
  <c r="B10" i="35"/>
  <c r="B43" i="54"/>
  <c r="G4" i="241" s="1"/>
  <c r="E70" i="214"/>
  <c r="M16" i="214"/>
  <c r="M70" i="214" s="1"/>
  <c r="M16" i="211"/>
  <c r="M70" i="211" s="1"/>
  <c r="E70" i="211"/>
  <c r="E70" i="215"/>
  <c r="M16" i="215"/>
  <c r="M70" i="215" s="1"/>
  <c r="E70" i="218"/>
  <c r="M16" i="218"/>
  <c r="M70" i="218" s="1"/>
  <c r="E70" i="223"/>
  <c r="M16" i="223"/>
  <c r="M70" i="223" s="1"/>
  <c r="M16" i="224"/>
  <c r="M70" i="224" s="1"/>
  <c r="E70" i="224"/>
  <c r="E67" i="228"/>
  <c r="M16" i="228"/>
  <c r="M51" i="228" s="1"/>
  <c r="C3" i="229"/>
  <c r="G3" i="2"/>
  <c r="G29" i="192"/>
  <c r="G75" i="192" s="1"/>
  <c r="F7" i="164"/>
  <c r="K26" i="122"/>
  <c r="K11" i="122"/>
  <c r="K17" i="122" s="1"/>
  <c r="J11" i="122"/>
  <c r="J17" i="122" s="1"/>
  <c r="E7" i="164"/>
  <c r="J26" i="122"/>
  <c r="D7" i="164"/>
  <c r="I26" i="122"/>
  <c r="I11" i="122"/>
  <c r="I17" i="122" s="1"/>
  <c r="H11" i="122"/>
  <c r="H17" i="122" s="1"/>
  <c r="C7" i="164"/>
  <c r="H26" i="122"/>
  <c r="B148" i="210"/>
  <c r="B109" i="210"/>
  <c r="AR5" i="234"/>
  <c r="AP5" i="234"/>
  <c r="K148" i="208"/>
  <c r="K109" i="208"/>
  <c r="E5" i="2"/>
  <c r="E104" i="192"/>
  <c r="E46" i="198"/>
  <c r="D45" i="218"/>
  <c r="G102" i="212"/>
  <c r="G7" i="113"/>
  <c r="B7" i="188"/>
  <c r="E6" i="188"/>
  <c r="N7" i="191"/>
  <c r="G6" i="188" s="1"/>
  <c r="O7" i="191"/>
  <c r="H6" i="188" s="1"/>
  <c r="F6" i="188"/>
  <c r="L8" i="191"/>
  <c r="L394" i="191" s="1"/>
  <c r="Q76" i="113"/>
  <c r="G48" i="224"/>
  <c r="Q75" i="113" s="1"/>
  <c r="I76" i="113"/>
  <c r="K76" i="113"/>
  <c r="S76" i="123"/>
  <c r="N57" i="224"/>
  <c r="S75" i="123"/>
  <c r="K75" i="113"/>
  <c r="K38" i="183" s="1"/>
  <c r="S406" i="45"/>
  <c r="G406" i="45"/>
  <c r="J406" i="45" s="1"/>
  <c r="M406" i="45" s="1"/>
  <c r="P406" i="45" s="1"/>
  <c r="Q403" i="45"/>
  <c r="N61" i="222" s="1"/>
  <c r="N63" i="222" s="1"/>
  <c r="H406" i="45"/>
  <c r="K406" i="45" s="1"/>
  <c r="N406" i="45" s="1"/>
  <c r="Q406" i="45" s="1"/>
  <c r="R403" i="45"/>
  <c r="O61" i="222" s="1"/>
  <c r="O63" i="222" s="1"/>
  <c r="T406" i="45"/>
  <c r="H485" i="45"/>
  <c r="K485" i="45" s="1"/>
  <c r="N485" i="45" s="1"/>
  <c r="Q485" i="45" s="1"/>
  <c r="G485" i="45"/>
  <c r="J485" i="45" s="1"/>
  <c r="M485" i="45" s="1"/>
  <c r="P485" i="45" s="1"/>
  <c r="P427" i="45"/>
  <c r="M61" i="224" s="1"/>
  <c r="F430" i="45"/>
  <c r="I430" i="45" s="1"/>
  <c r="L430" i="45" s="1"/>
  <c r="O430" i="45" s="1"/>
  <c r="R430" i="45" s="1"/>
  <c r="S430" i="45"/>
  <c r="G430" i="45"/>
  <c r="J430" i="45" s="1"/>
  <c r="M430" i="45" s="1"/>
  <c r="P430" i="45" s="1"/>
  <c r="D484" i="45"/>
  <c r="Q427" i="45"/>
  <c r="N61" i="224" s="1"/>
  <c r="R427" i="45"/>
  <c r="O61" i="224" s="1"/>
  <c r="T430" i="45"/>
  <c r="H430" i="45"/>
  <c r="K430" i="45" s="1"/>
  <c r="N430" i="45" s="1"/>
  <c r="Q430" i="45" s="1"/>
  <c r="I4" i="233"/>
  <c r="P8" i="183"/>
  <c r="H4" i="233"/>
  <c r="L8" i="183"/>
  <c r="G4" i="233"/>
  <c r="H8" i="183"/>
  <c r="G48" i="222"/>
  <c r="Q71" i="113" s="1"/>
  <c r="Q72" i="113"/>
  <c r="M72" i="113"/>
  <c r="N57" i="222"/>
  <c r="N59" i="222"/>
  <c r="N60" i="222" s="1"/>
  <c r="M59" i="222"/>
  <c r="O57" i="220"/>
  <c r="O59" i="220"/>
  <c r="Q68" i="113"/>
  <c r="M68" i="113"/>
  <c r="N59" i="220"/>
  <c r="E48" i="220"/>
  <c r="I67" i="113" s="1"/>
  <c r="I68" i="113"/>
  <c r="F35" i="183"/>
  <c r="H63" i="239"/>
  <c r="P33" i="183"/>
  <c r="D45" i="219"/>
  <c r="L35" i="183"/>
  <c r="H24" i="233"/>
  <c r="G24" i="233"/>
  <c r="H35" i="183"/>
  <c r="O59" i="219"/>
  <c r="Q66" i="113"/>
  <c r="G48" i="219"/>
  <c r="Q65" i="113" s="1"/>
  <c r="N59" i="219"/>
  <c r="M66" i="113"/>
  <c r="F48" i="219"/>
  <c r="M65" i="113" s="1"/>
  <c r="E48" i="219"/>
  <c r="I65" i="113" s="1"/>
  <c r="I66" i="113"/>
  <c r="Q55" i="113"/>
  <c r="G48" i="214"/>
  <c r="Q54" i="113" s="1"/>
  <c r="M55" i="113"/>
  <c r="F48" i="214"/>
  <c r="M54" i="113" s="1"/>
  <c r="I55" i="113"/>
  <c r="E48" i="214"/>
  <c r="I54" i="113" s="1"/>
  <c r="W38" i="123"/>
  <c r="O38" i="113"/>
  <c r="O38" i="123"/>
  <c r="G38" i="113"/>
  <c r="F48" i="207"/>
  <c r="M37" i="113" s="1"/>
  <c r="M38" i="113"/>
  <c r="I15" i="126"/>
  <c r="O37" i="113"/>
  <c r="O18" i="183" s="1"/>
  <c r="Q18" i="183"/>
  <c r="W37" i="123"/>
  <c r="G45" i="228"/>
  <c r="G78" i="228" s="1"/>
  <c r="E14" i="229" s="1"/>
  <c r="G102" i="205"/>
  <c r="G48" i="205" s="1"/>
  <c r="Q30" i="113" s="1"/>
  <c r="H28" i="239"/>
  <c r="P15" i="183"/>
  <c r="I11" i="233" s="1"/>
  <c r="D45" i="205"/>
  <c r="G28" i="239"/>
  <c r="L15" i="183"/>
  <c r="H11" i="233" s="1"/>
  <c r="O59" i="205"/>
  <c r="N59" i="205"/>
  <c r="N60" i="205" s="1"/>
  <c r="M31" i="113"/>
  <c r="F48" i="205"/>
  <c r="M30" i="113" s="1"/>
  <c r="I31" i="113"/>
  <c r="D45" i="204"/>
  <c r="I10" i="233"/>
  <c r="H10" i="233"/>
  <c r="G10" i="233"/>
  <c r="H17" i="183"/>
  <c r="O59" i="204"/>
  <c r="Q28" i="113"/>
  <c r="G48" i="204"/>
  <c r="Q25" i="113" s="1"/>
  <c r="M28" i="113"/>
  <c r="F48" i="204"/>
  <c r="M25" i="113" s="1"/>
  <c r="N59" i="204"/>
  <c r="E48" i="204"/>
  <c r="I25" i="113" s="1"/>
  <c r="I28" i="113"/>
  <c r="F46" i="218"/>
  <c r="E102" i="218"/>
  <c r="I62" i="113" s="1"/>
  <c r="O59" i="218"/>
  <c r="O57" i="218"/>
  <c r="Q62" i="113"/>
  <c r="G48" i="218"/>
  <c r="Q61" i="113" s="1"/>
  <c r="M62" i="113"/>
  <c r="F48" i="218"/>
  <c r="M61" i="113" s="1"/>
  <c r="M59" i="218"/>
  <c r="I22" i="113"/>
  <c r="M59" i="203"/>
  <c r="M22" i="113"/>
  <c r="Q22" i="113"/>
  <c r="O59" i="203"/>
  <c r="M59" i="201"/>
  <c r="G48" i="201"/>
  <c r="Q16" i="113" s="1"/>
  <c r="Q17" i="113"/>
  <c r="N57" i="201"/>
  <c r="N59" i="201"/>
  <c r="M17" i="113"/>
  <c r="F48" i="201"/>
  <c r="M16" i="113" s="1"/>
  <c r="I17" i="113"/>
  <c r="F48" i="199"/>
  <c r="M10" i="113" s="1"/>
  <c r="M13" i="113"/>
  <c r="E48" i="199"/>
  <c r="I10" i="113" s="1"/>
  <c r="I13" i="113"/>
  <c r="M59" i="198"/>
  <c r="M60" i="198" s="1"/>
  <c r="M57" i="198"/>
  <c r="F48" i="198"/>
  <c r="M6" i="113" s="1"/>
  <c r="M9" i="113"/>
  <c r="O59" i="198"/>
  <c r="O60" i="198" s="1"/>
  <c r="O57" i="198"/>
  <c r="Q9" i="113"/>
  <c r="G48" i="198"/>
  <c r="Q6" i="113" s="1"/>
  <c r="I9" i="113"/>
  <c r="E48" i="198"/>
  <c r="I6" i="113" s="1"/>
  <c r="I18" i="233"/>
  <c r="P27" i="183"/>
  <c r="L27" i="183"/>
  <c r="H18" i="233"/>
  <c r="G18" i="233"/>
  <c r="H27" i="183"/>
  <c r="O59" i="212"/>
  <c r="Q50" i="113"/>
  <c r="G48" i="212"/>
  <c r="Q49" i="113" s="1"/>
  <c r="M50" i="113"/>
  <c r="M59" i="212"/>
  <c r="I50" i="113"/>
  <c r="O53" i="228"/>
  <c r="M53" i="228"/>
  <c r="D45" i="217"/>
  <c r="N62" i="228"/>
  <c r="G56" i="239"/>
  <c r="L30" i="183"/>
  <c r="L83" i="113"/>
  <c r="H56" i="239"/>
  <c r="P30" i="183"/>
  <c r="P83" i="113"/>
  <c r="M62" i="228"/>
  <c r="G22" i="233"/>
  <c r="H32" i="183"/>
  <c r="M56" i="228"/>
  <c r="M59" i="217"/>
  <c r="N30" i="183"/>
  <c r="N32" i="183" s="1"/>
  <c r="N43" i="183" s="1"/>
  <c r="N83" i="113"/>
  <c r="F30" i="183"/>
  <c r="F32" i="183" s="1"/>
  <c r="F83" i="113"/>
  <c r="O56" i="228"/>
  <c r="O59" i="217"/>
  <c r="J30" i="183"/>
  <c r="J32" i="183" s="1"/>
  <c r="N59" i="217"/>
  <c r="N57" i="217"/>
  <c r="Q60" i="113"/>
  <c r="G48" i="217"/>
  <c r="I60" i="113"/>
  <c r="E48" i="217"/>
  <c r="M60" i="113"/>
  <c r="AO26" i="234"/>
  <c r="AO35" i="234"/>
  <c r="AO21" i="234"/>
  <c r="AO32" i="234"/>
  <c r="AO14" i="234"/>
  <c r="AO49" i="234"/>
  <c r="AO30" i="234"/>
  <c r="AO34" i="234"/>
  <c r="AO45" i="234"/>
  <c r="AO46" i="234"/>
  <c r="AO50" i="234"/>
  <c r="AO20" i="234"/>
  <c r="AO18" i="234"/>
  <c r="AN22" i="234"/>
  <c r="AO38" i="234"/>
  <c r="AO37" i="234"/>
  <c r="AO29" i="234"/>
  <c r="AO62" i="234"/>
  <c r="AO22" i="234"/>
  <c r="AO43" i="234"/>
  <c r="AO33" i="234"/>
  <c r="AO53" i="234"/>
  <c r="AO47" i="234"/>
  <c r="AO59" i="234"/>
  <c r="AO36" i="234"/>
  <c r="AO17" i="234"/>
  <c r="AO48" i="234"/>
  <c r="AO24" i="234"/>
  <c r="AO15" i="234"/>
  <c r="AO23" i="234"/>
  <c r="AO58" i="234"/>
  <c r="AO10" i="234"/>
  <c r="AO39" i="234"/>
  <c r="AO11" i="234"/>
  <c r="AO54" i="234"/>
  <c r="AO63" i="234"/>
  <c r="AO61" i="234"/>
  <c r="AO16" i="234"/>
  <c r="AO9" i="234"/>
  <c r="AO52" i="234"/>
  <c r="AO51" i="234"/>
  <c r="AO40" i="234"/>
  <c r="AO57" i="234"/>
  <c r="AO56" i="234"/>
  <c r="AO42" i="234"/>
  <c r="AO19" i="234"/>
  <c r="AO12" i="234"/>
  <c r="AO31" i="234"/>
  <c r="AO28" i="234"/>
  <c r="AO44" i="234"/>
  <c r="AO41" i="234"/>
  <c r="AO27" i="234"/>
  <c r="AO8" i="234"/>
  <c r="AO55" i="234"/>
  <c r="AO60" i="234"/>
  <c r="AO25" i="234"/>
  <c r="AO13" i="234"/>
  <c r="M60" i="222" l="1"/>
  <c r="O60" i="203"/>
  <c r="O60" i="218"/>
  <c r="M60" i="218"/>
  <c r="L60" i="223"/>
  <c r="L54" i="201"/>
  <c r="M60" i="212"/>
  <c r="N60" i="204"/>
  <c r="L63" i="213"/>
  <c r="N60" i="220"/>
  <c r="Q31" i="113"/>
  <c r="S19" i="123"/>
  <c r="K19" i="113"/>
  <c r="X41" i="192"/>
  <c r="H47" i="2"/>
  <c r="M247" i="199"/>
  <c r="M251" i="199" s="1"/>
  <c r="O91" i="199"/>
  <c r="M247" i="198"/>
  <c r="M251" i="198" s="1"/>
  <c r="K34" i="113"/>
  <c r="K16" i="183" s="1"/>
  <c r="M16" i="183"/>
  <c r="S34" i="123"/>
  <c r="H14" i="126"/>
  <c r="E46" i="210"/>
  <c r="E102" i="210"/>
  <c r="G46" i="225"/>
  <c r="G102" i="225"/>
  <c r="O19" i="123"/>
  <c r="G19" i="113"/>
  <c r="M40" i="113"/>
  <c r="F48" i="208"/>
  <c r="M39" i="113" s="1"/>
  <c r="E46" i="201"/>
  <c r="E141" i="201"/>
  <c r="E48" i="201" s="1"/>
  <c r="I16" i="113" s="1"/>
  <c r="F46" i="209"/>
  <c r="F102" i="209"/>
  <c r="W40" i="123"/>
  <c r="O40" i="113"/>
  <c r="I19" i="126"/>
  <c r="W46" i="123"/>
  <c r="Q23" i="183"/>
  <c r="O46" i="113"/>
  <c r="O23" i="183" s="1"/>
  <c r="F46" i="223"/>
  <c r="F102" i="223"/>
  <c r="I11" i="183"/>
  <c r="G10" i="126"/>
  <c r="O18" i="123"/>
  <c r="M79" i="113"/>
  <c r="F48" i="216"/>
  <c r="M78" i="113" s="1"/>
  <c r="H32" i="126"/>
  <c r="K80" i="113"/>
  <c r="K40" i="183" s="1"/>
  <c r="S80" i="123"/>
  <c r="M40" i="183"/>
  <c r="H7" i="122"/>
  <c r="O247" i="199"/>
  <c r="O251" i="199" s="1"/>
  <c r="M130" i="200"/>
  <c r="M134" i="200" s="1"/>
  <c r="O247" i="198"/>
  <c r="O251" i="198" s="1"/>
  <c r="M169" i="199"/>
  <c r="M173" i="199" s="1"/>
  <c r="S35" i="123"/>
  <c r="V35" i="123" s="1"/>
  <c r="K35" i="113"/>
  <c r="E46" i="212"/>
  <c r="E180" i="212"/>
  <c r="E48" i="212" s="1"/>
  <c r="I49" i="113" s="1"/>
  <c r="E102" i="222"/>
  <c r="E46" i="222"/>
  <c r="G31" i="126"/>
  <c r="O78" i="123"/>
  <c r="I39" i="183"/>
  <c r="G78" i="113"/>
  <c r="G39" i="183" s="1"/>
  <c r="O57" i="123"/>
  <c r="G57" i="113"/>
  <c r="W44" i="123"/>
  <c r="O44" i="113"/>
  <c r="M23" i="183"/>
  <c r="H19" i="126"/>
  <c r="K46" i="113"/>
  <c r="K23" i="183" s="1"/>
  <c r="S46" i="123"/>
  <c r="W47" i="123"/>
  <c r="O47" i="113"/>
  <c r="O39" i="113"/>
  <c r="O19" i="183" s="1"/>
  <c r="Q19" i="183"/>
  <c r="W39" i="123"/>
  <c r="I16" i="126"/>
  <c r="M60" i="201"/>
  <c r="AG16" i="192"/>
  <c r="N91" i="199"/>
  <c r="O130" i="200"/>
  <c r="O134" i="200" s="1"/>
  <c r="O169" i="199"/>
  <c r="O173" i="199" s="1"/>
  <c r="I17" i="126"/>
  <c r="O41" i="113"/>
  <c r="O20" i="183" s="1"/>
  <c r="W41" i="123"/>
  <c r="Q20" i="183"/>
  <c r="I15" i="113"/>
  <c r="E48" i="200"/>
  <c r="I14" i="113" s="1"/>
  <c r="G18" i="113"/>
  <c r="G11" i="183" s="1"/>
  <c r="G141" i="220"/>
  <c r="G46" i="220"/>
  <c r="O79" i="123"/>
  <c r="G79" i="113"/>
  <c r="E46" i="223"/>
  <c r="E102" i="223"/>
  <c r="G52" i="113"/>
  <c r="G25" i="183" s="1"/>
  <c r="I25" i="183"/>
  <c r="O52" i="123"/>
  <c r="G21" i="126"/>
  <c r="S47" i="123"/>
  <c r="K47" i="113"/>
  <c r="D45" i="213"/>
  <c r="F43" i="183"/>
  <c r="N91" i="198"/>
  <c r="Q7" i="183"/>
  <c r="O10" i="113"/>
  <c r="O7" i="183" s="1"/>
  <c r="W10" i="123"/>
  <c r="I7" i="126"/>
  <c r="W42" i="123"/>
  <c r="O42" i="113"/>
  <c r="F180" i="222"/>
  <c r="F48" i="222" s="1"/>
  <c r="M71" i="113" s="1"/>
  <c r="F46" i="222"/>
  <c r="E46" i="215"/>
  <c r="E141" i="215"/>
  <c r="E48" i="215" s="1"/>
  <c r="I56" i="113" s="1"/>
  <c r="I14" i="126"/>
  <c r="O34" i="113"/>
  <c r="O16" i="183" s="1"/>
  <c r="Q16" i="183"/>
  <c r="W34" i="123"/>
  <c r="D45" i="223"/>
  <c r="O53" i="123"/>
  <c r="G53" i="113"/>
  <c r="E46" i="206"/>
  <c r="E102" i="206"/>
  <c r="F46" i="213"/>
  <c r="F102" i="213"/>
  <c r="O80" i="123"/>
  <c r="I40" i="183"/>
  <c r="G32" i="126"/>
  <c r="G80" i="113"/>
  <c r="G40" i="183" s="1"/>
  <c r="W11" i="123"/>
  <c r="O11" i="113"/>
  <c r="G46" i="213"/>
  <c r="G102" i="213"/>
  <c r="I29" i="126"/>
  <c r="O73" i="113"/>
  <c r="O37" i="183" s="1"/>
  <c r="Q37" i="183"/>
  <c r="W73" i="123"/>
  <c r="Q9" i="183"/>
  <c r="O14" i="113"/>
  <c r="O9" i="183" s="1"/>
  <c r="I8" i="126"/>
  <c r="W14" i="123"/>
  <c r="E46" i="209"/>
  <c r="E102" i="209"/>
  <c r="W35" i="123"/>
  <c r="O35" i="113"/>
  <c r="M44" i="113"/>
  <c r="F48" i="210"/>
  <c r="M43" i="113" s="1"/>
  <c r="M9" i="183"/>
  <c r="H8" i="126"/>
  <c r="K14" i="113"/>
  <c r="K9" i="183" s="1"/>
  <c r="S14" i="123"/>
  <c r="D45" i="206"/>
  <c r="G46" i="216"/>
  <c r="G102" i="216"/>
  <c r="E46" i="207"/>
  <c r="E180" i="207"/>
  <c r="E48" i="207" s="1"/>
  <c r="I37" i="113" s="1"/>
  <c r="O81" i="123"/>
  <c r="G81" i="113"/>
  <c r="AS5" i="234"/>
  <c r="M91" i="198"/>
  <c r="N247" i="199"/>
  <c r="N251" i="199" s="1"/>
  <c r="N169" i="199"/>
  <c r="N173" i="199" s="1"/>
  <c r="G46" i="210"/>
  <c r="G180" i="210"/>
  <c r="G48" i="210" s="1"/>
  <c r="Q43" i="113" s="1"/>
  <c r="G46" i="215"/>
  <c r="G102" i="215"/>
  <c r="W74" i="123"/>
  <c r="O74" i="113"/>
  <c r="W15" i="123"/>
  <c r="Z15" i="123" s="1"/>
  <c r="O15" i="113"/>
  <c r="D45" i="209"/>
  <c r="E46" i="224"/>
  <c r="E141" i="224"/>
  <c r="G39" i="113"/>
  <c r="G19" i="183" s="1"/>
  <c r="I19" i="183"/>
  <c r="O39" i="123"/>
  <c r="G16" i="126"/>
  <c r="L63" i="203"/>
  <c r="O91" i="198"/>
  <c r="B72" i="203"/>
  <c r="L54" i="214"/>
  <c r="H10" i="126"/>
  <c r="K18" i="113"/>
  <c r="K11" i="183" s="1"/>
  <c r="M11" i="183"/>
  <c r="S18" i="123"/>
  <c r="F46" i="215"/>
  <c r="F102" i="215"/>
  <c r="S81" i="123"/>
  <c r="K81" i="113"/>
  <c r="O40" i="123"/>
  <c r="G40" i="113"/>
  <c r="O45" i="123"/>
  <c r="G45" i="113"/>
  <c r="F46" i="220"/>
  <c r="F141" i="220"/>
  <c r="G80" i="239"/>
  <c r="AV54" i="234"/>
  <c r="L73" i="203"/>
  <c r="L54" i="223"/>
  <c r="O60" i="220"/>
  <c r="AV41" i="234"/>
  <c r="AV59" i="234"/>
  <c r="L54" i="225"/>
  <c r="L54" i="203"/>
  <c r="M38" i="183"/>
  <c r="AV11" i="234"/>
  <c r="AG14" i="192"/>
  <c r="O91" i="203"/>
  <c r="A111" i="208"/>
  <c r="D104" i="192"/>
  <c r="D95" i="2" s="1"/>
  <c r="AV29" i="234"/>
  <c r="N78" i="203"/>
  <c r="D72" i="198"/>
  <c r="J80" i="198"/>
  <c r="J229" i="199"/>
  <c r="J238" i="199" s="1"/>
  <c r="AB70" i="122" s="1"/>
  <c r="K229" i="199"/>
  <c r="D72" i="199"/>
  <c r="J80" i="199"/>
  <c r="B111" i="200"/>
  <c r="K119" i="200"/>
  <c r="K121" i="200" s="1"/>
  <c r="L112" i="200"/>
  <c r="L151" i="198"/>
  <c r="O156" i="198"/>
  <c r="O158" i="198" s="1"/>
  <c r="O160" i="198" s="1"/>
  <c r="D228" i="198"/>
  <c r="D258" i="198" s="1"/>
  <c r="C228" i="198"/>
  <c r="L236" i="198"/>
  <c r="K151" i="199"/>
  <c r="C150" i="199"/>
  <c r="M60" i="203"/>
  <c r="O78" i="198"/>
  <c r="M156" i="198"/>
  <c r="M158" i="198" s="1"/>
  <c r="M160" i="198" s="1"/>
  <c r="O234" i="198"/>
  <c r="O236" i="198" s="1"/>
  <c r="O238" i="198" s="1"/>
  <c r="O244" i="198" s="1"/>
  <c r="L54" i="213"/>
  <c r="M78" i="198"/>
  <c r="N78" i="198"/>
  <c r="O234" i="199"/>
  <c r="O236" i="199" s="1"/>
  <c r="O238" i="199" s="1"/>
  <c r="O244" i="199" s="1"/>
  <c r="N117" i="200"/>
  <c r="N119" i="200" s="1"/>
  <c r="M234" i="198"/>
  <c r="M236" i="198" s="1"/>
  <c r="M238" i="198" s="1"/>
  <c r="L60" i="215"/>
  <c r="M91" i="203"/>
  <c r="M95" i="203" s="1"/>
  <c r="L54" i="204"/>
  <c r="N78" i="199"/>
  <c r="M117" i="200"/>
  <c r="M119" i="200" s="1"/>
  <c r="M121" i="200" s="1"/>
  <c r="N156" i="198"/>
  <c r="N158" i="198" s="1"/>
  <c r="N160" i="198" s="1"/>
  <c r="N166" i="198" s="1"/>
  <c r="N156" i="199"/>
  <c r="N158" i="199" s="1"/>
  <c r="N160" i="199" s="1"/>
  <c r="N60" i="201"/>
  <c r="L60" i="201" s="1"/>
  <c r="O60" i="204"/>
  <c r="J73" i="203"/>
  <c r="D21" i="123" s="1"/>
  <c r="L80" i="203"/>
  <c r="M21" i="123" s="1"/>
  <c r="D72" i="203"/>
  <c r="D102" i="203" s="1"/>
  <c r="K80" i="203"/>
  <c r="N60" i="219"/>
  <c r="O60" i="219"/>
  <c r="L63" i="220"/>
  <c r="C72" i="203"/>
  <c r="J80" i="203"/>
  <c r="O78" i="203"/>
  <c r="O80" i="203" s="1"/>
  <c r="N234" i="199"/>
  <c r="N236" i="199" s="1"/>
  <c r="N238" i="199" s="1"/>
  <c r="N244" i="199" s="1"/>
  <c r="M234" i="199"/>
  <c r="M236" i="199" s="1"/>
  <c r="M238" i="199" s="1"/>
  <c r="O78" i="199"/>
  <c r="O80" i="199" s="1"/>
  <c r="N234" i="198"/>
  <c r="N236" i="198" s="1"/>
  <c r="N238" i="198" s="1"/>
  <c r="AF63" i="122" s="1"/>
  <c r="L57" i="201"/>
  <c r="N60" i="218"/>
  <c r="L60" i="218" s="1"/>
  <c r="X10" i="192"/>
  <c r="H8" i="2" s="1"/>
  <c r="AV13" i="234"/>
  <c r="H10" i="2"/>
  <c r="AV16" i="234"/>
  <c r="AG47" i="192"/>
  <c r="AX37" i="234" s="1"/>
  <c r="H65" i="2"/>
  <c r="L29" i="122"/>
  <c r="G43" i="164" s="1"/>
  <c r="AG33" i="192"/>
  <c r="X32" i="192"/>
  <c r="L63" i="218"/>
  <c r="M28" i="122"/>
  <c r="H42" i="164" s="1"/>
  <c r="E46" i="211"/>
  <c r="E102" i="211"/>
  <c r="J7" i="122"/>
  <c r="B72" i="205"/>
  <c r="L54" i="219"/>
  <c r="L63" i="225"/>
  <c r="L63" i="204"/>
  <c r="L57" i="219"/>
  <c r="L57" i="218"/>
  <c r="AV61" i="234"/>
  <c r="O60" i="212"/>
  <c r="L63" i="223"/>
  <c r="L54" i="207"/>
  <c r="L57" i="225"/>
  <c r="H9" i="2"/>
  <c r="H11" i="2"/>
  <c r="H13" i="2"/>
  <c r="AV12" i="234"/>
  <c r="L60" i="202"/>
  <c r="L57" i="206"/>
  <c r="O33" i="123"/>
  <c r="G33" i="113"/>
  <c r="E141" i="205"/>
  <c r="E46" i="205"/>
  <c r="H80" i="239"/>
  <c r="L63" i="202"/>
  <c r="L57" i="202"/>
  <c r="L54" i="224"/>
  <c r="L57" i="200"/>
  <c r="H43" i="183"/>
  <c r="O54" i="228"/>
  <c r="O60" i="205"/>
  <c r="N58" i="228"/>
  <c r="L57" i="216"/>
  <c r="L63" i="216"/>
  <c r="L63" i="215"/>
  <c r="L57" i="215"/>
  <c r="L57" i="213"/>
  <c r="L57" i="204"/>
  <c r="S10" i="45"/>
  <c r="Q7" i="45"/>
  <c r="N61" i="198" s="1"/>
  <c r="N63" i="198" s="1"/>
  <c r="G10" i="45"/>
  <c r="J10" i="45" s="1"/>
  <c r="M10" i="45" s="1"/>
  <c r="P10" i="45" s="1"/>
  <c r="L60" i="207"/>
  <c r="L60" i="213"/>
  <c r="L54" i="215"/>
  <c r="L57" i="223"/>
  <c r="L63" i="219"/>
  <c r="L60" i="199"/>
  <c r="L60" i="225"/>
  <c r="K7" i="122"/>
  <c r="F9" i="164" s="1"/>
  <c r="N52" i="228"/>
  <c r="O58" i="228"/>
  <c r="M58" i="228"/>
  <c r="I7" i="122"/>
  <c r="M6" i="122"/>
  <c r="H8" i="164" s="1"/>
  <c r="L63" i="199"/>
  <c r="J13" i="122"/>
  <c r="K13" i="122"/>
  <c r="K19" i="122" s="1"/>
  <c r="H13" i="122"/>
  <c r="K27" i="122"/>
  <c r="F41" i="164" s="1"/>
  <c r="I13" i="122"/>
  <c r="M7" i="122"/>
  <c r="K6" i="122"/>
  <c r="F8" i="164" s="1"/>
  <c r="L7" i="122"/>
  <c r="G9" i="164" s="1"/>
  <c r="L13" i="122"/>
  <c r="K29" i="122"/>
  <c r="F43" i="164" s="1"/>
  <c r="K28" i="122"/>
  <c r="F42" i="164" s="1"/>
  <c r="M13" i="122"/>
  <c r="L54" i="211"/>
  <c r="L60" i="211"/>
  <c r="L54" i="218"/>
  <c r="L63" i="211"/>
  <c r="L63" i="206"/>
  <c r="L60" i="206"/>
  <c r="L57" i="214"/>
  <c r="L121" i="200"/>
  <c r="AD74" i="122" s="1"/>
  <c r="L160" i="198"/>
  <c r="AD61" i="122" s="1"/>
  <c r="K160" i="198"/>
  <c r="AC61" i="122" s="1"/>
  <c r="L238" i="198"/>
  <c r="AD63" i="122" s="1"/>
  <c r="L60" i="224"/>
  <c r="C4" i="233"/>
  <c r="B4" i="239"/>
  <c r="C4" i="163"/>
  <c r="B12" i="239"/>
  <c r="C6" i="233"/>
  <c r="C6" i="163"/>
  <c r="B16" i="239"/>
  <c r="C8" i="233"/>
  <c r="C8" i="163"/>
  <c r="C10" i="233"/>
  <c r="B23" i="239"/>
  <c r="C10" i="163"/>
  <c r="C14" i="233"/>
  <c r="B37" i="239"/>
  <c r="C14" i="163"/>
  <c r="C16" i="233"/>
  <c r="B41" i="239"/>
  <c r="C16" i="163"/>
  <c r="B47" i="239"/>
  <c r="C18" i="233"/>
  <c r="C18" i="163"/>
  <c r="C20" i="233"/>
  <c r="B52" i="239"/>
  <c r="C20" i="163"/>
  <c r="C22" i="233"/>
  <c r="B56" i="239"/>
  <c r="C22" i="163"/>
  <c r="C24" i="233"/>
  <c r="B63" i="239"/>
  <c r="C24" i="163"/>
  <c r="C26" i="233"/>
  <c r="B69" i="239"/>
  <c r="C26" i="163"/>
  <c r="C28" i="233"/>
  <c r="B73" i="239"/>
  <c r="C28" i="163"/>
  <c r="C30" i="233"/>
  <c r="B78" i="239"/>
  <c r="C30" i="163"/>
  <c r="W59" i="122"/>
  <c r="E7" i="113"/>
  <c r="K7" i="123" s="1"/>
  <c r="D102" i="198"/>
  <c r="M80" i="198"/>
  <c r="I7" i="123"/>
  <c r="O95" i="198"/>
  <c r="D7" i="123"/>
  <c r="J82" i="198"/>
  <c r="J88" i="198" s="1"/>
  <c r="N80" i="198"/>
  <c r="M7" i="123"/>
  <c r="V70" i="122"/>
  <c r="C258" i="199"/>
  <c r="U70" i="122"/>
  <c r="B258" i="199"/>
  <c r="O130" i="201"/>
  <c r="O134" i="201" s="1"/>
  <c r="M130" i="201"/>
  <c r="M134" i="201" s="1"/>
  <c r="L119" i="201"/>
  <c r="J119" i="201"/>
  <c r="N117" i="201"/>
  <c r="N119" i="201" s="1"/>
  <c r="N121" i="201" s="1"/>
  <c r="L112" i="201"/>
  <c r="J112" i="201"/>
  <c r="C111" i="201"/>
  <c r="N130" i="201"/>
  <c r="N134" i="201" s="1"/>
  <c r="K119" i="201"/>
  <c r="O117" i="201"/>
  <c r="O119" i="201" s="1"/>
  <c r="O121" i="201" s="1"/>
  <c r="M117" i="201"/>
  <c r="M119" i="201" s="1"/>
  <c r="M121" i="201" s="1"/>
  <c r="K112" i="201"/>
  <c r="D111" i="201"/>
  <c r="B111" i="201"/>
  <c r="O130" i="204"/>
  <c r="O134" i="204" s="1"/>
  <c r="M130" i="204"/>
  <c r="M134" i="204" s="1"/>
  <c r="L119" i="204"/>
  <c r="J119" i="204"/>
  <c r="N117" i="204"/>
  <c r="N119" i="204" s="1"/>
  <c r="N121" i="204" s="1"/>
  <c r="L112" i="204"/>
  <c r="J112" i="204"/>
  <c r="C111" i="204"/>
  <c r="N130" i="204"/>
  <c r="N134" i="204" s="1"/>
  <c r="K119" i="204"/>
  <c r="O117" i="204"/>
  <c r="O119" i="204" s="1"/>
  <c r="O121" i="204" s="1"/>
  <c r="M117" i="204"/>
  <c r="M119" i="204" s="1"/>
  <c r="M121" i="204" s="1"/>
  <c r="K112" i="204"/>
  <c r="D111" i="204"/>
  <c r="B111" i="204"/>
  <c r="N91" i="208"/>
  <c r="K80" i="208"/>
  <c r="O78" i="208"/>
  <c r="M78" i="208"/>
  <c r="K73" i="208"/>
  <c r="D72" i="208"/>
  <c r="B72" i="208"/>
  <c r="O91" i="208"/>
  <c r="M91" i="208"/>
  <c r="L80" i="208"/>
  <c r="J80" i="208"/>
  <c r="N78" i="208"/>
  <c r="L73" i="208"/>
  <c r="J73" i="208"/>
  <c r="C72" i="208"/>
  <c r="O130" i="208"/>
  <c r="O134" i="208" s="1"/>
  <c r="M130" i="208"/>
  <c r="M134" i="208" s="1"/>
  <c r="L119" i="208"/>
  <c r="J119" i="208"/>
  <c r="N117" i="208"/>
  <c r="N119" i="208" s="1"/>
  <c r="N121" i="208" s="1"/>
  <c r="L112" i="208"/>
  <c r="J112" i="208"/>
  <c r="C111" i="208"/>
  <c r="N130" i="208"/>
  <c r="N134" i="208" s="1"/>
  <c r="K119" i="208"/>
  <c r="O117" i="208"/>
  <c r="O119" i="208" s="1"/>
  <c r="O121" i="208" s="1"/>
  <c r="M117" i="208"/>
  <c r="M119" i="208" s="1"/>
  <c r="M121" i="208" s="1"/>
  <c r="K112" i="208"/>
  <c r="D111" i="208"/>
  <c r="B111" i="208"/>
  <c r="O169" i="213"/>
  <c r="O173" i="213" s="1"/>
  <c r="M169" i="213"/>
  <c r="M173" i="213" s="1"/>
  <c r="L158" i="213"/>
  <c r="J158" i="213"/>
  <c r="N156" i="213"/>
  <c r="N158" i="213" s="1"/>
  <c r="N160" i="213" s="1"/>
  <c r="L151" i="213"/>
  <c r="J151" i="213"/>
  <c r="C150" i="213"/>
  <c r="N169" i="213"/>
  <c r="N173" i="213" s="1"/>
  <c r="K158" i="213"/>
  <c r="O156" i="213"/>
  <c r="O158" i="213" s="1"/>
  <c r="O160" i="213" s="1"/>
  <c r="M156" i="213"/>
  <c r="M158" i="213" s="1"/>
  <c r="M160" i="213" s="1"/>
  <c r="K151" i="213"/>
  <c r="D150" i="213"/>
  <c r="B150" i="213"/>
  <c r="N130" i="214"/>
  <c r="N134" i="214" s="1"/>
  <c r="L119" i="214"/>
  <c r="J119" i="214"/>
  <c r="N117" i="214"/>
  <c r="N119" i="214" s="1"/>
  <c r="N121" i="214" s="1"/>
  <c r="L112" i="214"/>
  <c r="J112" i="214"/>
  <c r="C111" i="214"/>
  <c r="O130" i="214"/>
  <c r="O134" i="214" s="1"/>
  <c r="M130" i="214"/>
  <c r="M134" i="214" s="1"/>
  <c r="K119" i="214"/>
  <c r="O117" i="214"/>
  <c r="O119" i="214" s="1"/>
  <c r="O121" i="214" s="1"/>
  <c r="M117" i="214"/>
  <c r="M119" i="214" s="1"/>
  <c r="M121" i="214" s="1"/>
  <c r="K112" i="214"/>
  <c r="D111" i="214"/>
  <c r="B111" i="214"/>
  <c r="N91" i="215"/>
  <c r="K80" i="215"/>
  <c r="O78" i="215"/>
  <c r="M78" i="215"/>
  <c r="K73" i="215"/>
  <c r="D72" i="215"/>
  <c r="B72" i="215"/>
  <c r="O91" i="215"/>
  <c r="M91" i="215"/>
  <c r="L80" i="215"/>
  <c r="J80" i="215"/>
  <c r="N78" i="215"/>
  <c r="L73" i="215"/>
  <c r="J73" i="215"/>
  <c r="C72" i="215"/>
  <c r="O130" i="215"/>
  <c r="O134" i="215" s="1"/>
  <c r="M130" i="215"/>
  <c r="M134" i="215" s="1"/>
  <c r="L119" i="215"/>
  <c r="J119" i="215"/>
  <c r="N117" i="215"/>
  <c r="N119" i="215" s="1"/>
  <c r="N121" i="215" s="1"/>
  <c r="L112" i="215"/>
  <c r="J112" i="215"/>
  <c r="C111" i="215"/>
  <c r="N130" i="215"/>
  <c r="N134" i="215" s="1"/>
  <c r="K119" i="215"/>
  <c r="O117" i="215"/>
  <c r="O119" i="215" s="1"/>
  <c r="O121" i="215" s="1"/>
  <c r="M117" i="215"/>
  <c r="M119" i="215" s="1"/>
  <c r="M121" i="215" s="1"/>
  <c r="K112" i="215"/>
  <c r="D111" i="215"/>
  <c r="B111" i="215"/>
  <c r="N91" i="217"/>
  <c r="K80" i="217"/>
  <c r="O78" i="217"/>
  <c r="M78" i="217"/>
  <c r="K73" i="217"/>
  <c r="D72" i="217"/>
  <c r="B72" i="217"/>
  <c r="O91" i="217"/>
  <c r="M91" i="217"/>
  <c r="L80" i="217"/>
  <c r="J80" i="217"/>
  <c r="N78" i="217"/>
  <c r="L73" i="217"/>
  <c r="J73" i="217"/>
  <c r="C72" i="217"/>
  <c r="N130" i="217"/>
  <c r="N134" i="217" s="1"/>
  <c r="L119" i="217"/>
  <c r="M60" i="123" s="1"/>
  <c r="J119" i="217"/>
  <c r="E60" i="123" s="1"/>
  <c r="N117" i="217"/>
  <c r="N119" i="217" s="1"/>
  <c r="L112" i="217"/>
  <c r="J112" i="217"/>
  <c r="C111" i="217"/>
  <c r="O130" i="217"/>
  <c r="O134" i="217" s="1"/>
  <c r="M130" i="217"/>
  <c r="M134" i="217" s="1"/>
  <c r="K119" i="217"/>
  <c r="I60" i="123" s="1"/>
  <c r="O117" i="217"/>
  <c r="O119" i="217" s="1"/>
  <c r="M117" i="217"/>
  <c r="M119" i="217" s="1"/>
  <c r="K112" i="217"/>
  <c r="D111" i="217"/>
  <c r="B111" i="217"/>
  <c r="O169" i="217"/>
  <c r="O173" i="217" s="1"/>
  <c r="M169" i="217"/>
  <c r="M173" i="217" s="1"/>
  <c r="L158" i="217"/>
  <c r="J158" i="217"/>
  <c r="N156" i="217"/>
  <c r="N158" i="217" s="1"/>
  <c r="N160" i="217" s="1"/>
  <c r="L151" i="217"/>
  <c r="J151" i="217"/>
  <c r="C150" i="217"/>
  <c r="N169" i="217"/>
  <c r="N173" i="217" s="1"/>
  <c r="K158" i="217"/>
  <c r="O156" i="217"/>
  <c r="O158" i="217" s="1"/>
  <c r="O160" i="217" s="1"/>
  <c r="M156" i="217"/>
  <c r="M158" i="217" s="1"/>
  <c r="M160" i="217" s="1"/>
  <c r="K151" i="217"/>
  <c r="D150" i="217"/>
  <c r="B150" i="217"/>
  <c r="O169" i="218"/>
  <c r="O173" i="218" s="1"/>
  <c r="M169" i="218"/>
  <c r="M173" i="218" s="1"/>
  <c r="L158" i="218"/>
  <c r="M64" i="123" s="1"/>
  <c r="J158" i="218"/>
  <c r="E64" i="123" s="1"/>
  <c r="N156" i="218"/>
  <c r="N158" i="218" s="1"/>
  <c r="L151" i="218"/>
  <c r="J151" i="218"/>
  <c r="C150" i="218"/>
  <c r="N169" i="218"/>
  <c r="N173" i="218" s="1"/>
  <c r="K158" i="218"/>
  <c r="I64" i="123" s="1"/>
  <c r="O156" i="218"/>
  <c r="O158" i="218" s="1"/>
  <c r="M156" i="218"/>
  <c r="M158" i="218" s="1"/>
  <c r="K151" i="218"/>
  <c r="D150" i="218"/>
  <c r="B150" i="218"/>
  <c r="O91" i="225"/>
  <c r="M91" i="225"/>
  <c r="L80" i="225"/>
  <c r="J80" i="225"/>
  <c r="N78" i="225"/>
  <c r="L73" i="225"/>
  <c r="J73" i="225"/>
  <c r="C72" i="225"/>
  <c r="N91" i="225"/>
  <c r="K80" i="225"/>
  <c r="O78" i="225"/>
  <c r="M78" i="225"/>
  <c r="K73" i="225"/>
  <c r="D72" i="225"/>
  <c r="B72" i="225"/>
  <c r="N130" i="225"/>
  <c r="N134" i="225" s="1"/>
  <c r="K119" i="225"/>
  <c r="O117" i="225"/>
  <c r="O119" i="225" s="1"/>
  <c r="O121" i="225" s="1"/>
  <c r="M117" i="225"/>
  <c r="M119" i="225" s="1"/>
  <c r="M121" i="225" s="1"/>
  <c r="K112" i="225"/>
  <c r="D111" i="225"/>
  <c r="B111" i="225"/>
  <c r="O130" i="225"/>
  <c r="O134" i="225" s="1"/>
  <c r="M130" i="225"/>
  <c r="M134" i="225" s="1"/>
  <c r="L119" i="225"/>
  <c r="J119" i="225"/>
  <c r="N117" i="225"/>
  <c r="N119" i="225" s="1"/>
  <c r="N121" i="225" s="1"/>
  <c r="L112" i="225"/>
  <c r="J112" i="225"/>
  <c r="C111" i="225"/>
  <c r="N286" i="198"/>
  <c r="N290" i="198" s="1"/>
  <c r="K275" i="198"/>
  <c r="O273" i="198"/>
  <c r="O275" i="198" s="1"/>
  <c r="O277" i="198" s="1"/>
  <c r="M273" i="198"/>
  <c r="M275" i="198" s="1"/>
  <c r="M277" i="198" s="1"/>
  <c r="K268" i="198"/>
  <c r="D267" i="198"/>
  <c r="B267" i="198"/>
  <c r="O286" i="198"/>
  <c r="O290" i="198" s="1"/>
  <c r="M286" i="198"/>
  <c r="M290" i="198" s="1"/>
  <c r="L275" i="198"/>
  <c r="J275" i="198"/>
  <c r="N273" i="198"/>
  <c r="N275" i="198" s="1"/>
  <c r="N277" i="198" s="1"/>
  <c r="L268" i="198"/>
  <c r="J268" i="198"/>
  <c r="C267" i="198"/>
  <c r="W66" i="122"/>
  <c r="D102" i="199"/>
  <c r="E11" i="113"/>
  <c r="K11" i="123" s="1"/>
  <c r="M80" i="199"/>
  <c r="I11" i="123"/>
  <c r="V66" i="122"/>
  <c r="C102" i="199"/>
  <c r="D11" i="113"/>
  <c r="G11" i="123" s="1"/>
  <c r="L11" i="123"/>
  <c r="L82" i="199"/>
  <c r="E11" i="123"/>
  <c r="M95" i="199"/>
  <c r="N208" i="199"/>
  <c r="N212" i="199" s="1"/>
  <c r="K197" i="199"/>
  <c r="I13" i="123" s="1"/>
  <c r="O195" i="199"/>
  <c r="O197" i="199" s="1"/>
  <c r="M195" i="199"/>
  <c r="M197" i="199" s="1"/>
  <c r="K190" i="199"/>
  <c r="D189" i="199"/>
  <c r="B189" i="199"/>
  <c r="O208" i="199"/>
  <c r="O212" i="199" s="1"/>
  <c r="M208" i="199"/>
  <c r="M212" i="199" s="1"/>
  <c r="L197" i="199"/>
  <c r="M13" i="123" s="1"/>
  <c r="J197" i="199"/>
  <c r="E13" i="123" s="1"/>
  <c r="N195" i="199"/>
  <c r="N197" i="199" s="1"/>
  <c r="L190" i="199"/>
  <c r="J190" i="199"/>
  <c r="C189" i="199"/>
  <c r="U74" i="122"/>
  <c r="B141" i="200"/>
  <c r="O119" i="200"/>
  <c r="N130" i="202"/>
  <c r="N134" i="202" s="1"/>
  <c r="K119" i="202"/>
  <c r="O117" i="202"/>
  <c r="O119" i="202" s="1"/>
  <c r="O121" i="202" s="1"/>
  <c r="M117" i="202"/>
  <c r="M119" i="202" s="1"/>
  <c r="M121" i="202" s="1"/>
  <c r="K112" i="202"/>
  <c r="D111" i="202"/>
  <c r="B111" i="202"/>
  <c r="O130" i="202"/>
  <c r="O134" i="202" s="1"/>
  <c r="M130" i="202"/>
  <c r="M134" i="202" s="1"/>
  <c r="L119" i="202"/>
  <c r="J119" i="202"/>
  <c r="N117" i="202"/>
  <c r="N119" i="202" s="1"/>
  <c r="N121" i="202" s="1"/>
  <c r="L112" i="202"/>
  <c r="J112" i="202"/>
  <c r="C111" i="202"/>
  <c r="N169" i="208"/>
  <c r="N173" i="208" s="1"/>
  <c r="K158" i="208"/>
  <c r="O156" i="208"/>
  <c r="O158" i="208" s="1"/>
  <c r="O160" i="208" s="1"/>
  <c r="M156" i="208"/>
  <c r="M158" i="208" s="1"/>
  <c r="M160" i="208" s="1"/>
  <c r="K151" i="208"/>
  <c r="D150" i="208"/>
  <c r="B150" i="208"/>
  <c r="O169" i="208"/>
  <c r="O173" i="208" s="1"/>
  <c r="M169" i="208"/>
  <c r="M173" i="208" s="1"/>
  <c r="L158" i="208"/>
  <c r="J158" i="208"/>
  <c r="N156" i="208"/>
  <c r="N158" i="208" s="1"/>
  <c r="N160" i="208" s="1"/>
  <c r="L151" i="208"/>
  <c r="J151" i="208"/>
  <c r="C150" i="208"/>
  <c r="O91" i="209"/>
  <c r="M91" i="209"/>
  <c r="L80" i="209"/>
  <c r="J80" i="209"/>
  <c r="N78" i="209"/>
  <c r="L73" i="209"/>
  <c r="J73" i="209"/>
  <c r="C72" i="209"/>
  <c r="N91" i="209"/>
  <c r="K80" i="209"/>
  <c r="O78" i="209"/>
  <c r="M78" i="209"/>
  <c r="K73" i="209"/>
  <c r="D72" i="209"/>
  <c r="B72" i="209"/>
  <c r="N130" i="209"/>
  <c r="N134" i="209" s="1"/>
  <c r="K119" i="209"/>
  <c r="O117" i="209"/>
  <c r="O119" i="209" s="1"/>
  <c r="O121" i="209" s="1"/>
  <c r="M117" i="209"/>
  <c r="M119" i="209" s="1"/>
  <c r="M121" i="209" s="1"/>
  <c r="K112" i="209"/>
  <c r="D111" i="209"/>
  <c r="B111" i="209"/>
  <c r="O130" i="209"/>
  <c r="O134" i="209" s="1"/>
  <c r="M130" i="209"/>
  <c r="M134" i="209" s="1"/>
  <c r="L119" i="209"/>
  <c r="J119" i="209"/>
  <c r="N117" i="209"/>
  <c r="N119" i="209" s="1"/>
  <c r="N121" i="209" s="1"/>
  <c r="L112" i="209"/>
  <c r="J112" i="209"/>
  <c r="C111" i="209"/>
  <c r="O91" i="211"/>
  <c r="M91" i="211"/>
  <c r="L80" i="211"/>
  <c r="J80" i="211"/>
  <c r="N78" i="211"/>
  <c r="L73" i="211"/>
  <c r="J73" i="211"/>
  <c r="C72" i="211"/>
  <c r="N91" i="211"/>
  <c r="K80" i="211"/>
  <c r="O78" i="211"/>
  <c r="M78" i="211"/>
  <c r="K73" i="211"/>
  <c r="D72" i="211"/>
  <c r="B72" i="211"/>
  <c r="O169" i="211"/>
  <c r="O173" i="211" s="1"/>
  <c r="M169" i="211"/>
  <c r="M173" i="211" s="1"/>
  <c r="L158" i="211"/>
  <c r="J158" i="211"/>
  <c r="N156" i="211"/>
  <c r="N158" i="211" s="1"/>
  <c r="N160" i="211" s="1"/>
  <c r="L151" i="211"/>
  <c r="J151" i="211"/>
  <c r="C150" i="211"/>
  <c r="N169" i="211"/>
  <c r="N173" i="211" s="1"/>
  <c r="K158" i="211"/>
  <c r="O156" i="211"/>
  <c r="O158" i="211" s="1"/>
  <c r="O160" i="211" s="1"/>
  <c r="M156" i="211"/>
  <c r="M158" i="211" s="1"/>
  <c r="M160" i="211" s="1"/>
  <c r="K151" i="211"/>
  <c r="D150" i="211"/>
  <c r="B150" i="211"/>
  <c r="O91" i="212"/>
  <c r="M91" i="212"/>
  <c r="L80" i="212"/>
  <c r="J80" i="212"/>
  <c r="N78" i="212"/>
  <c r="L73" i="212"/>
  <c r="J73" i="212"/>
  <c r="C72" i="212"/>
  <c r="N91" i="212"/>
  <c r="K80" i="212"/>
  <c r="O78" i="212"/>
  <c r="M78" i="212"/>
  <c r="K73" i="212"/>
  <c r="D72" i="212"/>
  <c r="B72" i="212"/>
  <c r="N91" i="213"/>
  <c r="K80" i="213"/>
  <c r="O78" i="213"/>
  <c r="M78" i="213"/>
  <c r="K73" i="213"/>
  <c r="D72" i="213"/>
  <c r="B72" i="213"/>
  <c r="O91" i="213"/>
  <c r="M91" i="213"/>
  <c r="L80" i="213"/>
  <c r="J80" i="213"/>
  <c r="N78" i="213"/>
  <c r="L73" i="213"/>
  <c r="J73" i="213"/>
  <c r="C72" i="213"/>
  <c r="O130" i="213"/>
  <c r="O134" i="213" s="1"/>
  <c r="M130" i="213"/>
  <c r="M134" i="213" s="1"/>
  <c r="L119" i="213"/>
  <c r="J119" i="213"/>
  <c r="N117" i="213"/>
  <c r="N119" i="213" s="1"/>
  <c r="N121" i="213" s="1"/>
  <c r="L112" i="213"/>
  <c r="J112" i="213"/>
  <c r="C111" i="213"/>
  <c r="N130" i="213"/>
  <c r="N134" i="213" s="1"/>
  <c r="K119" i="213"/>
  <c r="O117" i="213"/>
  <c r="O119" i="213" s="1"/>
  <c r="O121" i="213" s="1"/>
  <c r="M117" i="213"/>
  <c r="M119" i="213" s="1"/>
  <c r="M121" i="213" s="1"/>
  <c r="K112" i="213"/>
  <c r="D111" i="213"/>
  <c r="B111" i="213"/>
  <c r="N169" i="215"/>
  <c r="N173" i="215" s="1"/>
  <c r="K158" i="215"/>
  <c r="O156" i="215"/>
  <c r="O158" i="215" s="1"/>
  <c r="O160" i="215" s="1"/>
  <c r="M156" i="215"/>
  <c r="M158" i="215" s="1"/>
  <c r="M160" i="215" s="1"/>
  <c r="K151" i="215"/>
  <c r="D150" i="215"/>
  <c r="B150" i="215"/>
  <c r="O169" i="215"/>
  <c r="O173" i="215" s="1"/>
  <c r="M169" i="215"/>
  <c r="M173" i="215" s="1"/>
  <c r="L158" i="215"/>
  <c r="J158" i="215"/>
  <c r="N156" i="215"/>
  <c r="N158" i="215" s="1"/>
  <c r="N160" i="215" s="1"/>
  <c r="L151" i="215"/>
  <c r="J151" i="215"/>
  <c r="C150" i="215"/>
  <c r="N169" i="223"/>
  <c r="N173" i="223" s="1"/>
  <c r="K158" i="223"/>
  <c r="O156" i="223"/>
  <c r="O158" i="223" s="1"/>
  <c r="O160" i="223" s="1"/>
  <c r="M156" i="223"/>
  <c r="M158" i="223" s="1"/>
  <c r="M160" i="223" s="1"/>
  <c r="K151" i="223"/>
  <c r="D150" i="223"/>
  <c r="B150" i="223"/>
  <c r="O169" i="223"/>
  <c r="O173" i="223" s="1"/>
  <c r="M169" i="223"/>
  <c r="M173" i="223" s="1"/>
  <c r="L158" i="223"/>
  <c r="J158" i="223"/>
  <c r="N156" i="223"/>
  <c r="N158" i="223" s="1"/>
  <c r="N160" i="223" s="1"/>
  <c r="L151" i="223"/>
  <c r="J151" i="223"/>
  <c r="C150" i="223"/>
  <c r="O91" i="224"/>
  <c r="M91" i="224"/>
  <c r="K80" i="224"/>
  <c r="O78" i="224"/>
  <c r="M78" i="224"/>
  <c r="K73" i="224"/>
  <c r="D72" i="224"/>
  <c r="B72" i="224"/>
  <c r="N91" i="224"/>
  <c r="L80" i="224"/>
  <c r="J80" i="224"/>
  <c r="N78" i="224"/>
  <c r="L73" i="224"/>
  <c r="J73" i="224"/>
  <c r="C72" i="224"/>
  <c r="O130" i="224"/>
  <c r="O134" i="224" s="1"/>
  <c r="M130" i="224"/>
  <c r="M134" i="224" s="1"/>
  <c r="L119" i="224"/>
  <c r="M77" i="123" s="1"/>
  <c r="J119" i="224"/>
  <c r="E77" i="123" s="1"/>
  <c r="N117" i="224"/>
  <c r="N119" i="224" s="1"/>
  <c r="L112" i="224"/>
  <c r="J112" i="224"/>
  <c r="C111" i="224"/>
  <c r="N130" i="224"/>
  <c r="N134" i="224" s="1"/>
  <c r="K119" i="224"/>
  <c r="I77" i="123" s="1"/>
  <c r="O117" i="224"/>
  <c r="O119" i="224" s="1"/>
  <c r="M117" i="224"/>
  <c r="M119" i="224" s="1"/>
  <c r="K112" i="224"/>
  <c r="D111" i="224"/>
  <c r="B111" i="224"/>
  <c r="O169" i="224"/>
  <c r="O173" i="224" s="1"/>
  <c r="M169" i="224"/>
  <c r="M173" i="224" s="1"/>
  <c r="L158" i="224"/>
  <c r="J158" i="224"/>
  <c r="N156" i="224"/>
  <c r="N158" i="224" s="1"/>
  <c r="N160" i="224" s="1"/>
  <c r="L151" i="224"/>
  <c r="J151" i="224"/>
  <c r="C150" i="224"/>
  <c r="N169" i="224"/>
  <c r="N173" i="224" s="1"/>
  <c r="K158" i="224"/>
  <c r="O156" i="224"/>
  <c r="O158" i="224" s="1"/>
  <c r="O160" i="224" s="1"/>
  <c r="M156" i="224"/>
  <c r="M158" i="224" s="1"/>
  <c r="M160" i="224" s="1"/>
  <c r="K151" i="224"/>
  <c r="D150" i="224"/>
  <c r="B150" i="224"/>
  <c r="O130" i="216"/>
  <c r="O134" i="216" s="1"/>
  <c r="M130" i="216"/>
  <c r="M134" i="216" s="1"/>
  <c r="L119" i="216"/>
  <c r="J119" i="216"/>
  <c r="N117" i="216"/>
  <c r="N119" i="216" s="1"/>
  <c r="N121" i="216" s="1"/>
  <c r="L112" i="216"/>
  <c r="J112" i="216"/>
  <c r="C111" i="216"/>
  <c r="N130" i="216"/>
  <c r="N134" i="216" s="1"/>
  <c r="K119" i="216"/>
  <c r="O117" i="216"/>
  <c r="O119" i="216" s="1"/>
  <c r="O121" i="216" s="1"/>
  <c r="M117" i="216"/>
  <c r="M119" i="216" s="1"/>
  <c r="M121" i="216" s="1"/>
  <c r="K112" i="216"/>
  <c r="D111" i="216"/>
  <c r="B111" i="216"/>
  <c r="H39" i="122"/>
  <c r="G44" i="122" s="1"/>
  <c r="G20" i="122"/>
  <c r="I31" i="2"/>
  <c r="AX27" i="234"/>
  <c r="O57" i="199"/>
  <c r="O57" i="228" s="1"/>
  <c r="O55" i="228"/>
  <c r="A180" i="198"/>
  <c r="A258" i="198"/>
  <c r="A219" i="198"/>
  <c r="A141" i="198"/>
  <c r="A297" i="198" s="1"/>
  <c r="A267" i="204"/>
  <c r="A228" i="204"/>
  <c r="A189" i="204"/>
  <c r="A111" i="204"/>
  <c r="A150" i="204"/>
  <c r="A150" i="210"/>
  <c r="A111" i="210"/>
  <c r="A141" i="211"/>
  <c r="A180" i="211"/>
  <c r="A180" i="212"/>
  <c r="A141" i="212"/>
  <c r="M54" i="200"/>
  <c r="L54" i="200" s="1"/>
  <c r="C5" i="233"/>
  <c r="B8" i="239"/>
  <c r="C5" i="163"/>
  <c r="C7" i="233"/>
  <c r="B14" i="239"/>
  <c r="C7" i="163"/>
  <c r="B28" i="239"/>
  <c r="C11" i="233"/>
  <c r="C11" i="163"/>
  <c r="C13" i="233"/>
  <c r="B35" i="239"/>
  <c r="C13" i="163"/>
  <c r="C15" i="233"/>
  <c r="B39" i="239"/>
  <c r="C15" i="163"/>
  <c r="C17" i="233"/>
  <c r="B44" i="239"/>
  <c r="C17" i="163"/>
  <c r="C19" i="233"/>
  <c r="B50" i="239"/>
  <c r="C19" i="163"/>
  <c r="C21" i="233"/>
  <c r="B54" i="239"/>
  <c r="C21" i="163"/>
  <c r="B59" i="239"/>
  <c r="C23" i="233"/>
  <c r="C23" i="163"/>
  <c r="B65" i="239"/>
  <c r="C25" i="233"/>
  <c r="C25" i="163"/>
  <c r="C27" i="233"/>
  <c r="B71" i="239"/>
  <c r="C27" i="163"/>
  <c r="C29" i="233"/>
  <c r="B76" i="239"/>
  <c r="C29" i="163"/>
  <c r="O130" i="198"/>
  <c r="O134" i="198" s="1"/>
  <c r="M130" i="198"/>
  <c r="M134" i="198" s="1"/>
  <c r="L119" i="198"/>
  <c r="M8" i="123" s="1"/>
  <c r="J119" i="198"/>
  <c r="E8" i="123" s="1"/>
  <c r="N117" i="198"/>
  <c r="N119" i="198" s="1"/>
  <c r="L112" i="198"/>
  <c r="J112" i="198"/>
  <c r="C111" i="198"/>
  <c r="N130" i="198"/>
  <c r="N134" i="198" s="1"/>
  <c r="K119" i="198"/>
  <c r="I8" i="123" s="1"/>
  <c r="O117" i="198"/>
  <c r="O119" i="198" s="1"/>
  <c r="M117" i="198"/>
  <c r="M119" i="198" s="1"/>
  <c r="K112" i="198"/>
  <c r="D111" i="198"/>
  <c r="B111" i="198"/>
  <c r="W61" i="122"/>
  <c r="D180" i="198"/>
  <c r="AE61" i="122"/>
  <c r="M166" i="198"/>
  <c r="U63" i="122"/>
  <c r="B258" i="198"/>
  <c r="N244" i="198"/>
  <c r="N169" i="200"/>
  <c r="N173" i="200" s="1"/>
  <c r="K158" i="200"/>
  <c r="O156" i="200"/>
  <c r="O158" i="200" s="1"/>
  <c r="O160" i="200" s="1"/>
  <c r="M156" i="200"/>
  <c r="M158" i="200" s="1"/>
  <c r="M160" i="200" s="1"/>
  <c r="K151" i="200"/>
  <c r="D150" i="200"/>
  <c r="B150" i="200"/>
  <c r="O169" i="200"/>
  <c r="O173" i="200" s="1"/>
  <c r="M169" i="200"/>
  <c r="M173" i="200" s="1"/>
  <c r="L158" i="200"/>
  <c r="J158" i="200"/>
  <c r="N156" i="200"/>
  <c r="N158" i="200" s="1"/>
  <c r="N160" i="200" s="1"/>
  <c r="L151" i="200"/>
  <c r="J151" i="200"/>
  <c r="C150" i="200"/>
  <c r="O91" i="201"/>
  <c r="M91" i="201"/>
  <c r="K80" i="201"/>
  <c r="O78" i="201"/>
  <c r="K73" i="201"/>
  <c r="D72" i="201"/>
  <c r="B72" i="201"/>
  <c r="N91" i="201"/>
  <c r="L80" i="201"/>
  <c r="J80" i="201"/>
  <c r="N78" i="201"/>
  <c r="L73" i="201"/>
  <c r="J73" i="201"/>
  <c r="C72" i="201"/>
  <c r="O208" i="204"/>
  <c r="O212" i="204" s="1"/>
  <c r="M208" i="204"/>
  <c r="M212" i="204" s="1"/>
  <c r="L197" i="204"/>
  <c r="M28" i="123" s="1"/>
  <c r="J197" i="204"/>
  <c r="E28" i="123" s="1"/>
  <c r="N195" i="204"/>
  <c r="N197" i="204" s="1"/>
  <c r="L190" i="204"/>
  <c r="J190" i="204"/>
  <c r="C189" i="204"/>
  <c r="N208" i="204"/>
  <c r="N212" i="204" s="1"/>
  <c r="K197" i="204"/>
  <c r="I28" i="123" s="1"/>
  <c r="O195" i="204"/>
  <c r="O197" i="204" s="1"/>
  <c r="M195" i="204"/>
  <c r="M197" i="204" s="1"/>
  <c r="K190" i="204"/>
  <c r="D189" i="204"/>
  <c r="B189" i="204"/>
  <c r="O247" i="204"/>
  <c r="O251" i="204" s="1"/>
  <c r="M247" i="204"/>
  <c r="M251" i="204" s="1"/>
  <c r="L236" i="204"/>
  <c r="M29" i="123" s="1"/>
  <c r="J236" i="204"/>
  <c r="E29" i="123" s="1"/>
  <c r="N234" i="204"/>
  <c r="N236" i="204" s="1"/>
  <c r="L229" i="204"/>
  <c r="J229" i="204"/>
  <c r="C228" i="204"/>
  <c r="N247" i="204"/>
  <c r="N251" i="204" s="1"/>
  <c r="K236" i="204"/>
  <c r="I29" i="123" s="1"/>
  <c r="O234" i="204"/>
  <c r="O236" i="204" s="1"/>
  <c r="M234" i="204"/>
  <c r="M236" i="204" s="1"/>
  <c r="K229" i="204"/>
  <c r="D228" i="204"/>
  <c r="B228" i="204"/>
  <c r="N91" i="205"/>
  <c r="K80" i="205"/>
  <c r="O78" i="205"/>
  <c r="M78" i="205"/>
  <c r="K73" i="205"/>
  <c r="D72" i="205"/>
  <c r="O91" i="205"/>
  <c r="M91" i="205"/>
  <c r="L80" i="205"/>
  <c r="J80" i="205"/>
  <c r="N78" i="205"/>
  <c r="L73" i="205"/>
  <c r="J73" i="205"/>
  <c r="C72" i="205"/>
  <c r="O130" i="205"/>
  <c r="O134" i="205" s="1"/>
  <c r="M130" i="205"/>
  <c r="M134" i="205" s="1"/>
  <c r="L119" i="205"/>
  <c r="M32" i="123" s="1"/>
  <c r="J119" i="205"/>
  <c r="E32" i="123" s="1"/>
  <c r="N117" i="205"/>
  <c r="N119" i="205" s="1"/>
  <c r="L112" i="205"/>
  <c r="J112" i="205"/>
  <c r="C111" i="205"/>
  <c r="N130" i="205"/>
  <c r="N134" i="205" s="1"/>
  <c r="K119" i="205"/>
  <c r="I32" i="123" s="1"/>
  <c r="O117" i="205"/>
  <c r="O119" i="205" s="1"/>
  <c r="M117" i="205"/>
  <c r="M119" i="205" s="1"/>
  <c r="K112" i="205"/>
  <c r="D111" i="205"/>
  <c r="B111" i="205"/>
  <c r="N169" i="205"/>
  <c r="N173" i="205" s="1"/>
  <c r="K158" i="205"/>
  <c r="I33" i="123" s="1"/>
  <c r="O156" i="205"/>
  <c r="O158" i="205" s="1"/>
  <c r="M156" i="205"/>
  <c r="M158" i="205" s="1"/>
  <c r="K151" i="205"/>
  <c r="D150" i="205"/>
  <c r="B150" i="205"/>
  <c r="O169" i="205"/>
  <c r="O173" i="205" s="1"/>
  <c r="M169" i="205"/>
  <c r="M173" i="205" s="1"/>
  <c r="L158" i="205"/>
  <c r="M33" i="123" s="1"/>
  <c r="J158" i="205"/>
  <c r="E33" i="123" s="1"/>
  <c r="N156" i="205"/>
  <c r="N158" i="205" s="1"/>
  <c r="L151" i="205"/>
  <c r="J151" i="205"/>
  <c r="C150" i="205"/>
  <c r="O208" i="205"/>
  <c r="O212" i="205" s="1"/>
  <c r="M208" i="205"/>
  <c r="M212" i="205" s="1"/>
  <c r="L197" i="205"/>
  <c r="J197" i="205"/>
  <c r="N195" i="205"/>
  <c r="N197" i="205" s="1"/>
  <c r="N199" i="205" s="1"/>
  <c r="L190" i="205"/>
  <c r="J190" i="205"/>
  <c r="C189" i="205"/>
  <c r="N208" i="205"/>
  <c r="N212" i="205" s="1"/>
  <c r="K197" i="205"/>
  <c r="O195" i="205"/>
  <c r="O197" i="205" s="1"/>
  <c r="O199" i="205" s="1"/>
  <c r="M195" i="205"/>
  <c r="M197" i="205" s="1"/>
  <c r="M199" i="205" s="1"/>
  <c r="K190" i="205"/>
  <c r="D189" i="205"/>
  <c r="B189" i="205"/>
  <c r="O91" i="206"/>
  <c r="M91" i="206"/>
  <c r="L80" i="206"/>
  <c r="J80" i="206"/>
  <c r="N78" i="206"/>
  <c r="L73" i="206"/>
  <c r="J73" i="206"/>
  <c r="C72" i="206"/>
  <c r="N91" i="206"/>
  <c r="K80" i="206"/>
  <c r="O78" i="206"/>
  <c r="M78" i="206"/>
  <c r="K73" i="206"/>
  <c r="D72" i="206"/>
  <c r="B72" i="206"/>
  <c r="N130" i="206"/>
  <c r="N134" i="206" s="1"/>
  <c r="K119" i="206"/>
  <c r="I36" i="123" s="1"/>
  <c r="O117" i="206"/>
  <c r="O119" i="206" s="1"/>
  <c r="M117" i="206"/>
  <c r="M119" i="206" s="1"/>
  <c r="K112" i="206"/>
  <c r="D111" i="206"/>
  <c r="B111" i="206"/>
  <c r="O130" i="206"/>
  <c r="O134" i="206" s="1"/>
  <c r="M130" i="206"/>
  <c r="M134" i="206" s="1"/>
  <c r="L119" i="206"/>
  <c r="M36" i="123" s="1"/>
  <c r="J119" i="206"/>
  <c r="E36" i="123" s="1"/>
  <c r="N117" i="206"/>
  <c r="N119" i="206" s="1"/>
  <c r="L112" i="206"/>
  <c r="J112" i="206"/>
  <c r="C111" i="206"/>
  <c r="O169" i="206"/>
  <c r="O173" i="206" s="1"/>
  <c r="M169" i="206"/>
  <c r="M173" i="206" s="1"/>
  <c r="L158" i="206"/>
  <c r="J158" i="206"/>
  <c r="N156" i="206"/>
  <c r="N158" i="206" s="1"/>
  <c r="N160" i="206" s="1"/>
  <c r="L151" i="206"/>
  <c r="J151" i="206"/>
  <c r="C150" i="206"/>
  <c r="N169" i="206"/>
  <c r="N173" i="206" s="1"/>
  <c r="K158" i="206"/>
  <c r="O156" i="206"/>
  <c r="O158" i="206" s="1"/>
  <c r="O160" i="206" s="1"/>
  <c r="M156" i="206"/>
  <c r="M158" i="206" s="1"/>
  <c r="M160" i="206" s="1"/>
  <c r="K151" i="206"/>
  <c r="D150" i="206"/>
  <c r="B150" i="206"/>
  <c r="N208" i="206"/>
  <c r="N212" i="206" s="1"/>
  <c r="K197" i="206"/>
  <c r="O195" i="206"/>
  <c r="O197" i="206" s="1"/>
  <c r="O199" i="206" s="1"/>
  <c r="M195" i="206"/>
  <c r="M197" i="206" s="1"/>
  <c r="M199" i="206" s="1"/>
  <c r="K190" i="206"/>
  <c r="D189" i="206"/>
  <c r="B189" i="206"/>
  <c r="O208" i="206"/>
  <c r="O212" i="206" s="1"/>
  <c r="M208" i="206"/>
  <c r="M212" i="206" s="1"/>
  <c r="L197" i="206"/>
  <c r="J197" i="206"/>
  <c r="N195" i="206"/>
  <c r="N197" i="206" s="1"/>
  <c r="N199" i="206" s="1"/>
  <c r="L190" i="206"/>
  <c r="J190" i="206"/>
  <c r="C189" i="206"/>
  <c r="O169" i="209"/>
  <c r="O173" i="209" s="1"/>
  <c r="M169" i="209"/>
  <c r="M173" i="209" s="1"/>
  <c r="L158" i="209"/>
  <c r="J158" i="209"/>
  <c r="N156" i="209"/>
  <c r="N158" i="209" s="1"/>
  <c r="N160" i="209" s="1"/>
  <c r="L151" i="209"/>
  <c r="J151" i="209"/>
  <c r="C150" i="209"/>
  <c r="N169" i="209"/>
  <c r="N173" i="209" s="1"/>
  <c r="K158" i="209"/>
  <c r="O156" i="209"/>
  <c r="O158" i="209" s="1"/>
  <c r="O160" i="209" s="1"/>
  <c r="M156" i="209"/>
  <c r="M158" i="209" s="1"/>
  <c r="M160" i="209" s="1"/>
  <c r="K151" i="209"/>
  <c r="D150" i="209"/>
  <c r="B150" i="209"/>
  <c r="O130" i="210"/>
  <c r="O134" i="210" s="1"/>
  <c r="M130" i="210"/>
  <c r="M134" i="210" s="1"/>
  <c r="L119" i="210"/>
  <c r="M45" i="123" s="1"/>
  <c r="J119" i="210"/>
  <c r="E45" i="123" s="1"/>
  <c r="N117" i="210"/>
  <c r="N119" i="210" s="1"/>
  <c r="L112" i="210"/>
  <c r="J112" i="210"/>
  <c r="C111" i="210"/>
  <c r="N130" i="210"/>
  <c r="N134" i="210" s="1"/>
  <c r="K119" i="210"/>
  <c r="I45" i="123" s="1"/>
  <c r="O117" i="210"/>
  <c r="O119" i="210" s="1"/>
  <c r="M117" i="210"/>
  <c r="M119" i="210" s="1"/>
  <c r="K112" i="210"/>
  <c r="D111" i="210"/>
  <c r="B111" i="210"/>
  <c r="O169" i="210"/>
  <c r="O173" i="210" s="1"/>
  <c r="M169" i="210"/>
  <c r="M173" i="210" s="1"/>
  <c r="L158" i="210"/>
  <c r="J158" i="210"/>
  <c r="N156" i="210"/>
  <c r="N158" i="210" s="1"/>
  <c r="N160" i="210" s="1"/>
  <c r="L151" i="210"/>
  <c r="J151" i="210"/>
  <c r="C150" i="210"/>
  <c r="N169" i="210"/>
  <c r="N173" i="210" s="1"/>
  <c r="K158" i="210"/>
  <c r="O156" i="210"/>
  <c r="O158" i="210" s="1"/>
  <c r="O160" i="210" s="1"/>
  <c r="M156" i="210"/>
  <c r="M158" i="210" s="1"/>
  <c r="M160" i="210" s="1"/>
  <c r="K151" i="210"/>
  <c r="D150" i="210"/>
  <c r="B150" i="210"/>
  <c r="N169" i="222"/>
  <c r="N173" i="222" s="1"/>
  <c r="K158" i="222"/>
  <c r="O156" i="222"/>
  <c r="O158" i="222" s="1"/>
  <c r="O160" i="222" s="1"/>
  <c r="M156" i="222"/>
  <c r="M158" i="222" s="1"/>
  <c r="M160" i="222" s="1"/>
  <c r="K151" i="222"/>
  <c r="D150" i="222"/>
  <c r="B150" i="222"/>
  <c r="O169" i="222"/>
  <c r="O173" i="222" s="1"/>
  <c r="M169" i="222"/>
  <c r="M173" i="222" s="1"/>
  <c r="L158" i="222"/>
  <c r="J158" i="222"/>
  <c r="N156" i="222"/>
  <c r="N158" i="222" s="1"/>
  <c r="N160" i="222" s="1"/>
  <c r="L151" i="222"/>
  <c r="J151" i="222"/>
  <c r="C150" i="222"/>
  <c r="N91" i="223"/>
  <c r="K80" i="223"/>
  <c r="O78" i="223"/>
  <c r="M78" i="223"/>
  <c r="K73" i="223"/>
  <c r="D72" i="223"/>
  <c r="B72" i="223"/>
  <c r="O91" i="223"/>
  <c r="M91" i="223"/>
  <c r="L80" i="223"/>
  <c r="J80" i="223"/>
  <c r="N78" i="223"/>
  <c r="L73" i="223"/>
  <c r="J73" i="223"/>
  <c r="C72" i="223"/>
  <c r="O130" i="223"/>
  <c r="O134" i="223" s="1"/>
  <c r="M130" i="223"/>
  <c r="M134" i="223" s="1"/>
  <c r="L119" i="223"/>
  <c r="J119" i="223"/>
  <c r="N117" i="223"/>
  <c r="N119" i="223" s="1"/>
  <c r="N121" i="223" s="1"/>
  <c r="L112" i="223"/>
  <c r="J112" i="223"/>
  <c r="C111" i="223"/>
  <c r="N130" i="223"/>
  <c r="N134" i="223" s="1"/>
  <c r="K119" i="223"/>
  <c r="O117" i="223"/>
  <c r="O119" i="223" s="1"/>
  <c r="O121" i="223" s="1"/>
  <c r="M117" i="223"/>
  <c r="M119" i="223" s="1"/>
  <c r="M121" i="223" s="1"/>
  <c r="K112" i="223"/>
  <c r="D111" i="223"/>
  <c r="B111" i="223"/>
  <c r="N130" i="199"/>
  <c r="N134" i="199" s="1"/>
  <c r="K119" i="199"/>
  <c r="O117" i="199"/>
  <c r="O119" i="199" s="1"/>
  <c r="O121" i="199" s="1"/>
  <c r="M117" i="199"/>
  <c r="M119" i="199" s="1"/>
  <c r="M121" i="199" s="1"/>
  <c r="K112" i="199"/>
  <c r="D111" i="199"/>
  <c r="B111" i="199"/>
  <c r="B18" i="199" s="1"/>
  <c r="C10" i="113" s="1"/>
  <c r="O130" i="199"/>
  <c r="O134" i="199" s="1"/>
  <c r="M130" i="199"/>
  <c r="M134" i="199" s="1"/>
  <c r="L119" i="199"/>
  <c r="J119" i="199"/>
  <c r="J27" i="199" s="1"/>
  <c r="E10" i="123" s="1"/>
  <c r="N117" i="199"/>
  <c r="N119" i="199" s="1"/>
  <c r="N121" i="199" s="1"/>
  <c r="L112" i="199"/>
  <c r="J112" i="199"/>
  <c r="C111" i="199"/>
  <c r="U68" i="122"/>
  <c r="C12" i="113"/>
  <c r="C12" i="123" s="1"/>
  <c r="B180" i="199"/>
  <c r="H12" i="123"/>
  <c r="K160" i="199"/>
  <c r="AC68" i="122" s="1"/>
  <c r="Y12" i="123"/>
  <c r="Z12" i="123" s="1"/>
  <c r="O160" i="199"/>
  <c r="D12" i="123"/>
  <c r="J160" i="199"/>
  <c r="N169" i="201"/>
  <c r="N173" i="201" s="1"/>
  <c r="K158" i="201"/>
  <c r="O156" i="201"/>
  <c r="O158" i="201" s="1"/>
  <c r="O160" i="201" s="1"/>
  <c r="M156" i="201"/>
  <c r="M158" i="201" s="1"/>
  <c r="M160" i="201" s="1"/>
  <c r="K151" i="201"/>
  <c r="D150" i="201"/>
  <c r="B150" i="201"/>
  <c r="O169" i="201"/>
  <c r="O173" i="201" s="1"/>
  <c r="M169" i="201"/>
  <c r="M173" i="201" s="1"/>
  <c r="L158" i="201"/>
  <c r="J158" i="201"/>
  <c r="N156" i="201"/>
  <c r="N158" i="201" s="1"/>
  <c r="N160" i="201" s="1"/>
  <c r="L151" i="201"/>
  <c r="J151" i="201"/>
  <c r="C150" i="201"/>
  <c r="O91" i="202"/>
  <c r="M91" i="202"/>
  <c r="L80" i="202"/>
  <c r="J80" i="202"/>
  <c r="N78" i="202"/>
  <c r="L73" i="202"/>
  <c r="J73" i="202"/>
  <c r="C72" i="202"/>
  <c r="N91" i="202"/>
  <c r="K80" i="202"/>
  <c r="O78" i="202"/>
  <c r="M78" i="202"/>
  <c r="K73" i="202"/>
  <c r="D72" i="202"/>
  <c r="B72" i="202"/>
  <c r="O169" i="202"/>
  <c r="O173" i="202" s="1"/>
  <c r="M169" i="202"/>
  <c r="M173" i="202" s="1"/>
  <c r="L158" i="202"/>
  <c r="J158" i="202"/>
  <c r="N156" i="202"/>
  <c r="N158" i="202" s="1"/>
  <c r="N160" i="202" s="1"/>
  <c r="L151" i="202"/>
  <c r="J151" i="202"/>
  <c r="C150" i="202"/>
  <c r="N169" i="202"/>
  <c r="N173" i="202" s="1"/>
  <c r="K158" i="202"/>
  <c r="O156" i="202"/>
  <c r="O158" i="202" s="1"/>
  <c r="O160" i="202" s="1"/>
  <c r="M156" i="202"/>
  <c r="M158" i="202" s="1"/>
  <c r="M160" i="202" s="1"/>
  <c r="K151" i="202"/>
  <c r="D150" i="202"/>
  <c r="B150" i="202"/>
  <c r="O130" i="207"/>
  <c r="O134" i="207" s="1"/>
  <c r="M130" i="207"/>
  <c r="M134" i="207" s="1"/>
  <c r="L119" i="207"/>
  <c r="J119" i="207"/>
  <c r="N117" i="207"/>
  <c r="N119" i="207" s="1"/>
  <c r="N121" i="207" s="1"/>
  <c r="L112" i="207"/>
  <c r="J112" i="207"/>
  <c r="C111" i="207"/>
  <c r="N130" i="207"/>
  <c r="N134" i="207" s="1"/>
  <c r="K119" i="207"/>
  <c r="O117" i="207"/>
  <c r="O119" i="207" s="1"/>
  <c r="O121" i="207" s="1"/>
  <c r="M117" i="207"/>
  <c r="M119" i="207" s="1"/>
  <c r="M121" i="207" s="1"/>
  <c r="K112" i="207"/>
  <c r="D111" i="207"/>
  <c r="B111" i="207"/>
  <c r="N91" i="219"/>
  <c r="L80" i="219"/>
  <c r="J80" i="219"/>
  <c r="N78" i="219"/>
  <c r="L73" i="219"/>
  <c r="J73" i="219"/>
  <c r="C72" i="219"/>
  <c r="O91" i="219"/>
  <c r="M91" i="219"/>
  <c r="K80" i="219"/>
  <c r="O78" i="219"/>
  <c r="M78" i="219"/>
  <c r="K73" i="219"/>
  <c r="D72" i="219"/>
  <c r="B72" i="219"/>
  <c r="O130" i="219"/>
  <c r="O134" i="219" s="1"/>
  <c r="M130" i="219"/>
  <c r="M134" i="219" s="1"/>
  <c r="L119" i="219"/>
  <c r="J119" i="219"/>
  <c r="N117" i="219"/>
  <c r="N119" i="219" s="1"/>
  <c r="N121" i="219" s="1"/>
  <c r="L112" i="219"/>
  <c r="J112" i="219"/>
  <c r="C111" i="219"/>
  <c r="N130" i="219"/>
  <c r="N134" i="219" s="1"/>
  <c r="K119" i="219"/>
  <c r="O117" i="219"/>
  <c r="O119" i="219" s="1"/>
  <c r="O121" i="219" s="1"/>
  <c r="M117" i="219"/>
  <c r="M119" i="219" s="1"/>
  <c r="M121" i="219" s="1"/>
  <c r="K112" i="219"/>
  <c r="D111" i="219"/>
  <c r="B111" i="219"/>
  <c r="N208" i="219"/>
  <c r="N212" i="219" s="1"/>
  <c r="K197" i="219"/>
  <c r="O195" i="219"/>
  <c r="O197" i="219" s="1"/>
  <c r="O199" i="219" s="1"/>
  <c r="M195" i="219"/>
  <c r="M197" i="219" s="1"/>
  <c r="M199" i="219" s="1"/>
  <c r="O208" i="219"/>
  <c r="O212" i="219" s="1"/>
  <c r="M208" i="219"/>
  <c r="M212" i="219" s="1"/>
  <c r="L197" i="219"/>
  <c r="J197" i="219"/>
  <c r="N195" i="219"/>
  <c r="N197" i="219" s="1"/>
  <c r="N199" i="219" s="1"/>
  <c r="L190" i="219"/>
  <c r="J190" i="219"/>
  <c r="C189" i="219"/>
  <c r="K190" i="219"/>
  <c r="D189" i="219"/>
  <c r="B189" i="219"/>
  <c r="O130" i="220"/>
  <c r="O134" i="220" s="1"/>
  <c r="M130" i="220"/>
  <c r="M134" i="220" s="1"/>
  <c r="L119" i="220"/>
  <c r="M69" i="123" s="1"/>
  <c r="J119" i="220"/>
  <c r="E69" i="123" s="1"/>
  <c r="N117" i="220"/>
  <c r="N119" i="220" s="1"/>
  <c r="L112" i="220"/>
  <c r="J112" i="220"/>
  <c r="C111" i="220"/>
  <c r="N130" i="220"/>
  <c r="N134" i="220" s="1"/>
  <c r="K119" i="220"/>
  <c r="I69" i="123" s="1"/>
  <c r="O117" i="220"/>
  <c r="O119" i="220" s="1"/>
  <c r="M117" i="220"/>
  <c r="M119" i="220" s="1"/>
  <c r="K112" i="220"/>
  <c r="D111" i="220"/>
  <c r="B111" i="220"/>
  <c r="O208" i="220"/>
  <c r="O212" i="220" s="1"/>
  <c r="M208" i="220"/>
  <c r="M212" i="220" s="1"/>
  <c r="L197" i="220"/>
  <c r="J197" i="220"/>
  <c r="N195" i="220"/>
  <c r="N197" i="220" s="1"/>
  <c r="N199" i="220" s="1"/>
  <c r="L190" i="220"/>
  <c r="J190" i="220"/>
  <c r="C189" i="220"/>
  <c r="N208" i="220"/>
  <c r="N212" i="220" s="1"/>
  <c r="K197" i="220"/>
  <c r="O195" i="220"/>
  <c r="O197" i="220" s="1"/>
  <c r="O199" i="220" s="1"/>
  <c r="M195" i="220"/>
  <c r="M197" i="220" s="1"/>
  <c r="M199" i="220" s="1"/>
  <c r="K190" i="220"/>
  <c r="D189" i="220"/>
  <c r="B189" i="220"/>
  <c r="O91" i="222"/>
  <c r="M91" i="222"/>
  <c r="L80" i="222"/>
  <c r="J80" i="222"/>
  <c r="N78" i="222"/>
  <c r="L73" i="222"/>
  <c r="J73" i="222"/>
  <c r="C72" i="222"/>
  <c r="N91" i="222"/>
  <c r="K80" i="222"/>
  <c r="O78" i="222"/>
  <c r="M78" i="222"/>
  <c r="K73" i="222"/>
  <c r="D72" i="222"/>
  <c r="B72" i="222"/>
  <c r="O130" i="222"/>
  <c r="O134" i="222" s="1"/>
  <c r="M130" i="222"/>
  <c r="M134" i="222" s="1"/>
  <c r="L119" i="222"/>
  <c r="J119" i="222"/>
  <c r="N117" i="222"/>
  <c r="N119" i="222" s="1"/>
  <c r="N121" i="222" s="1"/>
  <c r="L112" i="222"/>
  <c r="J112" i="222"/>
  <c r="C111" i="222"/>
  <c r="N130" i="222"/>
  <c r="N134" i="222" s="1"/>
  <c r="K119" i="222"/>
  <c r="O117" i="222"/>
  <c r="O119" i="222" s="1"/>
  <c r="O121" i="222" s="1"/>
  <c r="M117" i="222"/>
  <c r="M119" i="222" s="1"/>
  <c r="M121" i="222" s="1"/>
  <c r="K112" i="222"/>
  <c r="D111" i="222"/>
  <c r="B111" i="222"/>
  <c r="O169" i="225"/>
  <c r="O173" i="225" s="1"/>
  <c r="M169" i="225"/>
  <c r="M173" i="225" s="1"/>
  <c r="L158" i="225"/>
  <c r="J158" i="225"/>
  <c r="N156" i="225"/>
  <c r="N158" i="225" s="1"/>
  <c r="N160" i="225" s="1"/>
  <c r="L151" i="225"/>
  <c r="J151" i="225"/>
  <c r="C150" i="225"/>
  <c r="N169" i="225"/>
  <c r="N173" i="225" s="1"/>
  <c r="K158" i="225"/>
  <c r="O156" i="225"/>
  <c r="O158" i="225" s="1"/>
  <c r="O160" i="225" s="1"/>
  <c r="M156" i="225"/>
  <c r="M158" i="225" s="1"/>
  <c r="M160" i="225" s="1"/>
  <c r="K151" i="225"/>
  <c r="D150" i="225"/>
  <c r="B150" i="225"/>
  <c r="M130" i="203"/>
  <c r="M134" i="203" s="1"/>
  <c r="O169" i="203"/>
  <c r="O173" i="203" s="1"/>
  <c r="O208" i="203"/>
  <c r="O212" i="203" s="1"/>
  <c r="N208" i="203"/>
  <c r="N212" i="203" s="1"/>
  <c r="M247" i="203"/>
  <c r="M251" i="203" s="1"/>
  <c r="O286" i="203"/>
  <c r="O290" i="203" s="1"/>
  <c r="N286" i="203"/>
  <c r="N290" i="203" s="1"/>
  <c r="O130" i="203"/>
  <c r="O134" i="203" s="1"/>
  <c r="N130" i="203"/>
  <c r="N134" i="203" s="1"/>
  <c r="N169" i="203"/>
  <c r="N173" i="203" s="1"/>
  <c r="M169" i="203"/>
  <c r="M173" i="203" s="1"/>
  <c r="M208" i="203"/>
  <c r="M212" i="203" s="1"/>
  <c r="N247" i="203"/>
  <c r="N251" i="203" s="1"/>
  <c r="O247" i="203"/>
  <c r="O251" i="203" s="1"/>
  <c r="M286" i="203"/>
  <c r="M290" i="203" s="1"/>
  <c r="A180" i="202"/>
  <c r="A141" i="202"/>
  <c r="A105" i="207"/>
  <c r="A144" i="207"/>
  <c r="A144" i="210"/>
  <c r="A105" i="210"/>
  <c r="A219" i="206"/>
  <c r="A141" i="206"/>
  <c r="A180" i="206"/>
  <c r="A111" i="214"/>
  <c r="A150" i="214"/>
  <c r="A180" i="220"/>
  <c r="A219" i="220"/>
  <c r="A141" i="220"/>
  <c r="A141" i="225"/>
  <c r="A180" i="225"/>
  <c r="A150" i="209"/>
  <c r="A111" i="209"/>
  <c r="A150" i="218"/>
  <c r="A189" i="218"/>
  <c r="A111" i="218"/>
  <c r="A183" i="219"/>
  <c r="A105" i="219"/>
  <c r="A144" i="219"/>
  <c r="A183" i="220"/>
  <c r="A105" i="220"/>
  <c r="A144" i="220"/>
  <c r="A111" i="216"/>
  <c r="A150" i="216"/>
  <c r="I166" i="225"/>
  <c r="I127" i="225"/>
  <c r="L60" i="204"/>
  <c r="O22" i="234"/>
  <c r="AG52" i="192"/>
  <c r="AX42" i="234" s="1"/>
  <c r="M55" i="228"/>
  <c r="L28" i="122"/>
  <c r="G42" i="164" s="1"/>
  <c r="M29" i="122"/>
  <c r="H43" i="164" s="1"/>
  <c r="M27" i="122"/>
  <c r="H41" i="164" s="1"/>
  <c r="L63" i="200"/>
  <c r="L60" i="200"/>
  <c r="L60" i="209"/>
  <c r="L54" i="209"/>
  <c r="L238" i="199"/>
  <c r="AD70" i="122" s="1"/>
  <c r="K238" i="199"/>
  <c r="J121" i="200"/>
  <c r="L54" i="202"/>
  <c r="L54" i="206"/>
  <c r="L63" i="208"/>
  <c r="L57" i="208"/>
  <c r="L63" i="209"/>
  <c r="L57" i="209"/>
  <c r="J160" i="198"/>
  <c r="AB61" i="122" s="1"/>
  <c r="K238" i="198"/>
  <c r="AC63" i="122" s="1"/>
  <c r="J238" i="198"/>
  <c r="L57" i="207"/>
  <c r="O52" i="228"/>
  <c r="L54" i="216"/>
  <c r="L60" i="216"/>
  <c r="L54" i="220"/>
  <c r="C12" i="233"/>
  <c r="B32" i="239"/>
  <c r="C12" i="163"/>
  <c r="U59" i="122"/>
  <c r="B102" i="198"/>
  <c r="C7" i="113"/>
  <c r="C7" i="123" s="1"/>
  <c r="H7" i="123"/>
  <c r="K82" i="198"/>
  <c r="O80" i="198"/>
  <c r="M95" i="198"/>
  <c r="V59" i="122"/>
  <c r="C102" i="198"/>
  <c r="D7" i="113"/>
  <c r="G7" i="123" s="1"/>
  <c r="L7" i="123"/>
  <c r="L82" i="198"/>
  <c r="E7" i="123"/>
  <c r="N95" i="198"/>
  <c r="AF70" i="122"/>
  <c r="W70" i="122"/>
  <c r="D258" i="199"/>
  <c r="AE70" i="122"/>
  <c r="M244" i="199"/>
  <c r="N91" i="204"/>
  <c r="K80" i="204"/>
  <c r="O78" i="204"/>
  <c r="M78" i="204"/>
  <c r="K73" i="204"/>
  <c r="D72" i="204"/>
  <c r="B72" i="204"/>
  <c r="O91" i="204"/>
  <c r="M91" i="204"/>
  <c r="L80" i="204"/>
  <c r="J80" i="204"/>
  <c r="N78" i="204"/>
  <c r="L73" i="204"/>
  <c r="J73" i="204"/>
  <c r="C72" i="204"/>
  <c r="N169" i="204"/>
  <c r="N173" i="204" s="1"/>
  <c r="K158" i="204"/>
  <c r="I27" i="123" s="1"/>
  <c r="O156" i="204"/>
  <c r="O158" i="204" s="1"/>
  <c r="M156" i="204"/>
  <c r="M158" i="204" s="1"/>
  <c r="K151" i="204"/>
  <c r="D150" i="204"/>
  <c r="B150" i="204"/>
  <c r="O169" i="204"/>
  <c r="O173" i="204" s="1"/>
  <c r="M169" i="204"/>
  <c r="M173" i="204" s="1"/>
  <c r="L158" i="204"/>
  <c r="M27" i="123" s="1"/>
  <c r="J158" i="204"/>
  <c r="E27" i="123" s="1"/>
  <c r="N156" i="204"/>
  <c r="N158" i="204" s="1"/>
  <c r="L151" i="204"/>
  <c r="J151" i="204"/>
  <c r="C150" i="204"/>
  <c r="N169" i="207"/>
  <c r="N173" i="207" s="1"/>
  <c r="K158" i="207"/>
  <c r="O156" i="207"/>
  <c r="O158" i="207" s="1"/>
  <c r="O160" i="207" s="1"/>
  <c r="M156" i="207"/>
  <c r="M158" i="207" s="1"/>
  <c r="M160" i="207" s="1"/>
  <c r="K151" i="207"/>
  <c r="D150" i="207"/>
  <c r="B150" i="207"/>
  <c r="O169" i="207"/>
  <c r="O173" i="207" s="1"/>
  <c r="M169" i="207"/>
  <c r="M173" i="207" s="1"/>
  <c r="L158" i="207"/>
  <c r="J158" i="207"/>
  <c r="N156" i="207"/>
  <c r="N158" i="207" s="1"/>
  <c r="N160" i="207" s="1"/>
  <c r="L151" i="207"/>
  <c r="J151" i="207"/>
  <c r="C150" i="207"/>
  <c r="O91" i="214"/>
  <c r="M91" i="214"/>
  <c r="K80" i="214"/>
  <c r="O78" i="214"/>
  <c r="M78" i="214"/>
  <c r="K73" i="214"/>
  <c r="D72" i="214"/>
  <c r="B72" i="214"/>
  <c r="N91" i="214"/>
  <c r="L80" i="214"/>
  <c r="J80" i="214"/>
  <c r="N78" i="214"/>
  <c r="L73" i="214"/>
  <c r="J73" i="214"/>
  <c r="C72" i="214"/>
  <c r="O91" i="218"/>
  <c r="M91" i="218"/>
  <c r="K80" i="218"/>
  <c r="O78" i="218"/>
  <c r="M78" i="218"/>
  <c r="K73" i="218"/>
  <c r="D72" i="218"/>
  <c r="B72" i="218"/>
  <c r="N91" i="218"/>
  <c r="L80" i="218"/>
  <c r="J80" i="218"/>
  <c r="N78" i="218"/>
  <c r="L73" i="218"/>
  <c r="J73" i="218"/>
  <c r="C72" i="218"/>
  <c r="N130" i="218"/>
  <c r="N134" i="218" s="1"/>
  <c r="K119" i="218"/>
  <c r="I63" i="123" s="1"/>
  <c r="O117" i="218"/>
  <c r="O119" i="218" s="1"/>
  <c r="M117" i="218"/>
  <c r="M119" i="218" s="1"/>
  <c r="K112" i="218"/>
  <c r="D111" i="218"/>
  <c r="B111" i="218"/>
  <c r="O130" i="218"/>
  <c r="O134" i="218" s="1"/>
  <c r="M130" i="218"/>
  <c r="M134" i="218" s="1"/>
  <c r="L119" i="218"/>
  <c r="M63" i="123" s="1"/>
  <c r="J119" i="218"/>
  <c r="E63" i="123" s="1"/>
  <c r="N117" i="218"/>
  <c r="N119" i="218" s="1"/>
  <c r="L112" i="218"/>
  <c r="J112" i="218"/>
  <c r="C111" i="218"/>
  <c r="N208" i="218"/>
  <c r="N212" i="218" s="1"/>
  <c r="K197" i="218"/>
  <c r="O195" i="218"/>
  <c r="O197" i="218" s="1"/>
  <c r="O199" i="218" s="1"/>
  <c r="M195" i="218"/>
  <c r="M197" i="218" s="1"/>
  <c r="M199" i="218" s="1"/>
  <c r="K190" i="218"/>
  <c r="D189" i="218"/>
  <c r="B189" i="218"/>
  <c r="O208" i="218"/>
  <c r="O212" i="218" s="1"/>
  <c r="M208" i="218"/>
  <c r="M212" i="218" s="1"/>
  <c r="L197" i="218"/>
  <c r="J197" i="218"/>
  <c r="N195" i="218"/>
  <c r="N197" i="218" s="1"/>
  <c r="N199" i="218" s="1"/>
  <c r="L190" i="218"/>
  <c r="J190" i="218"/>
  <c r="C189" i="218"/>
  <c r="N169" i="216"/>
  <c r="N173" i="216" s="1"/>
  <c r="K158" i="216"/>
  <c r="O156" i="216"/>
  <c r="O158" i="216" s="1"/>
  <c r="O160" i="216" s="1"/>
  <c r="M156" i="216"/>
  <c r="M158" i="216" s="1"/>
  <c r="M160" i="216" s="1"/>
  <c r="K151" i="216"/>
  <c r="D150" i="216"/>
  <c r="B150" i="216"/>
  <c r="O169" i="216"/>
  <c r="O173" i="216" s="1"/>
  <c r="M169" i="216"/>
  <c r="M173" i="216" s="1"/>
  <c r="L158" i="216"/>
  <c r="J158" i="216"/>
  <c r="N156" i="216"/>
  <c r="N158" i="216" s="1"/>
  <c r="N160" i="216" s="1"/>
  <c r="L151" i="216"/>
  <c r="J151" i="216"/>
  <c r="C150" i="216"/>
  <c r="U66" i="122"/>
  <c r="B102" i="199"/>
  <c r="C11" i="113"/>
  <c r="C11" i="123" s="1"/>
  <c r="H11" i="123"/>
  <c r="K19" i="199"/>
  <c r="H10" i="123" s="1"/>
  <c r="K82" i="199"/>
  <c r="N95" i="199"/>
  <c r="N37" i="199"/>
  <c r="N41" i="199" s="1"/>
  <c r="D11" i="123"/>
  <c r="J82" i="199"/>
  <c r="N80" i="199"/>
  <c r="M11" i="123"/>
  <c r="L27" i="199"/>
  <c r="M10" i="123" s="1"/>
  <c r="O95" i="199"/>
  <c r="N91" i="200"/>
  <c r="K80" i="200"/>
  <c r="M78" i="200"/>
  <c r="K73" i="200"/>
  <c r="D72" i="200"/>
  <c r="B72" i="200"/>
  <c r="O91" i="200"/>
  <c r="M91" i="200"/>
  <c r="L80" i="200"/>
  <c r="J80" i="200"/>
  <c r="L73" i="200"/>
  <c r="J73" i="200"/>
  <c r="C72" i="200"/>
  <c r="W74" i="122"/>
  <c r="D141" i="200"/>
  <c r="AE74" i="122"/>
  <c r="M127" i="200"/>
  <c r="V74" i="122"/>
  <c r="C141" i="200"/>
  <c r="N130" i="211"/>
  <c r="N134" i="211" s="1"/>
  <c r="K119" i="211"/>
  <c r="I48" i="123" s="1"/>
  <c r="O117" i="211"/>
  <c r="O119" i="211" s="1"/>
  <c r="M117" i="211"/>
  <c r="M119" i="211" s="1"/>
  <c r="K112" i="211"/>
  <c r="D111" i="211"/>
  <c r="B111" i="211"/>
  <c r="O130" i="211"/>
  <c r="O134" i="211" s="1"/>
  <c r="M130" i="211"/>
  <c r="M134" i="211" s="1"/>
  <c r="L119" i="211"/>
  <c r="M48" i="123" s="1"/>
  <c r="J119" i="211"/>
  <c r="E48" i="123" s="1"/>
  <c r="N117" i="211"/>
  <c r="N119" i="211" s="1"/>
  <c r="L112" i="211"/>
  <c r="J112" i="211"/>
  <c r="C111" i="211"/>
  <c r="O130" i="212"/>
  <c r="O134" i="212" s="1"/>
  <c r="M130" i="212"/>
  <c r="M134" i="212" s="1"/>
  <c r="K119" i="212"/>
  <c r="I51" i="123" s="1"/>
  <c r="O117" i="212"/>
  <c r="O119" i="212" s="1"/>
  <c r="M117" i="212"/>
  <c r="M119" i="212" s="1"/>
  <c r="K112" i="212"/>
  <c r="D111" i="212"/>
  <c r="B111" i="212"/>
  <c r="N130" i="212"/>
  <c r="N134" i="212" s="1"/>
  <c r="L119" i="212"/>
  <c r="M51" i="123" s="1"/>
  <c r="J119" i="212"/>
  <c r="E51" i="123" s="1"/>
  <c r="N117" i="212"/>
  <c r="N119" i="212" s="1"/>
  <c r="L112" i="212"/>
  <c r="J112" i="212"/>
  <c r="C111" i="212"/>
  <c r="N169" i="212"/>
  <c r="N173" i="212" s="1"/>
  <c r="K158" i="212"/>
  <c r="O156" i="212"/>
  <c r="O158" i="212" s="1"/>
  <c r="O160" i="212" s="1"/>
  <c r="M156" i="212"/>
  <c r="M158" i="212" s="1"/>
  <c r="M160" i="212" s="1"/>
  <c r="K151" i="212"/>
  <c r="D150" i="212"/>
  <c r="B150" i="212"/>
  <c r="O169" i="212"/>
  <c r="O173" i="212" s="1"/>
  <c r="M169" i="212"/>
  <c r="M173" i="212" s="1"/>
  <c r="L158" i="212"/>
  <c r="J158" i="212"/>
  <c r="N156" i="212"/>
  <c r="N158" i="212" s="1"/>
  <c r="N160" i="212" s="1"/>
  <c r="L151" i="212"/>
  <c r="J151" i="212"/>
  <c r="C150" i="212"/>
  <c r="N91" i="216"/>
  <c r="K80" i="216"/>
  <c r="O78" i="216"/>
  <c r="M78" i="216"/>
  <c r="K73" i="216"/>
  <c r="D72" i="216"/>
  <c r="B72" i="216"/>
  <c r="O91" i="216"/>
  <c r="M91" i="216"/>
  <c r="L80" i="216"/>
  <c r="J80" i="216"/>
  <c r="N78" i="216"/>
  <c r="L73" i="216"/>
  <c r="J73" i="216"/>
  <c r="C72" i="216"/>
  <c r="A144" i="199"/>
  <c r="A183" i="199"/>
  <c r="A105" i="199"/>
  <c r="A222" i="199" s="1"/>
  <c r="N57" i="199"/>
  <c r="N55" i="228"/>
  <c r="H35" i="2"/>
  <c r="AG40" i="192"/>
  <c r="AG37" i="192" s="1"/>
  <c r="AV31" i="234"/>
  <c r="A228" i="198"/>
  <c r="A189" i="198"/>
  <c r="A111" i="198"/>
  <c r="A267" i="198" s="1"/>
  <c r="A150" i="198"/>
  <c r="A258" i="204"/>
  <c r="A180" i="204"/>
  <c r="A297" i="204"/>
  <c r="A219" i="204"/>
  <c r="A141" i="204"/>
  <c r="A141" i="210"/>
  <c r="A180" i="210"/>
  <c r="A150" i="211"/>
  <c r="A111" i="211"/>
  <c r="A150" i="212"/>
  <c r="A111" i="212"/>
  <c r="C9" i="233"/>
  <c r="B18" i="239"/>
  <c r="C9" i="163"/>
  <c r="V61" i="122"/>
  <c r="K166" i="198"/>
  <c r="C180" i="198"/>
  <c r="U61" i="122"/>
  <c r="B180" i="198"/>
  <c r="J166" i="198"/>
  <c r="AG61" i="122"/>
  <c r="O166" i="198"/>
  <c r="O208" i="198"/>
  <c r="O212" i="198" s="1"/>
  <c r="M208" i="198"/>
  <c r="M212" i="198" s="1"/>
  <c r="L197" i="198"/>
  <c r="M9" i="123" s="1"/>
  <c r="J197" i="198"/>
  <c r="E9" i="123" s="1"/>
  <c r="N195" i="198"/>
  <c r="N197" i="198" s="1"/>
  <c r="L190" i="198"/>
  <c r="J190" i="198"/>
  <c r="C189" i="198"/>
  <c r="N208" i="198"/>
  <c r="N212" i="198" s="1"/>
  <c r="K197" i="198"/>
  <c r="I9" i="123" s="1"/>
  <c r="O195" i="198"/>
  <c r="O197" i="198" s="1"/>
  <c r="M195" i="198"/>
  <c r="M197" i="198" s="1"/>
  <c r="K190" i="198"/>
  <c r="D189" i="198"/>
  <c r="B189" i="198"/>
  <c r="W63" i="122"/>
  <c r="L244" i="198"/>
  <c r="AE63" i="122"/>
  <c r="M244" i="198"/>
  <c r="V63" i="122"/>
  <c r="C258" i="198"/>
  <c r="K244" i="198"/>
  <c r="O286" i="204"/>
  <c r="O290" i="204" s="1"/>
  <c r="M286" i="204"/>
  <c r="M290" i="204" s="1"/>
  <c r="L275" i="204"/>
  <c r="J275" i="204"/>
  <c r="N273" i="204"/>
  <c r="N275" i="204" s="1"/>
  <c r="N277" i="204" s="1"/>
  <c r="L268" i="204"/>
  <c r="J268" i="204"/>
  <c r="C267" i="204"/>
  <c r="N286" i="204"/>
  <c r="N290" i="204" s="1"/>
  <c r="K275" i="204"/>
  <c r="O273" i="204"/>
  <c r="O275" i="204" s="1"/>
  <c r="O277" i="204" s="1"/>
  <c r="M273" i="204"/>
  <c r="M275" i="204" s="1"/>
  <c r="M277" i="204" s="1"/>
  <c r="K268" i="204"/>
  <c r="D267" i="204"/>
  <c r="B267" i="204"/>
  <c r="N91" i="210"/>
  <c r="K80" i="210"/>
  <c r="O78" i="210"/>
  <c r="M78" i="210"/>
  <c r="K73" i="210"/>
  <c r="D72" i="210"/>
  <c r="B72" i="210"/>
  <c r="O91" i="210"/>
  <c r="M91" i="210"/>
  <c r="L80" i="210"/>
  <c r="J80" i="210"/>
  <c r="N78" i="210"/>
  <c r="L73" i="210"/>
  <c r="J73" i="210"/>
  <c r="C72" i="210"/>
  <c r="W68" i="122"/>
  <c r="D180" i="199"/>
  <c r="E12" i="113"/>
  <c r="K12" i="123" s="1"/>
  <c r="Q12" i="123"/>
  <c r="R12" i="123" s="1"/>
  <c r="M160" i="199"/>
  <c r="V68" i="122"/>
  <c r="C180" i="199"/>
  <c r="D12" i="113"/>
  <c r="G12" i="123" s="1"/>
  <c r="L12" i="123"/>
  <c r="L160" i="199"/>
  <c r="O91" i="207"/>
  <c r="M91" i="207"/>
  <c r="K80" i="207"/>
  <c r="O78" i="207"/>
  <c r="M78" i="207"/>
  <c r="K73" i="207"/>
  <c r="D72" i="207"/>
  <c r="B72" i="207"/>
  <c r="N91" i="207"/>
  <c r="L80" i="207"/>
  <c r="J80" i="207"/>
  <c r="N78" i="207"/>
  <c r="L73" i="207"/>
  <c r="J73" i="207"/>
  <c r="C72" i="207"/>
  <c r="N169" i="214"/>
  <c r="N173" i="214" s="1"/>
  <c r="K158" i="214"/>
  <c r="O156" i="214"/>
  <c r="O158" i="214" s="1"/>
  <c r="O160" i="214" s="1"/>
  <c r="M156" i="214"/>
  <c r="M158" i="214" s="1"/>
  <c r="M160" i="214" s="1"/>
  <c r="K151" i="214"/>
  <c r="D150" i="214"/>
  <c r="B150" i="214"/>
  <c r="O169" i="214"/>
  <c r="O173" i="214" s="1"/>
  <c r="M169" i="214"/>
  <c r="M173" i="214" s="1"/>
  <c r="L158" i="214"/>
  <c r="J158" i="214"/>
  <c r="N156" i="214"/>
  <c r="N158" i="214" s="1"/>
  <c r="N160" i="214" s="1"/>
  <c r="L151" i="214"/>
  <c r="J151" i="214"/>
  <c r="C150" i="214"/>
  <c r="N169" i="219"/>
  <c r="N173" i="219" s="1"/>
  <c r="K158" i="219"/>
  <c r="O156" i="219"/>
  <c r="O158" i="219" s="1"/>
  <c r="O160" i="219" s="1"/>
  <c r="M156" i="219"/>
  <c r="M158" i="219" s="1"/>
  <c r="M160" i="219" s="1"/>
  <c r="K151" i="219"/>
  <c r="D150" i="219"/>
  <c r="B150" i="219"/>
  <c r="O169" i="219"/>
  <c r="O173" i="219" s="1"/>
  <c r="M169" i="219"/>
  <c r="M173" i="219" s="1"/>
  <c r="L158" i="219"/>
  <c r="J158" i="219"/>
  <c r="N156" i="219"/>
  <c r="N158" i="219" s="1"/>
  <c r="N160" i="219" s="1"/>
  <c r="L151" i="219"/>
  <c r="J151" i="219"/>
  <c r="C150" i="219"/>
  <c r="N91" i="220"/>
  <c r="K80" i="220"/>
  <c r="O78" i="220"/>
  <c r="M78" i="220"/>
  <c r="K73" i="220"/>
  <c r="D72" i="220"/>
  <c r="B72" i="220"/>
  <c r="O91" i="220"/>
  <c r="M91" i="220"/>
  <c r="L80" i="220"/>
  <c r="J80" i="220"/>
  <c r="N78" i="220"/>
  <c r="L73" i="220"/>
  <c r="J73" i="220"/>
  <c r="C72" i="220"/>
  <c r="N169" i="220"/>
  <c r="N173" i="220" s="1"/>
  <c r="K158" i="220"/>
  <c r="I70" i="123" s="1"/>
  <c r="O156" i="220"/>
  <c r="O158" i="220" s="1"/>
  <c r="M156" i="220"/>
  <c r="M158" i="220" s="1"/>
  <c r="K151" i="220"/>
  <c r="D150" i="220"/>
  <c r="B150" i="220"/>
  <c r="O169" i="220"/>
  <c r="O173" i="220" s="1"/>
  <c r="M169" i="220"/>
  <c r="M173" i="220" s="1"/>
  <c r="L158" i="220"/>
  <c r="M70" i="123" s="1"/>
  <c r="J158" i="220"/>
  <c r="E70" i="123" s="1"/>
  <c r="N156" i="220"/>
  <c r="N158" i="220" s="1"/>
  <c r="L151" i="220"/>
  <c r="J151" i="220"/>
  <c r="C150" i="220"/>
  <c r="J119" i="203"/>
  <c r="E22" i="123" s="1"/>
  <c r="L112" i="203"/>
  <c r="C111" i="203"/>
  <c r="K119" i="203"/>
  <c r="I22" i="123" s="1"/>
  <c r="D111" i="203"/>
  <c r="K158" i="203"/>
  <c r="D150" i="203"/>
  <c r="L158" i="203"/>
  <c r="J151" i="203"/>
  <c r="L197" i="203"/>
  <c r="M23" i="123" s="1"/>
  <c r="J190" i="203"/>
  <c r="K190" i="203"/>
  <c r="B189" i="203"/>
  <c r="K236" i="203"/>
  <c r="I24" i="123" s="1"/>
  <c r="J236" i="203"/>
  <c r="E24" i="123" s="1"/>
  <c r="D228" i="203"/>
  <c r="J229" i="203"/>
  <c r="L275" i="203"/>
  <c r="J268" i="203"/>
  <c r="K268" i="203"/>
  <c r="B267" i="203"/>
  <c r="L119" i="203"/>
  <c r="M22" i="123" s="1"/>
  <c r="J112" i="203"/>
  <c r="K112" i="203"/>
  <c r="B111" i="203"/>
  <c r="K151" i="203"/>
  <c r="K160" i="203" s="1"/>
  <c r="AC96" i="122" s="1"/>
  <c r="B150" i="203"/>
  <c r="J158" i="203"/>
  <c r="L151" i="203"/>
  <c r="C150" i="203"/>
  <c r="J197" i="203"/>
  <c r="E23" i="123" s="1"/>
  <c r="L190" i="203"/>
  <c r="C189" i="203"/>
  <c r="K197" i="203"/>
  <c r="I23" i="123" s="1"/>
  <c r="D189" i="203"/>
  <c r="L236" i="203"/>
  <c r="M24" i="123" s="1"/>
  <c r="K229" i="203"/>
  <c r="B228" i="203"/>
  <c r="L229" i="203"/>
  <c r="C228" i="203"/>
  <c r="J275" i="203"/>
  <c r="L268" i="203"/>
  <c r="C267" i="203"/>
  <c r="K275" i="203"/>
  <c r="D267" i="203"/>
  <c r="M119" i="203"/>
  <c r="M156" i="203"/>
  <c r="M158" i="203" s="1"/>
  <c r="M160" i="203" s="1"/>
  <c r="N156" i="203"/>
  <c r="N158" i="203" s="1"/>
  <c r="N160" i="203" s="1"/>
  <c r="N195" i="203"/>
  <c r="N197" i="203" s="1"/>
  <c r="O195" i="203"/>
  <c r="O197" i="203" s="1"/>
  <c r="M234" i="203"/>
  <c r="M236" i="203" s="1"/>
  <c r="N234" i="203"/>
  <c r="N236" i="203" s="1"/>
  <c r="N273" i="203"/>
  <c r="N275" i="203" s="1"/>
  <c r="N277" i="203" s="1"/>
  <c r="O273" i="203"/>
  <c r="O275" i="203" s="1"/>
  <c r="O277" i="203" s="1"/>
  <c r="N117" i="203"/>
  <c r="N119" i="203" s="1"/>
  <c r="O117" i="203"/>
  <c r="O119" i="203" s="1"/>
  <c r="O156" i="203"/>
  <c r="O158" i="203" s="1"/>
  <c r="O160" i="203" s="1"/>
  <c r="M195" i="203"/>
  <c r="M197" i="203" s="1"/>
  <c r="O234" i="203"/>
  <c r="O236" i="203" s="1"/>
  <c r="M273" i="203"/>
  <c r="M275" i="203" s="1"/>
  <c r="M277" i="203" s="1"/>
  <c r="A150" i="202"/>
  <c r="A111" i="202"/>
  <c r="A144" i="211"/>
  <c r="A105" i="211"/>
  <c r="A150" i="206"/>
  <c r="A189" i="206"/>
  <c r="A111" i="206"/>
  <c r="A180" i="214"/>
  <c r="A141" i="214"/>
  <c r="A144" i="218"/>
  <c r="A183" i="218"/>
  <c r="A105" i="218"/>
  <c r="A189" i="220"/>
  <c r="A111" i="220"/>
  <c r="A150" i="220"/>
  <c r="A105" i="216"/>
  <c r="A144" i="216"/>
  <c r="A150" i="225"/>
  <c r="A111" i="225"/>
  <c r="A141" i="209"/>
  <c r="A180" i="209"/>
  <c r="A105" i="214"/>
  <c r="A144" i="214"/>
  <c r="A219" i="218"/>
  <c r="A141" i="218"/>
  <c r="A180" i="218"/>
  <c r="A180" i="216"/>
  <c r="A141" i="216"/>
  <c r="L60" i="208"/>
  <c r="L54" i="208"/>
  <c r="L57" i="210"/>
  <c r="L54" i="210"/>
  <c r="L60" i="210"/>
  <c r="L63" i="210"/>
  <c r="L57" i="211"/>
  <c r="P17" i="183"/>
  <c r="E45" i="228"/>
  <c r="E78" i="228" s="1"/>
  <c r="C14" i="229" s="1"/>
  <c r="H9" i="164"/>
  <c r="J82" i="203"/>
  <c r="N80" i="203"/>
  <c r="O95" i="203"/>
  <c r="E21" i="113"/>
  <c r="K21" i="123" s="1"/>
  <c r="M80" i="203"/>
  <c r="I21" i="123"/>
  <c r="E46" i="203"/>
  <c r="E46" i="228" s="1"/>
  <c r="E80" i="228" s="1"/>
  <c r="F15" i="135" s="1"/>
  <c r="E102" i="203"/>
  <c r="F102" i="203"/>
  <c r="F46" i="203"/>
  <c r="A258" i="203"/>
  <c r="A180" i="203"/>
  <c r="A141" i="203"/>
  <c r="A297" i="203" s="1"/>
  <c r="A219" i="203"/>
  <c r="O23" i="123"/>
  <c r="G23" i="113"/>
  <c r="D9" i="164"/>
  <c r="I19" i="122"/>
  <c r="V94" i="122"/>
  <c r="D21" i="113"/>
  <c r="G21" i="123" s="1"/>
  <c r="C102" i="203"/>
  <c r="L21" i="123"/>
  <c r="E21" i="123"/>
  <c r="U94" i="122"/>
  <c r="B102" i="203"/>
  <c r="C21" i="113"/>
  <c r="C21" i="123" s="1"/>
  <c r="H21" i="123"/>
  <c r="K82" i="203"/>
  <c r="N95" i="203"/>
  <c r="O24" i="123"/>
  <c r="G24" i="113"/>
  <c r="C9" i="164"/>
  <c r="H19" i="122"/>
  <c r="A189" i="203"/>
  <c r="A228" i="203"/>
  <c r="A150" i="203"/>
  <c r="A111" i="203"/>
  <c r="A267" i="203" s="1"/>
  <c r="G102" i="203"/>
  <c r="G46" i="203"/>
  <c r="G46" i="228" s="1"/>
  <c r="G80" i="228" s="1"/>
  <c r="H18" i="135" s="1"/>
  <c r="N60" i="203"/>
  <c r="L60" i="203" s="1"/>
  <c r="M60" i="214"/>
  <c r="F292" i="45"/>
  <c r="I292" i="45" s="1"/>
  <c r="L292" i="45" s="1"/>
  <c r="O292" i="45" s="1"/>
  <c r="R292" i="45" s="1"/>
  <c r="P289" i="45"/>
  <c r="M61" i="214" s="1"/>
  <c r="M63" i="214" s="1"/>
  <c r="T292" i="45"/>
  <c r="R289" i="45"/>
  <c r="O61" i="214" s="1"/>
  <c r="O63" i="214" s="1"/>
  <c r="H292" i="45"/>
  <c r="K292" i="45" s="1"/>
  <c r="N292" i="45" s="1"/>
  <c r="Q292" i="45" s="1"/>
  <c r="O60" i="214"/>
  <c r="X37" i="192"/>
  <c r="H32" i="2" s="1"/>
  <c r="H33" i="2"/>
  <c r="H43" i="2"/>
  <c r="H63" i="2"/>
  <c r="H58" i="2"/>
  <c r="I57" i="2"/>
  <c r="AX53" i="234"/>
  <c r="X60" i="192"/>
  <c r="H54" i="2" s="1"/>
  <c r="AX52" i="234"/>
  <c r="I56" i="2"/>
  <c r="I55" i="2"/>
  <c r="AX51" i="234"/>
  <c r="AV46" i="234"/>
  <c r="AV37" i="234"/>
  <c r="AG51" i="192"/>
  <c r="AX41" i="234" s="1"/>
  <c r="X22" i="192"/>
  <c r="G54" i="2"/>
  <c r="AT50" i="234"/>
  <c r="H53" i="2"/>
  <c r="AV49" i="234"/>
  <c r="AG59" i="192"/>
  <c r="C9" i="135"/>
  <c r="AG49" i="192"/>
  <c r="AX39" i="234" s="1"/>
  <c r="X46" i="192"/>
  <c r="AV36" i="234" s="1"/>
  <c r="AG58" i="192"/>
  <c r="G8" i="2"/>
  <c r="AT10" i="234"/>
  <c r="I60" i="2"/>
  <c r="AX56" i="234"/>
  <c r="I64" i="2"/>
  <c r="AX60" i="234"/>
  <c r="I59" i="2"/>
  <c r="AX55" i="234"/>
  <c r="I63" i="2"/>
  <c r="AX59" i="234"/>
  <c r="I58" i="2"/>
  <c r="AX54" i="234"/>
  <c r="AG60" i="192"/>
  <c r="I62" i="2"/>
  <c r="AX58" i="234"/>
  <c r="I66" i="2"/>
  <c r="AX62" i="234"/>
  <c r="X50" i="234"/>
  <c r="AG54" i="234"/>
  <c r="AG50" i="234" s="1"/>
  <c r="I67" i="2"/>
  <c r="AX63" i="234"/>
  <c r="I61" i="2"/>
  <c r="AX57" i="234"/>
  <c r="I65" i="2"/>
  <c r="AX61" i="234"/>
  <c r="G40" i="2"/>
  <c r="AT36" i="234"/>
  <c r="I42" i="2"/>
  <c r="AX38" i="234"/>
  <c r="I46" i="2"/>
  <c r="I50" i="2"/>
  <c r="AX46" i="234"/>
  <c r="I41" i="2"/>
  <c r="I47" i="2"/>
  <c r="AX43" i="234"/>
  <c r="I51" i="2"/>
  <c r="AX47" i="234"/>
  <c r="H52" i="2"/>
  <c r="AV48" i="234"/>
  <c r="AG38" i="234"/>
  <c r="AG36" i="234" s="1"/>
  <c r="X36" i="234"/>
  <c r="I44" i="2"/>
  <c r="AX40" i="234"/>
  <c r="I48" i="2"/>
  <c r="AX44" i="234"/>
  <c r="I49" i="2"/>
  <c r="AX45" i="234"/>
  <c r="AV35" i="234"/>
  <c r="H39" i="2"/>
  <c r="AG44" i="192"/>
  <c r="H38" i="2"/>
  <c r="AV34" i="234"/>
  <c r="AG43" i="192"/>
  <c r="G36" i="2"/>
  <c r="AT32" i="234"/>
  <c r="AV33" i="234"/>
  <c r="H37" i="2"/>
  <c r="AG33" i="234"/>
  <c r="AG32" i="234" s="1"/>
  <c r="X32" i="234"/>
  <c r="F7" i="192"/>
  <c r="F7" i="234"/>
  <c r="AM7" i="234" s="1"/>
  <c r="F100" i="98"/>
  <c r="I34" i="2"/>
  <c r="AX30" i="234"/>
  <c r="AV28" i="234"/>
  <c r="I33" i="2"/>
  <c r="AX29" i="234"/>
  <c r="G27" i="2"/>
  <c r="AT23" i="234"/>
  <c r="O31" i="192"/>
  <c r="O7" i="192" s="1"/>
  <c r="O7" i="234" s="1"/>
  <c r="AV24" i="234"/>
  <c r="H28" i="2"/>
  <c r="H29" i="2"/>
  <c r="AV25" i="234"/>
  <c r="AG34" i="192"/>
  <c r="AG24" i="234"/>
  <c r="AG23" i="234" s="1"/>
  <c r="X23" i="234"/>
  <c r="AV26" i="234"/>
  <c r="H30" i="2"/>
  <c r="AG35" i="192"/>
  <c r="H22" i="2"/>
  <c r="AG24" i="192"/>
  <c r="I22" i="2" s="1"/>
  <c r="H24" i="2"/>
  <c r="AG26" i="192"/>
  <c r="I24" i="2" s="1"/>
  <c r="H21" i="2"/>
  <c r="AG23" i="192"/>
  <c r="H20" i="2"/>
  <c r="H23" i="2"/>
  <c r="AG25" i="192"/>
  <c r="I23" i="2" s="1"/>
  <c r="AV10" i="234"/>
  <c r="I9" i="2"/>
  <c r="AG10" i="192"/>
  <c r="AX11" i="234"/>
  <c r="I13" i="2"/>
  <c r="AX15" i="234"/>
  <c r="H17" i="2"/>
  <c r="AV19" i="234"/>
  <c r="AG19" i="192"/>
  <c r="I18" i="2"/>
  <c r="AX20" i="234"/>
  <c r="I12" i="2"/>
  <c r="AX14" i="234"/>
  <c r="I16" i="2"/>
  <c r="AX18" i="234"/>
  <c r="AG12" i="234"/>
  <c r="AG10" i="234" s="1"/>
  <c r="X10" i="234"/>
  <c r="X8" i="234" s="1"/>
  <c r="I11" i="2"/>
  <c r="AX13" i="234"/>
  <c r="I15" i="2"/>
  <c r="AX17" i="234"/>
  <c r="I10" i="2"/>
  <c r="AX12" i="234"/>
  <c r="I14" i="2"/>
  <c r="AX16" i="234"/>
  <c r="C27" i="135"/>
  <c r="C12" i="135"/>
  <c r="H7" i="2"/>
  <c r="AV9" i="234"/>
  <c r="AG9" i="192"/>
  <c r="AG9" i="234"/>
  <c r="AG8" i="234" s="1"/>
  <c r="B5" i="131"/>
  <c r="C24" i="135"/>
  <c r="G6" i="2"/>
  <c r="AT8" i="234"/>
  <c r="L60" i="205"/>
  <c r="L57" i="220"/>
  <c r="L57" i="222"/>
  <c r="AX5" i="234"/>
  <c r="BB5" i="234"/>
  <c r="C40" i="164"/>
  <c r="H33" i="122"/>
  <c r="H40" i="122" s="1"/>
  <c r="D40" i="164"/>
  <c r="I33" i="122"/>
  <c r="I40" i="122" s="1"/>
  <c r="E40" i="164"/>
  <c r="J33" i="122"/>
  <c r="J40" i="122" s="1"/>
  <c r="F40" i="164"/>
  <c r="K33" i="122"/>
  <c r="K40" i="122" s="1"/>
  <c r="M109" i="224"/>
  <c r="I136" i="224" s="1"/>
  <c r="M51" i="224"/>
  <c r="M148" i="224"/>
  <c r="I175" i="224" s="1"/>
  <c r="I97" i="224"/>
  <c r="E148" i="223"/>
  <c r="E109" i="223"/>
  <c r="E187" i="218"/>
  <c r="E109" i="218"/>
  <c r="E148" i="218"/>
  <c r="E148" i="215"/>
  <c r="E109" i="215"/>
  <c r="M148" i="211"/>
  <c r="I175" i="211" s="1"/>
  <c r="M109" i="211"/>
  <c r="I136" i="211" s="1"/>
  <c r="I97" i="211"/>
  <c r="M51" i="211"/>
  <c r="E148" i="214"/>
  <c r="E109" i="214"/>
  <c r="H3" i="135"/>
  <c r="G3" i="131"/>
  <c r="G16" i="228"/>
  <c r="N3" i="183"/>
  <c r="N3" i="113"/>
  <c r="I3" i="126" s="1"/>
  <c r="G16" i="216"/>
  <c r="G16" i="224"/>
  <c r="G16" i="222"/>
  <c r="W3" i="123"/>
  <c r="G16" i="225"/>
  <c r="G16" i="223"/>
  <c r="G16" i="220"/>
  <c r="G16" i="219"/>
  <c r="G16" i="218"/>
  <c r="G16" i="217"/>
  <c r="G16" i="215"/>
  <c r="G16" i="212"/>
  <c r="G16" i="211"/>
  <c r="G16" i="214"/>
  <c r="G16" i="213"/>
  <c r="G16" i="210"/>
  <c r="G16" i="209"/>
  <c r="G16" i="205"/>
  <c r="G16" i="203"/>
  <c r="G16" i="202"/>
  <c r="E5" i="45"/>
  <c r="F5" i="193"/>
  <c r="N5" i="191"/>
  <c r="G5" i="188" s="1"/>
  <c r="H5" i="188" s="1"/>
  <c r="B44" i="54"/>
  <c r="H4" i="241" s="1"/>
  <c r="G16" i="208"/>
  <c r="G16" i="207"/>
  <c r="G16" i="206"/>
  <c r="G16" i="204"/>
  <c r="G16" i="201"/>
  <c r="G16" i="200"/>
  <c r="G16" i="199"/>
  <c r="G16" i="198"/>
  <c r="F5" i="194"/>
  <c r="A21" i="54"/>
  <c r="F70" i="202"/>
  <c r="N16" i="202"/>
  <c r="N70" i="202" s="1"/>
  <c r="F70" i="205"/>
  <c r="N16" i="205"/>
  <c r="N70" i="205" s="1"/>
  <c r="F70" i="210"/>
  <c r="N16" i="210"/>
  <c r="N70" i="210" s="1"/>
  <c r="Y57" i="122"/>
  <c r="AF57" i="122" s="1"/>
  <c r="F70" i="198"/>
  <c r="N16" i="198"/>
  <c r="N70" i="198" s="1"/>
  <c r="F70" i="200"/>
  <c r="N16" i="200"/>
  <c r="N70" i="200" s="1"/>
  <c r="F70" i="204"/>
  <c r="N16" i="204"/>
  <c r="N70" i="204" s="1"/>
  <c r="N16" i="207"/>
  <c r="N70" i="207" s="1"/>
  <c r="F70" i="207"/>
  <c r="F70" i="211"/>
  <c r="N16" i="211"/>
  <c r="N70" i="211" s="1"/>
  <c r="F70" i="215"/>
  <c r="N16" i="215"/>
  <c r="N70" i="215" s="1"/>
  <c r="F70" i="218"/>
  <c r="N16" i="218"/>
  <c r="N70" i="218" s="1"/>
  <c r="F70" i="213"/>
  <c r="N16" i="213"/>
  <c r="N70" i="213" s="1"/>
  <c r="F70" i="220"/>
  <c r="N16" i="220"/>
  <c r="N70" i="220" s="1"/>
  <c r="F70" i="224"/>
  <c r="N16" i="224"/>
  <c r="N70" i="224" s="1"/>
  <c r="D3" i="229"/>
  <c r="F67" i="228"/>
  <c r="N16" i="228"/>
  <c r="N51" i="228" s="1"/>
  <c r="N16" i="225"/>
  <c r="N70" i="225" s="1"/>
  <c r="F70" i="225"/>
  <c r="K148" i="198"/>
  <c r="K226" i="198"/>
  <c r="K187" i="198"/>
  <c r="K109" i="198"/>
  <c r="K265" i="198" s="1"/>
  <c r="C148" i="199"/>
  <c r="C187" i="199"/>
  <c r="C109" i="199"/>
  <c r="C226" i="199" s="1"/>
  <c r="M109" i="200"/>
  <c r="I136" i="200" s="1"/>
  <c r="I97" i="200"/>
  <c r="M148" i="200"/>
  <c r="I175" i="200" s="1"/>
  <c r="M51" i="200"/>
  <c r="M148" i="201"/>
  <c r="I175" i="201" s="1"/>
  <c r="I97" i="201"/>
  <c r="M109" i="201"/>
  <c r="I136" i="201" s="1"/>
  <c r="M51" i="201"/>
  <c r="J109" i="202"/>
  <c r="J148" i="202"/>
  <c r="J226" i="203"/>
  <c r="J148" i="203"/>
  <c r="J109" i="203"/>
  <c r="J265" i="203" s="1"/>
  <c r="J187" i="203"/>
  <c r="K265" i="204"/>
  <c r="K187" i="204"/>
  <c r="K148" i="204"/>
  <c r="K226" i="204"/>
  <c r="K109" i="204"/>
  <c r="J148" i="205"/>
  <c r="J187" i="205"/>
  <c r="J109" i="205"/>
  <c r="K187" i="206"/>
  <c r="K109" i="206"/>
  <c r="K148" i="206"/>
  <c r="K109" i="207"/>
  <c r="K148" i="207"/>
  <c r="J148" i="209"/>
  <c r="J109" i="209"/>
  <c r="B109" i="223"/>
  <c r="B148" i="223"/>
  <c r="J148" i="224"/>
  <c r="J109" i="224"/>
  <c r="J187" i="220"/>
  <c r="J109" i="220"/>
  <c r="J148" i="220"/>
  <c r="J148" i="213"/>
  <c r="J109" i="213"/>
  <c r="J148" i="218"/>
  <c r="J187" i="218"/>
  <c r="J109" i="218"/>
  <c r="J109" i="215"/>
  <c r="J148" i="215"/>
  <c r="J148" i="211"/>
  <c r="J109" i="211"/>
  <c r="K148" i="216"/>
  <c r="K109" i="216"/>
  <c r="C148" i="222"/>
  <c r="C109" i="222"/>
  <c r="K148" i="225"/>
  <c r="K109" i="225"/>
  <c r="K148" i="219"/>
  <c r="K109" i="219"/>
  <c r="K187" i="219"/>
  <c r="C148" i="217"/>
  <c r="C109" i="217"/>
  <c r="K148" i="212"/>
  <c r="K109" i="212"/>
  <c r="C148" i="220"/>
  <c r="C187" i="220"/>
  <c r="C109" i="220"/>
  <c r="K109" i="213"/>
  <c r="K148" i="213"/>
  <c r="B187" i="199"/>
  <c r="B109" i="199"/>
  <c r="B226" i="199" s="1"/>
  <c r="B148" i="199"/>
  <c r="K148" i="202"/>
  <c r="K109" i="202"/>
  <c r="K187" i="203"/>
  <c r="K226" i="203"/>
  <c r="K148" i="203"/>
  <c r="K109" i="203"/>
  <c r="K265" i="203" s="1"/>
  <c r="J226" i="204"/>
  <c r="J109" i="204"/>
  <c r="J265" i="204"/>
  <c r="J187" i="204"/>
  <c r="J148" i="204"/>
  <c r="C187" i="205"/>
  <c r="C109" i="205"/>
  <c r="C148" i="205"/>
  <c r="J148" i="206"/>
  <c r="J187" i="206"/>
  <c r="J109" i="206"/>
  <c r="B148" i="207"/>
  <c r="B109" i="207"/>
  <c r="E148" i="209"/>
  <c r="E109" i="209"/>
  <c r="E148" i="210"/>
  <c r="E109" i="210"/>
  <c r="M51" i="216"/>
  <c r="M148" i="216"/>
  <c r="I175" i="216" s="1"/>
  <c r="M109" i="216"/>
  <c r="I136" i="216" s="1"/>
  <c r="I97" i="216"/>
  <c r="E148" i="222"/>
  <c r="E109" i="222"/>
  <c r="M148" i="225"/>
  <c r="I175" i="225" s="1"/>
  <c r="M51" i="225"/>
  <c r="M109" i="225"/>
  <c r="I136" i="225" s="1"/>
  <c r="I97" i="225"/>
  <c r="M148" i="219"/>
  <c r="I175" i="219" s="1"/>
  <c r="M109" i="219"/>
  <c r="I136" i="219" s="1"/>
  <c r="I97" i="219"/>
  <c r="M51" i="219"/>
  <c r="M187" i="219"/>
  <c r="I214" i="219" s="1"/>
  <c r="E148" i="217"/>
  <c r="E109" i="217"/>
  <c r="M51" i="212"/>
  <c r="M148" i="212"/>
  <c r="I175" i="212" s="1"/>
  <c r="M109" i="212"/>
  <c r="I136" i="212" s="1"/>
  <c r="I97" i="212"/>
  <c r="E148" i="220"/>
  <c r="E187" i="220"/>
  <c r="E109" i="220"/>
  <c r="M109" i="213"/>
  <c r="I136" i="213" s="1"/>
  <c r="I97" i="213"/>
  <c r="M148" i="213"/>
  <c r="I175" i="213" s="1"/>
  <c r="M51" i="213"/>
  <c r="M148" i="198"/>
  <c r="I175" i="198" s="1"/>
  <c r="M226" i="198"/>
  <c r="I253" i="198" s="1"/>
  <c r="M187" i="198"/>
  <c r="M109" i="198"/>
  <c r="I97" i="198"/>
  <c r="I214" i="198" s="1"/>
  <c r="M51" i="198"/>
  <c r="E148" i="199"/>
  <c r="E187" i="199"/>
  <c r="E109" i="199"/>
  <c r="E226" i="199" s="1"/>
  <c r="C109" i="200"/>
  <c r="C148" i="200"/>
  <c r="C148" i="201"/>
  <c r="C109" i="201"/>
  <c r="E265" i="204"/>
  <c r="E187" i="204"/>
  <c r="E148" i="204"/>
  <c r="E226" i="204"/>
  <c r="E109" i="204"/>
  <c r="M187" i="206"/>
  <c r="I214" i="206" s="1"/>
  <c r="M109" i="206"/>
  <c r="I136" i="206" s="1"/>
  <c r="I97" i="206"/>
  <c r="M148" i="206"/>
  <c r="I175" i="206" s="1"/>
  <c r="M51" i="206"/>
  <c r="M109" i="207"/>
  <c r="I136" i="207" s="1"/>
  <c r="I97" i="207"/>
  <c r="M51" i="207"/>
  <c r="M148" i="207"/>
  <c r="I175" i="207" s="1"/>
  <c r="M148" i="208"/>
  <c r="I175" i="208" s="1"/>
  <c r="M109" i="208"/>
  <c r="I136" i="208" s="1"/>
  <c r="I97" i="208"/>
  <c r="M51" i="208"/>
  <c r="B109" i="225"/>
  <c r="B148" i="225"/>
  <c r="J148" i="216"/>
  <c r="J109" i="216"/>
  <c r="J148" i="222"/>
  <c r="J109" i="222"/>
  <c r="J148" i="214"/>
  <c r="J109" i="214"/>
  <c r="J187" i="219"/>
  <c r="J148" i="219"/>
  <c r="J109" i="219"/>
  <c r="J148" i="217"/>
  <c r="J109" i="217"/>
  <c r="J148" i="212"/>
  <c r="J109" i="212"/>
  <c r="C109" i="224"/>
  <c r="C148" i="224"/>
  <c r="K148" i="223"/>
  <c r="K109" i="223"/>
  <c r="K187" i="218"/>
  <c r="K109" i="218"/>
  <c r="K148" i="218"/>
  <c r="K148" i="215"/>
  <c r="K109" i="215"/>
  <c r="C148" i="211"/>
  <c r="C109" i="211"/>
  <c r="K148" i="214"/>
  <c r="K109" i="214"/>
  <c r="J226" i="198"/>
  <c r="J187" i="198"/>
  <c r="J109" i="198"/>
  <c r="J265" i="198" s="1"/>
  <c r="J148" i="198"/>
  <c r="B148" i="200"/>
  <c r="B109" i="200"/>
  <c r="J109" i="201"/>
  <c r="J148" i="201"/>
  <c r="E148" i="202"/>
  <c r="E109" i="202"/>
  <c r="E187" i="203"/>
  <c r="E226" i="203"/>
  <c r="E148" i="203"/>
  <c r="E109" i="203"/>
  <c r="E265" i="203" s="1"/>
  <c r="E187" i="205"/>
  <c r="E109" i="205"/>
  <c r="E148" i="205"/>
  <c r="B148" i="208"/>
  <c r="B109" i="208"/>
  <c r="K148" i="209"/>
  <c r="K109" i="209"/>
  <c r="K148" i="210"/>
  <c r="K109" i="210"/>
  <c r="BA5" i="234"/>
  <c r="AV5" i="234"/>
  <c r="E109" i="224"/>
  <c r="E148" i="224"/>
  <c r="M148" i="223"/>
  <c r="I175" i="223" s="1"/>
  <c r="M51" i="223"/>
  <c r="M109" i="223"/>
  <c r="I136" i="223" s="1"/>
  <c r="I97" i="223"/>
  <c r="M187" i="218"/>
  <c r="I214" i="218" s="1"/>
  <c r="M109" i="218"/>
  <c r="I136" i="218" s="1"/>
  <c r="I97" i="218"/>
  <c r="M148" i="218"/>
  <c r="I175" i="218" s="1"/>
  <c r="M51" i="218"/>
  <c r="M148" i="215"/>
  <c r="I175" i="215" s="1"/>
  <c r="M51" i="215"/>
  <c r="M109" i="215"/>
  <c r="I136" i="215" s="1"/>
  <c r="I97" i="215"/>
  <c r="E148" i="211"/>
  <c r="E109" i="211"/>
  <c r="M148" i="214"/>
  <c r="I175" i="214" s="1"/>
  <c r="M109" i="214"/>
  <c r="I136" i="214" s="1"/>
  <c r="I97" i="214"/>
  <c r="M51" i="214"/>
  <c r="H3" i="233"/>
  <c r="G3" i="239"/>
  <c r="H3" i="230"/>
  <c r="L5" i="122"/>
  <c r="H3" i="163"/>
  <c r="P5" i="192"/>
  <c r="F5" i="106"/>
  <c r="P5" i="234"/>
  <c r="F70" i="203"/>
  <c r="N16" i="203"/>
  <c r="N70" i="203" s="1"/>
  <c r="F70" i="209"/>
  <c r="N16" i="209"/>
  <c r="N70" i="209" s="1"/>
  <c r="N16" i="199"/>
  <c r="N70" i="199" s="1"/>
  <c r="F70" i="199"/>
  <c r="N16" i="201"/>
  <c r="N70" i="201" s="1"/>
  <c r="F70" i="201"/>
  <c r="F70" i="206"/>
  <c r="N16" i="206"/>
  <c r="N70" i="206" s="1"/>
  <c r="F70" i="208"/>
  <c r="N16" i="208"/>
  <c r="N70" i="208" s="1"/>
  <c r="F70" i="212"/>
  <c r="N16" i="212"/>
  <c r="N70" i="212" s="1"/>
  <c r="F70" i="217"/>
  <c r="N16" i="217"/>
  <c r="N70" i="217" s="1"/>
  <c r="F70" i="219"/>
  <c r="N16" i="219"/>
  <c r="N70" i="219" s="1"/>
  <c r="F70" i="214"/>
  <c r="N16" i="214"/>
  <c r="N70" i="214" s="1"/>
  <c r="F70" i="222"/>
  <c r="N16" i="222"/>
  <c r="N70" i="222" s="1"/>
  <c r="F70" i="216"/>
  <c r="N16" i="216"/>
  <c r="N70" i="216" s="1"/>
  <c r="N16" i="223"/>
  <c r="N70" i="223" s="1"/>
  <c r="F70" i="223"/>
  <c r="C148" i="198"/>
  <c r="C226" i="198"/>
  <c r="C187" i="198"/>
  <c r="C109" i="198"/>
  <c r="C265" i="198" s="1"/>
  <c r="K148" i="199"/>
  <c r="K187" i="199"/>
  <c r="K109" i="199"/>
  <c r="K226" i="199" s="1"/>
  <c r="E109" i="200"/>
  <c r="E148" i="200"/>
  <c r="E148" i="201"/>
  <c r="E109" i="201"/>
  <c r="B109" i="202"/>
  <c r="B148" i="202"/>
  <c r="B226" i="203"/>
  <c r="B148" i="203"/>
  <c r="B109" i="203"/>
  <c r="B265" i="203" s="1"/>
  <c r="B187" i="203"/>
  <c r="C265" i="204"/>
  <c r="C187" i="204"/>
  <c r="C148" i="204"/>
  <c r="C226" i="204"/>
  <c r="C109" i="204"/>
  <c r="B148" i="205"/>
  <c r="B187" i="205"/>
  <c r="B109" i="205"/>
  <c r="C187" i="206"/>
  <c r="C109" i="206"/>
  <c r="C148" i="206"/>
  <c r="C109" i="207"/>
  <c r="C148" i="207"/>
  <c r="B148" i="209"/>
  <c r="B109" i="209"/>
  <c r="J109" i="223"/>
  <c r="J148" i="223"/>
  <c r="B148" i="224"/>
  <c r="B109" i="224"/>
  <c r="B187" i="220"/>
  <c r="B109" i="220"/>
  <c r="B148" i="220"/>
  <c r="B148" i="213"/>
  <c r="B109" i="213"/>
  <c r="B148" i="218"/>
  <c r="B187" i="218"/>
  <c r="B109" i="218"/>
  <c r="B109" i="215"/>
  <c r="B148" i="215"/>
  <c r="B148" i="211"/>
  <c r="B109" i="211"/>
  <c r="C148" i="216"/>
  <c r="C109" i="216"/>
  <c r="K148" i="222"/>
  <c r="K109" i="222"/>
  <c r="C148" i="225"/>
  <c r="C109" i="225"/>
  <c r="C148" i="219"/>
  <c r="C109" i="219"/>
  <c r="C187" i="219"/>
  <c r="K148" i="217"/>
  <c r="K109" i="217"/>
  <c r="C148" i="212"/>
  <c r="C109" i="212"/>
  <c r="K148" i="220"/>
  <c r="K187" i="220"/>
  <c r="K109" i="220"/>
  <c r="C109" i="213"/>
  <c r="C148" i="213"/>
  <c r="J187" i="199"/>
  <c r="J109" i="199"/>
  <c r="J226" i="199" s="1"/>
  <c r="J148" i="199"/>
  <c r="C148" i="202"/>
  <c r="C109" i="202"/>
  <c r="C187" i="203"/>
  <c r="C226" i="203"/>
  <c r="C148" i="203"/>
  <c r="C109" i="203"/>
  <c r="C265" i="203" s="1"/>
  <c r="B226" i="204"/>
  <c r="B109" i="204"/>
  <c r="B265" i="204"/>
  <c r="B187" i="204"/>
  <c r="B148" i="204"/>
  <c r="K187" i="205"/>
  <c r="K109" i="205"/>
  <c r="K148" i="205"/>
  <c r="B148" i="206"/>
  <c r="B187" i="206"/>
  <c r="B109" i="206"/>
  <c r="J148" i="207"/>
  <c r="J109" i="207"/>
  <c r="M148" i="209"/>
  <c r="I175" i="209" s="1"/>
  <c r="M109" i="209"/>
  <c r="I136" i="209" s="1"/>
  <c r="I97" i="209"/>
  <c r="M51" i="209"/>
  <c r="M148" i="210"/>
  <c r="I175" i="210" s="1"/>
  <c r="M109" i="210"/>
  <c r="I136" i="210" s="1"/>
  <c r="I97" i="210"/>
  <c r="M51" i="210"/>
  <c r="E148" i="216"/>
  <c r="E109" i="216"/>
  <c r="I97" i="222"/>
  <c r="M51" i="222"/>
  <c r="M148" i="222"/>
  <c r="I175" i="222" s="1"/>
  <c r="M109" i="222"/>
  <c r="I136" i="222" s="1"/>
  <c r="E148" i="225"/>
  <c r="E109" i="225"/>
  <c r="E148" i="219"/>
  <c r="E109" i="219"/>
  <c r="E187" i="219"/>
  <c r="M148" i="217"/>
  <c r="I175" i="217" s="1"/>
  <c r="M109" i="217"/>
  <c r="I136" i="217" s="1"/>
  <c r="I97" i="217"/>
  <c r="M51" i="217"/>
  <c r="E148" i="212"/>
  <c r="E109" i="212"/>
  <c r="M148" i="220"/>
  <c r="I175" i="220" s="1"/>
  <c r="I97" i="220"/>
  <c r="M51" i="220"/>
  <c r="M187" i="220"/>
  <c r="I214" i="220" s="1"/>
  <c r="M109" i="220"/>
  <c r="I136" i="220" s="1"/>
  <c r="E109" i="213"/>
  <c r="E148" i="213"/>
  <c r="E148" i="198"/>
  <c r="E226" i="198"/>
  <c r="E187" i="198"/>
  <c r="E109" i="198"/>
  <c r="E265" i="198" s="1"/>
  <c r="M148" i="199"/>
  <c r="I175" i="199" s="1"/>
  <c r="M51" i="199"/>
  <c r="M187" i="199"/>
  <c r="I214" i="199" s="1"/>
  <c r="M109" i="199"/>
  <c r="I97" i="199"/>
  <c r="K109" i="200"/>
  <c r="K148" i="200"/>
  <c r="K148" i="201"/>
  <c r="K109" i="201"/>
  <c r="M265" i="204"/>
  <c r="I292" i="204" s="1"/>
  <c r="M187" i="204"/>
  <c r="I214" i="204" s="1"/>
  <c r="M148" i="204"/>
  <c r="I175" i="204" s="1"/>
  <c r="M226" i="204"/>
  <c r="I253" i="204" s="1"/>
  <c r="M109" i="204"/>
  <c r="I136" i="204" s="1"/>
  <c r="I97" i="204"/>
  <c r="M51" i="204"/>
  <c r="E187" i="206"/>
  <c r="E109" i="206"/>
  <c r="E148" i="206"/>
  <c r="E109" i="207"/>
  <c r="E148" i="207"/>
  <c r="E148" i="208"/>
  <c r="E109" i="208"/>
  <c r="J109" i="225"/>
  <c r="J148" i="225"/>
  <c r="B148" i="216"/>
  <c r="B109" i="216"/>
  <c r="B148" i="222"/>
  <c r="B109" i="222"/>
  <c r="B148" i="214"/>
  <c r="B109" i="214"/>
  <c r="B187" i="219"/>
  <c r="B148" i="219"/>
  <c r="B109" i="219"/>
  <c r="B148" i="217"/>
  <c r="B109" i="217"/>
  <c r="B148" i="212"/>
  <c r="B109" i="212"/>
  <c r="K109" i="224"/>
  <c r="K148" i="224"/>
  <c r="C148" i="223"/>
  <c r="C109" i="223"/>
  <c r="C187" i="218"/>
  <c r="C109" i="218"/>
  <c r="C148" i="218"/>
  <c r="C148" i="215"/>
  <c r="C109" i="215"/>
  <c r="K148" i="211"/>
  <c r="K109" i="211"/>
  <c r="C148" i="214"/>
  <c r="C109" i="214"/>
  <c r="B226" i="198"/>
  <c r="B187" i="198"/>
  <c r="B109" i="198"/>
  <c r="B265" i="198" s="1"/>
  <c r="B148" i="198"/>
  <c r="J148" i="200"/>
  <c r="J109" i="200"/>
  <c r="B109" i="201"/>
  <c r="B148" i="201"/>
  <c r="M148" i="202"/>
  <c r="I175" i="202" s="1"/>
  <c r="M51" i="202"/>
  <c r="M109" i="202"/>
  <c r="I136" i="202" s="1"/>
  <c r="I97" i="202"/>
  <c r="M187" i="203"/>
  <c r="I214" i="203" s="1"/>
  <c r="M226" i="203"/>
  <c r="I253" i="203" s="1"/>
  <c r="M148" i="203"/>
  <c r="I175" i="203" s="1"/>
  <c r="M109" i="203"/>
  <c r="I97" i="203"/>
  <c r="M51" i="203"/>
  <c r="M187" i="205"/>
  <c r="I214" i="205" s="1"/>
  <c r="M109" i="205"/>
  <c r="I136" i="205" s="1"/>
  <c r="I97" i="205"/>
  <c r="M148" i="205"/>
  <c r="I175" i="205" s="1"/>
  <c r="M51" i="205"/>
  <c r="J148" i="208"/>
  <c r="J109" i="208"/>
  <c r="C148" i="209"/>
  <c r="C109" i="209"/>
  <c r="C148" i="210"/>
  <c r="C109" i="210"/>
  <c r="E95" i="2"/>
  <c r="D12" i="135" s="1"/>
  <c r="E109" i="192"/>
  <c r="D27" i="135"/>
  <c r="E48" i="218"/>
  <c r="I61" i="113" s="1"/>
  <c r="I31" i="183" s="1"/>
  <c r="L57" i="224"/>
  <c r="D7" i="188"/>
  <c r="P8" i="191"/>
  <c r="O8" i="191"/>
  <c r="O394" i="191" s="1"/>
  <c r="G76" i="113"/>
  <c r="O76" i="123"/>
  <c r="O76" i="113"/>
  <c r="W76" i="123"/>
  <c r="Q38" i="183"/>
  <c r="W75" i="123"/>
  <c r="I30" i="126"/>
  <c r="O75" i="113"/>
  <c r="O38" i="183" s="1"/>
  <c r="L63" i="222"/>
  <c r="O63" i="224"/>
  <c r="N63" i="224"/>
  <c r="M63" i="224"/>
  <c r="L57" i="205"/>
  <c r="Q36" i="183"/>
  <c r="O71" i="113"/>
  <c r="O36" i="183" s="1"/>
  <c r="W71" i="123"/>
  <c r="I28" i="126"/>
  <c r="W72" i="123"/>
  <c r="O72" i="113"/>
  <c r="K72" i="113"/>
  <c r="S72" i="123"/>
  <c r="L60" i="222"/>
  <c r="M36" i="183"/>
  <c r="H28" i="126"/>
  <c r="S71" i="123"/>
  <c r="K71" i="113"/>
  <c r="K36" i="183" s="1"/>
  <c r="W68" i="123"/>
  <c r="O68" i="113"/>
  <c r="L60" i="220"/>
  <c r="S68" i="123"/>
  <c r="K68" i="113"/>
  <c r="I34" i="183"/>
  <c r="O67" i="123"/>
  <c r="G27" i="126"/>
  <c r="G67" i="113"/>
  <c r="G34" i="183" s="1"/>
  <c r="O68" i="123"/>
  <c r="G68" i="113"/>
  <c r="I24" i="233"/>
  <c r="P35" i="183"/>
  <c r="W66" i="123"/>
  <c r="O66" i="113"/>
  <c r="O65" i="113"/>
  <c r="O33" i="183" s="1"/>
  <c r="Q33" i="183"/>
  <c r="W65" i="123"/>
  <c r="I26" i="126"/>
  <c r="K66" i="113"/>
  <c r="S66" i="123"/>
  <c r="H26" i="126"/>
  <c r="M33" i="183"/>
  <c r="S65" i="123"/>
  <c r="K65" i="113"/>
  <c r="K33" i="183" s="1"/>
  <c r="G65" i="113"/>
  <c r="G33" i="183" s="1"/>
  <c r="I33" i="183"/>
  <c r="I35" i="183" s="1"/>
  <c r="G11" i="230" s="1"/>
  <c r="O65" i="123"/>
  <c r="G26" i="126"/>
  <c r="O66" i="123"/>
  <c r="G66" i="113"/>
  <c r="W55" i="123"/>
  <c r="O55" i="113"/>
  <c r="W54" i="123"/>
  <c r="I22" i="126"/>
  <c r="Q26" i="183"/>
  <c r="O54" i="113"/>
  <c r="O26" i="183" s="1"/>
  <c r="K55" i="113"/>
  <c r="S55" i="123"/>
  <c r="H22" i="126"/>
  <c r="M26" i="183"/>
  <c r="S54" i="123"/>
  <c r="K54" i="113"/>
  <c r="K26" i="183" s="1"/>
  <c r="O55" i="123"/>
  <c r="G55" i="113"/>
  <c r="O54" i="123"/>
  <c r="G22" i="126"/>
  <c r="I26" i="183"/>
  <c r="G54" i="113"/>
  <c r="G26" i="183" s="1"/>
  <c r="K37" i="113"/>
  <c r="K18" i="183" s="1"/>
  <c r="M18" i="183"/>
  <c r="S37" i="123"/>
  <c r="H15" i="126"/>
  <c r="S38" i="123"/>
  <c r="K38" i="113"/>
  <c r="L17" i="183"/>
  <c r="W31" i="123"/>
  <c r="O31" i="113"/>
  <c r="Q15" i="183"/>
  <c r="I13" i="126"/>
  <c r="O30" i="113"/>
  <c r="O15" i="183" s="1"/>
  <c r="W30" i="123"/>
  <c r="K31" i="113"/>
  <c r="S31" i="123"/>
  <c r="M15" i="183"/>
  <c r="S30" i="123"/>
  <c r="H13" i="126"/>
  <c r="K30" i="113"/>
  <c r="K15" i="183" s="1"/>
  <c r="O31" i="123"/>
  <c r="G31" i="113"/>
  <c r="W28" i="123"/>
  <c r="O28" i="113"/>
  <c r="Q14" i="183"/>
  <c r="I12" i="126"/>
  <c r="O25" i="113"/>
  <c r="O14" i="183" s="1"/>
  <c r="W25" i="123"/>
  <c r="K28" i="113"/>
  <c r="S28" i="123"/>
  <c r="M14" i="183"/>
  <c r="S25" i="123"/>
  <c r="H12" i="126"/>
  <c r="K25" i="113"/>
  <c r="K14" i="183" s="1"/>
  <c r="I14" i="183"/>
  <c r="G12" i="126"/>
  <c r="G25" i="113"/>
  <c r="G14" i="183" s="1"/>
  <c r="O25" i="123"/>
  <c r="O28" i="123"/>
  <c r="G28" i="113"/>
  <c r="W62" i="123"/>
  <c r="O62" i="113"/>
  <c r="W61" i="123"/>
  <c r="Q31" i="183"/>
  <c r="I25" i="126"/>
  <c r="O61" i="113"/>
  <c r="O31" i="183" s="1"/>
  <c r="S62" i="123"/>
  <c r="K62" i="113"/>
  <c r="S61" i="123"/>
  <c r="H25" i="126"/>
  <c r="K61" i="113"/>
  <c r="K31" i="183" s="1"/>
  <c r="M31" i="183"/>
  <c r="O62" i="123"/>
  <c r="G62" i="113"/>
  <c r="O61" i="123"/>
  <c r="W22" i="123"/>
  <c r="O22" i="113"/>
  <c r="S22" i="123"/>
  <c r="K22" i="113"/>
  <c r="O22" i="123"/>
  <c r="G22" i="113"/>
  <c r="L57" i="203"/>
  <c r="O16" i="113"/>
  <c r="O10" i="183" s="1"/>
  <c r="O12" i="183" s="1"/>
  <c r="Q10" i="183"/>
  <c r="Q12" i="183" s="1"/>
  <c r="I5" i="230" s="1"/>
  <c r="W16" i="123"/>
  <c r="I9" i="126"/>
  <c r="W17" i="123"/>
  <c r="O17" i="113"/>
  <c r="K17" i="113"/>
  <c r="S17" i="123"/>
  <c r="H9" i="126"/>
  <c r="M10" i="183"/>
  <c r="M12" i="183" s="1"/>
  <c r="H5" i="230" s="1"/>
  <c r="S16" i="123"/>
  <c r="K16" i="113"/>
  <c r="K10" i="183" s="1"/>
  <c r="K12" i="183" s="1"/>
  <c r="G16" i="113"/>
  <c r="G10" i="183" s="1"/>
  <c r="I10" i="183"/>
  <c r="O16" i="123"/>
  <c r="G9" i="126"/>
  <c r="O17" i="123"/>
  <c r="G17" i="113"/>
  <c r="M7" i="183"/>
  <c r="S10" i="123"/>
  <c r="K10" i="113"/>
  <c r="K7" i="183" s="1"/>
  <c r="H7" i="126"/>
  <c r="S13" i="123"/>
  <c r="K13" i="113"/>
  <c r="I7" i="183"/>
  <c r="G10" i="113"/>
  <c r="G7" i="183" s="1"/>
  <c r="O10" i="123"/>
  <c r="G7" i="126"/>
  <c r="O13" i="123"/>
  <c r="G13" i="113"/>
  <c r="H15" i="135"/>
  <c r="O9" i="123"/>
  <c r="G9" i="113"/>
  <c r="W9" i="123"/>
  <c r="O9" i="113"/>
  <c r="M6" i="183"/>
  <c r="S6" i="123"/>
  <c r="K6" i="113"/>
  <c r="K6" i="183" s="1"/>
  <c r="H6" i="126"/>
  <c r="L60" i="198"/>
  <c r="I6" i="183"/>
  <c r="O6" i="123"/>
  <c r="G6" i="126"/>
  <c r="G6" i="113"/>
  <c r="G6" i="183" s="1"/>
  <c r="Q6" i="183"/>
  <c r="Q8" i="183" s="1"/>
  <c r="I4" i="230" s="1"/>
  <c r="W6" i="123"/>
  <c r="I6" i="126"/>
  <c r="O6" i="113"/>
  <c r="O6" i="183" s="1"/>
  <c r="O8" i="183" s="1"/>
  <c r="S9" i="123"/>
  <c r="K9" i="113"/>
  <c r="L57" i="198"/>
  <c r="G31" i="233"/>
  <c r="Q24" i="183"/>
  <c r="W49" i="123"/>
  <c r="I20" i="126"/>
  <c r="O49" i="113"/>
  <c r="O24" i="183" s="1"/>
  <c r="W50" i="123"/>
  <c r="O50" i="113"/>
  <c r="S50" i="123"/>
  <c r="K50" i="113"/>
  <c r="I24" i="183"/>
  <c r="O49" i="123"/>
  <c r="G20" i="126"/>
  <c r="G49" i="113"/>
  <c r="G24" i="183" s="1"/>
  <c r="O50" i="123"/>
  <c r="G50" i="113"/>
  <c r="L54" i="217"/>
  <c r="P32" i="183"/>
  <c r="I22" i="233"/>
  <c r="H22" i="233"/>
  <c r="H31" i="233" s="1"/>
  <c r="L32" i="183"/>
  <c r="L63" i="217"/>
  <c r="M58" i="113"/>
  <c r="I58" i="113"/>
  <c r="Q58" i="113"/>
  <c r="M59" i="228"/>
  <c r="M60" i="217"/>
  <c r="M57" i="228"/>
  <c r="L57" i="217"/>
  <c r="S60" i="123"/>
  <c r="K60" i="113"/>
  <c r="O60" i="123"/>
  <c r="G60" i="113"/>
  <c r="W60" i="123"/>
  <c r="O60" i="113"/>
  <c r="N60" i="217"/>
  <c r="O59" i="228"/>
  <c r="O60" i="217"/>
  <c r="AP55" i="234"/>
  <c r="AP47" i="234"/>
  <c r="AP52" i="234"/>
  <c r="AP9" i="234"/>
  <c r="AP61" i="234"/>
  <c r="AP49" i="234"/>
  <c r="AP62" i="234"/>
  <c r="AP11" i="234"/>
  <c r="AP32" i="234"/>
  <c r="AP8" i="234"/>
  <c r="AP59" i="234"/>
  <c r="AP42" i="234"/>
  <c r="AP56" i="234"/>
  <c r="AP50" i="234"/>
  <c r="AP21" i="234"/>
  <c r="AP7" i="234"/>
  <c r="AP18" i="234"/>
  <c r="AP31" i="234"/>
  <c r="AP12" i="234"/>
  <c r="AP58" i="234"/>
  <c r="AP35" i="234"/>
  <c r="AP63" i="234"/>
  <c r="AP38" i="234"/>
  <c r="AP44" i="234"/>
  <c r="AP54" i="234"/>
  <c r="AP23" i="234"/>
  <c r="AP36" i="234"/>
  <c r="AP29" i="234"/>
  <c r="AP41" i="234"/>
  <c r="AP51" i="234"/>
  <c r="AP10" i="234"/>
  <c r="AP26" i="234"/>
  <c r="AP37" i="234"/>
  <c r="AP28" i="234"/>
  <c r="AP16" i="234"/>
  <c r="AP34" i="234"/>
  <c r="AP60" i="234"/>
  <c r="AP30" i="234"/>
  <c r="AP57" i="234"/>
  <c r="AP39" i="234"/>
  <c r="AP14" i="234"/>
  <c r="AP19" i="234"/>
  <c r="AP46" i="234"/>
  <c r="AP27" i="234"/>
  <c r="AP17" i="234"/>
  <c r="AP53" i="234"/>
  <c r="AP22" i="234"/>
  <c r="AP25" i="234"/>
  <c r="AP43" i="234"/>
  <c r="AP40" i="234"/>
  <c r="AN7" i="234"/>
  <c r="AO7" i="234"/>
  <c r="AP13" i="234"/>
  <c r="AP20" i="234"/>
  <c r="AP48" i="234"/>
  <c r="AP45" i="234"/>
  <c r="AP15" i="234"/>
  <c r="AP24" i="234"/>
  <c r="AP33" i="234"/>
  <c r="L43" i="183" l="1"/>
  <c r="L19" i="122"/>
  <c r="K8" i="122"/>
  <c r="F10" i="164" s="1"/>
  <c r="O22" i="183"/>
  <c r="Q57" i="113"/>
  <c r="G48" i="215"/>
  <c r="Q56" i="113" s="1"/>
  <c r="I42" i="113"/>
  <c r="E48" i="209"/>
  <c r="I41" i="113" s="1"/>
  <c r="I74" i="113"/>
  <c r="E48" i="223"/>
  <c r="I73" i="113" s="1"/>
  <c r="O15" i="123"/>
  <c r="G15" i="113"/>
  <c r="I77" i="113"/>
  <c r="E48" i="224"/>
  <c r="I75" i="113" s="1"/>
  <c r="M74" i="113"/>
  <c r="F48" i="223"/>
  <c r="M73" i="113" s="1"/>
  <c r="M42" i="113"/>
  <c r="F48" i="209"/>
  <c r="M41" i="113" s="1"/>
  <c r="Q81" i="113"/>
  <c r="G48" i="225"/>
  <c r="Q80" i="113" s="1"/>
  <c r="I31" i="233"/>
  <c r="G12" i="183"/>
  <c r="M69" i="113"/>
  <c r="F48" i="220"/>
  <c r="M67" i="113" s="1"/>
  <c r="M57" i="113"/>
  <c r="F48" i="215"/>
  <c r="M56" i="113" s="1"/>
  <c r="O43" i="113"/>
  <c r="O21" i="183" s="1"/>
  <c r="I18" i="126"/>
  <c r="Q21" i="183"/>
  <c r="Q22" i="183" s="1"/>
  <c r="I7" i="230" s="1"/>
  <c r="W43" i="123"/>
  <c r="Q53" i="113"/>
  <c r="G48" i="213"/>
  <c r="Q52" i="113" s="1"/>
  <c r="M53" i="113"/>
  <c r="F48" i="213"/>
  <c r="M52" i="113" s="1"/>
  <c r="G15" i="126"/>
  <c r="G37" i="113"/>
  <c r="G18" i="183" s="1"/>
  <c r="O37" i="123"/>
  <c r="I18" i="183"/>
  <c r="H31" i="126"/>
  <c r="K78" i="113"/>
  <c r="K39" i="183" s="1"/>
  <c r="S78" i="123"/>
  <c r="M39" i="183"/>
  <c r="I44" i="113"/>
  <c r="E48" i="210"/>
  <c r="I43" i="113" s="1"/>
  <c r="H18" i="126"/>
  <c r="M21" i="183"/>
  <c r="K43" i="113"/>
  <c r="K21" i="183" s="1"/>
  <c r="S43" i="123"/>
  <c r="I35" i="113"/>
  <c r="E48" i="206"/>
  <c r="I34" i="113" s="1"/>
  <c r="S79" i="123"/>
  <c r="K79" i="113"/>
  <c r="O37" i="203"/>
  <c r="Q79" i="113"/>
  <c r="G48" i="216"/>
  <c r="Q78" i="113" s="1"/>
  <c r="S44" i="123"/>
  <c r="K44" i="113"/>
  <c r="G23" i="126"/>
  <c r="O56" i="123"/>
  <c r="G56" i="113"/>
  <c r="G28" i="183" s="1"/>
  <c r="G29" i="183" s="1"/>
  <c r="I28" i="183"/>
  <c r="I29" i="183" s="1"/>
  <c r="G9" i="230" s="1"/>
  <c r="Q69" i="113"/>
  <c r="G48" i="220"/>
  <c r="Q67" i="113" s="1"/>
  <c r="I72" i="113"/>
  <c r="E48" i="222"/>
  <c r="I71" i="113" s="1"/>
  <c r="H16" i="126"/>
  <c r="S39" i="123"/>
  <c r="K39" i="113"/>
  <c r="K19" i="183" s="1"/>
  <c r="M19" i="183"/>
  <c r="AG8" i="192"/>
  <c r="S40" i="123"/>
  <c r="K40" i="113"/>
  <c r="I9" i="183"/>
  <c r="I12" i="183" s="1"/>
  <c r="G5" i="230" s="1"/>
  <c r="G14" i="113"/>
  <c r="G9" i="183" s="1"/>
  <c r="G8" i="126"/>
  <c r="O14" i="123"/>
  <c r="AC74" i="122"/>
  <c r="K127" i="200"/>
  <c r="X8" i="192"/>
  <c r="I45" i="2"/>
  <c r="J7" i="123"/>
  <c r="L166" i="198"/>
  <c r="AF61" i="122"/>
  <c r="J19" i="122"/>
  <c r="L60" i="219"/>
  <c r="AG41" i="192"/>
  <c r="AG46" i="192"/>
  <c r="I43" i="2"/>
  <c r="AG63" i="122"/>
  <c r="J19" i="199"/>
  <c r="D10" i="123" s="1"/>
  <c r="AG70" i="122"/>
  <c r="N25" i="199"/>
  <c r="N37" i="203"/>
  <c r="M37" i="203"/>
  <c r="M41" i="203" s="1"/>
  <c r="C18" i="198"/>
  <c r="D6" i="113" s="1"/>
  <c r="L82" i="203"/>
  <c r="E9" i="164"/>
  <c r="W94" i="122"/>
  <c r="J12" i="123"/>
  <c r="L127" i="200"/>
  <c r="O37" i="199"/>
  <c r="O41" i="199" s="1"/>
  <c r="O25" i="199"/>
  <c r="U12" i="123"/>
  <c r="V12" i="123" s="1"/>
  <c r="J244" i="199"/>
  <c r="L60" i="214"/>
  <c r="K166" i="199"/>
  <c r="K27" i="199"/>
  <c r="I10" i="123" s="1"/>
  <c r="M19" i="122"/>
  <c r="M8" i="122"/>
  <c r="H10" i="164" s="1"/>
  <c r="F21" i="135"/>
  <c r="F18" i="135"/>
  <c r="P43" i="183"/>
  <c r="H40" i="2"/>
  <c r="AG32" i="192"/>
  <c r="L277" i="203"/>
  <c r="AD99" i="122" s="1"/>
  <c r="G25" i="126"/>
  <c r="J19" i="203"/>
  <c r="D20" i="123" s="1"/>
  <c r="H21" i="135"/>
  <c r="M30" i="122"/>
  <c r="H44" i="164" s="1"/>
  <c r="I47" i="113"/>
  <c r="E48" i="211"/>
  <c r="I46" i="113" s="1"/>
  <c r="N63" i="228"/>
  <c r="N61" i="228"/>
  <c r="L57" i="199"/>
  <c r="K30" i="122"/>
  <c r="F44" i="164" s="1"/>
  <c r="I32" i="113"/>
  <c r="E48" i="205"/>
  <c r="I30" i="113" s="1"/>
  <c r="AV50" i="234"/>
  <c r="J160" i="224"/>
  <c r="AB236" i="122" s="1"/>
  <c r="O25" i="203"/>
  <c r="M25" i="203"/>
  <c r="N25" i="203"/>
  <c r="J160" i="213"/>
  <c r="AB166" i="122" s="1"/>
  <c r="J121" i="223"/>
  <c r="AB228" i="122" s="1"/>
  <c r="L160" i="222"/>
  <c r="AD222" i="122" s="1"/>
  <c r="J160" i="200"/>
  <c r="AB75" i="122" s="1"/>
  <c r="L160" i="208"/>
  <c r="AD131" i="122" s="1"/>
  <c r="K160" i="208"/>
  <c r="AC131" i="122" s="1"/>
  <c r="J121" i="202"/>
  <c r="AB88" i="122" s="1"/>
  <c r="L121" i="225"/>
  <c r="AD249" i="122" s="1"/>
  <c r="L63" i="224"/>
  <c r="O61" i="228"/>
  <c r="L121" i="216"/>
  <c r="AD242" i="122" s="1"/>
  <c r="K160" i="224"/>
  <c r="AC236" i="122" s="1"/>
  <c r="J160" i="223"/>
  <c r="AB229" i="122" s="1"/>
  <c r="L160" i="215"/>
  <c r="AD180" i="122" s="1"/>
  <c r="K160" i="215"/>
  <c r="AC180" i="122" s="1"/>
  <c r="L121" i="213"/>
  <c r="AD165" i="122" s="1"/>
  <c r="K160" i="211"/>
  <c r="AC152" i="122" s="1"/>
  <c r="J160" i="211"/>
  <c r="AB152" i="122" s="1"/>
  <c r="L121" i="209"/>
  <c r="AD137" i="122" s="1"/>
  <c r="K121" i="209"/>
  <c r="AC137" i="122" s="1"/>
  <c r="D18" i="203"/>
  <c r="E20" i="113" s="1"/>
  <c r="K160" i="222"/>
  <c r="AC222" i="122" s="1"/>
  <c r="L160" i="210"/>
  <c r="AD145" i="122" s="1"/>
  <c r="L160" i="209"/>
  <c r="AD138" i="122" s="1"/>
  <c r="K160" i="225"/>
  <c r="AC250" i="122" s="1"/>
  <c r="J160" i="225"/>
  <c r="AB250" i="122" s="1"/>
  <c r="L121" i="222"/>
  <c r="AD221" i="122" s="1"/>
  <c r="L199" i="220"/>
  <c r="AD209" i="122" s="1"/>
  <c r="L199" i="219"/>
  <c r="AD202" i="122" s="1"/>
  <c r="K121" i="219"/>
  <c r="AC200" i="122" s="1"/>
  <c r="J121" i="219"/>
  <c r="AB200" i="122" s="1"/>
  <c r="K121" i="207"/>
  <c r="AC123" i="122" s="1"/>
  <c r="J121" i="207"/>
  <c r="AB123" i="122" s="1"/>
  <c r="L160" i="202"/>
  <c r="AD89" i="122" s="1"/>
  <c r="J160" i="201"/>
  <c r="AB82" i="122" s="1"/>
  <c r="J121" i="199"/>
  <c r="AB67" i="122" s="1"/>
  <c r="K121" i="223"/>
  <c r="AC228" i="122" s="1"/>
  <c r="L199" i="206"/>
  <c r="AD118" i="122" s="1"/>
  <c r="K199" i="206"/>
  <c r="AC118" i="122" s="1"/>
  <c r="L160" i="206"/>
  <c r="AD117" i="122" s="1"/>
  <c r="J199" i="205"/>
  <c r="AB111" i="122" s="1"/>
  <c r="J27" i="203"/>
  <c r="E20" i="123" s="1"/>
  <c r="L121" i="214"/>
  <c r="AD172" i="122" s="1"/>
  <c r="J121" i="204"/>
  <c r="AB102" i="122" s="1"/>
  <c r="B18" i="203"/>
  <c r="C20" i="113" s="1"/>
  <c r="L121" i="201"/>
  <c r="AD81" i="122" s="1"/>
  <c r="K199" i="205"/>
  <c r="AC111" i="122" s="1"/>
  <c r="J160" i="217"/>
  <c r="AB187" i="122" s="1"/>
  <c r="L121" i="215"/>
  <c r="AD179" i="122" s="1"/>
  <c r="J121" i="208"/>
  <c r="AB130" i="122" s="1"/>
  <c r="J121" i="214"/>
  <c r="AB172" i="122" s="1"/>
  <c r="C18" i="203"/>
  <c r="D20" i="113" s="1"/>
  <c r="L160" i="219"/>
  <c r="AD201" i="122" s="1"/>
  <c r="K160" i="219"/>
  <c r="AC201" i="122" s="1"/>
  <c r="J160" i="214"/>
  <c r="AB173" i="122" s="1"/>
  <c r="L160" i="212"/>
  <c r="AD159" i="122" s="1"/>
  <c r="J199" i="218"/>
  <c r="AB195" i="122" s="1"/>
  <c r="L19" i="203"/>
  <c r="L20" i="123" s="1"/>
  <c r="K19" i="203"/>
  <c r="H20" i="123" s="1"/>
  <c r="L277" i="204"/>
  <c r="AD106" i="122" s="1"/>
  <c r="K160" i="212"/>
  <c r="AC159" i="122" s="1"/>
  <c r="L160" i="216"/>
  <c r="AD243" i="122" s="1"/>
  <c r="K160" i="216"/>
  <c r="AC243" i="122" s="1"/>
  <c r="J160" i="207"/>
  <c r="AB124" i="122" s="1"/>
  <c r="F21" i="123"/>
  <c r="K121" i="225"/>
  <c r="AC249" i="122" s="1"/>
  <c r="L160" i="213"/>
  <c r="AD166" i="122" s="1"/>
  <c r="K121" i="208"/>
  <c r="AC130" i="122" s="1"/>
  <c r="K121" i="204"/>
  <c r="AC102" i="122" s="1"/>
  <c r="K27" i="203"/>
  <c r="I20" i="123" s="1"/>
  <c r="L27" i="203"/>
  <c r="M20" i="123" s="1"/>
  <c r="L160" i="203"/>
  <c r="AD96" i="122" s="1"/>
  <c r="J160" i="219"/>
  <c r="AB201" i="122" s="1"/>
  <c r="L160" i="214"/>
  <c r="AD173" i="122" s="1"/>
  <c r="K160" i="214"/>
  <c r="AC173" i="122" s="1"/>
  <c r="K277" i="204"/>
  <c r="AC106" i="122" s="1"/>
  <c r="J277" i="204"/>
  <c r="AB106" i="122" s="1"/>
  <c r="J160" i="216"/>
  <c r="AB243" i="122" s="1"/>
  <c r="L199" i="218"/>
  <c r="AD195" i="122" s="1"/>
  <c r="K199" i="218"/>
  <c r="AC195" i="122" s="1"/>
  <c r="L244" i="199"/>
  <c r="L160" i="225"/>
  <c r="AD250" i="122" s="1"/>
  <c r="K121" i="222"/>
  <c r="AC221" i="122" s="1"/>
  <c r="J121" i="222"/>
  <c r="AB221" i="122" s="1"/>
  <c r="K199" i="220"/>
  <c r="AC209" i="122" s="1"/>
  <c r="J199" i="220"/>
  <c r="AB209" i="122" s="1"/>
  <c r="K199" i="219"/>
  <c r="AC202" i="122" s="1"/>
  <c r="J199" i="219"/>
  <c r="AB202" i="122" s="1"/>
  <c r="L121" i="219"/>
  <c r="AD200" i="122" s="1"/>
  <c r="L121" i="207"/>
  <c r="AD123" i="122" s="1"/>
  <c r="K160" i="202"/>
  <c r="AC89" i="122" s="1"/>
  <c r="J160" i="202"/>
  <c r="AB89" i="122" s="1"/>
  <c r="L160" i="201"/>
  <c r="AD82" i="122" s="1"/>
  <c r="K160" i="201"/>
  <c r="AC82" i="122" s="1"/>
  <c r="L121" i="223"/>
  <c r="AD228" i="122" s="1"/>
  <c r="J160" i="222"/>
  <c r="AB222" i="122" s="1"/>
  <c r="K160" i="210"/>
  <c r="AC145" i="122" s="1"/>
  <c r="J160" i="210"/>
  <c r="AB145" i="122" s="1"/>
  <c r="K160" i="209"/>
  <c r="AC138" i="122" s="1"/>
  <c r="J160" i="209"/>
  <c r="AB138" i="122" s="1"/>
  <c r="J199" i="206"/>
  <c r="AB118" i="122" s="1"/>
  <c r="K160" i="206"/>
  <c r="AC117" i="122" s="1"/>
  <c r="J160" i="206"/>
  <c r="AB117" i="122" s="1"/>
  <c r="L199" i="205"/>
  <c r="AD111" i="122" s="1"/>
  <c r="L160" i="200"/>
  <c r="AD75" i="122" s="1"/>
  <c r="K160" i="200"/>
  <c r="AC75" i="122" s="1"/>
  <c r="K121" i="216"/>
  <c r="AC242" i="122" s="1"/>
  <c r="J121" i="216"/>
  <c r="AB242" i="122" s="1"/>
  <c r="L160" i="224"/>
  <c r="AD236" i="122" s="1"/>
  <c r="L160" i="223"/>
  <c r="AD229" i="122" s="1"/>
  <c r="K160" i="223"/>
  <c r="AC229" i="122" s="1"/>
  <c r="J160" i="215"/>
  <c r="AB180" i="122" s="1"/>
  <c r="K121" i="213"/>
  <c r="AC165" i="122" s="1"/>
  <c r="J121" i="213"/>
  <c r="AB165" i="122" s="1"/>
  <c r="L160" i="211"/>
  <c r="AD152" i="122" s="1"/>
  <c r="J121" i="209"/>
  <c r="AB137" i="122" s="1"/>
  <c r="J160" i="208"/>
  <c r="AB131" i="122" s="1"/>
  <c r="L121" i="202"/>
  <c r="AD88" i="122" s="1"/>
  <c r="K121" i="202"/>
  <c r="AC88" i="122" s="1"/>
  <c r="L277" i="198"/>
  <c r="AD64" i="122" s="1"/>
  <c r="K277" i="198"/>
  <c r="AC64" i="122" s="1"/>
  <c r="J121" i="225"/>
  <c r="AB249" i="122" s="1"/>
  <c r="K160" i="217"/>
  <c r="AC187" i="122" s="1"/>
  <c r="K160" i="213"/>
  <c r="AC166" i="122" s="1"/>
  <c r="L121" i="208"/>
  <c r="AD130" i="122" s="1"/>
  <c r="L121" i="204"/>
  <c r="AD102" i="122" s="1"/>
  <c r="K121" i="201"/>
  <c r="AC81" i="122" s="1"/>
  <c r="J121" i="201"/>
  <c r="AB81" i="122" s="1"/>
  <c r="D6" i="183"/>
  <c r="E6" i="126"/>
  <c r="G6" i="123"/>
  <c r="M283" i="203"/>
  <c r="AE99" i="122"/>
  <c r="M199" i="203"/>
  <c r="Q23" i="123"/>
  <c r="R23" i="123" s="1"/>
  <c r="O121" i="203"/>
  <c r="Y22" i="123"/>
  <c r="AG99" i="122"/>
  <c r="O283" i="203"/>
  <c r="U24" i="123"/>
  <c r="V24" i="123" s="1"/>
  <c r="N238" i="203"/>
  <c r="Y23" i="123"/>
  <c r="Z23" i="123" s="1"/>
  <c r="O199" i="203"/>
  <c r="AF96" i="122"/>
  <c r="N166" i="203"/>
  <c r="M121" i="203"/>
  <c r="Q22" i="123"/>
  <c r="R22" i="123" s="1"/>
  <c r="V98" i="122"/>
  <c r="D24" i="113"/>
  <c r="G24" i="123" s="1"/>
  <c r="C258" i="203"/>
  <c r="U98" i="122"/>
  <c r="B258" i="203"/>
  <c r="C24" i="113"/>
  <c r="C24" i="123" s="1"/>
  <c r="L23" i="123"/>
  <c r="L199" i="203"/>
  <c r="AD97" i="122" s="1"/>
  <c r="V96" i="122"/>
  <c r="K166" i="203"/>
  <c r="C180" i="203"/>
  <c r="H22" i="123"/>
  <c r="K121" i="203"/>
  <c r="AC95" i="122" s="1"/>
  <c r="W98" i="122"/>
  <c r="E24" i="113"/>
  <c r="K24" i="123" s="1"/>
  <c r="D258" i="203"/>
  <c r="H23" i="123"/>
  <c r="K199" i="203"/>
  <c r="AC97" i="122" s="1"/>
  <c r="L22" i="123"/>
  <c r="L121" i="203"/>
  <c r="AD95" i="122" s="1"/>
  <c r="D70" i="113"/>
  <c r="G70" i="123" s="1"/>
  <c r="C180" i="220"/>
  <c r="V208" i="122"/>
  <c r="L70" i="123"/>
  <c r="L160" i="220"/>
  <c r="AD208" i="122" s="1"/>
  <c r="B180" i="220"/>
  <c r="C70" i="113"/>
  <c r="C70" i="123" s="1"/>
  <c r="U208" i="122"/>
  <c r="H70" i="123"/>
  <c r="K160" i="220"/>
  <c r="AC208" i="122" s="1"/>
  <c r="Y70" i="123"/>
  <c r="Z70" i="123" s="1"/>
  <c r="O160" i="220"/>
  <c r="D68" i="123"/>
  <c r="J19" i="220"/>
  <c r="D67" i="123" s="1"/>
  <c r="J82" i="220"/>
  <c r="J88" i="220" s="1"/>
  <c r="N25" i="220"/>
  <c r="N80" i="220"/>
  <c r="M68" i="123"/>
  <c r="L27" i="220"/>
  <c r="M67" i="123" s="1"/>
  <c r="O95" i="220"/>
  <c r="O37" i="220"/>
  <c r="O41" i="220" s="1"/>
  <c r="D18" i="220"/>
  <c r="E67" i="113" s="1"/>
  <c r="E68" i="113"/>
  <c r="K68" i="123" s="1"/>
  <c r="D102" i="220"/>
  <c r="W206" i="122"/>
  <c r="M80" i="220"/>
  <c r="M25" i="220"/>
  <c r="I68" i="123"/>
  <c r="K27" i="220"/>
  <c r="I67" i="123" s="1"/>
  <c r="V201" i="122"/>
  <c r="K166" i="219"/>
  <c r="C180" i="219"/>
  <c r="U201" i="122"/>
  <c r="J166" i="219"/>
  <c r="B180" i="219"/>
  <c r="AG201" i="122"/>
  <c r="O166" i="219"/>
  <c r="AF173" i="122"/>
  <c r="N166" i="214"/>
  <c r="W173" i="122"/>
  <c r="D180" i="214"/>
  <c r="AE173" i="122"/>
  <c r="M166" i="214"/>
  <c r="C102" i="207"/>
  <c r="D38" i="113"/>
  <c r="G38" i="123" s="1"/>
  <c r="C18" i="207"/>
  <c r="D37" i="113" s="1"/>
  <c r="V122" i="122"/>
  <c r="L38" i="123"/>
  <c r="L82" i="207"/>
  <c r="L88" i="207" s="1"/>
  <c r="L19" i="207"/>
  <c r="L37" i="123" s="1"/>
  <c r="E38" i="123"/>
  <c r="J27" i="207"/>
  <c r="E37" i="123" s="1"/>
  <c r="N95" i="207"/>
  <c r="N37" i="207"/>
  <c r="N41" i="207" s="1"/>
  <c r="W122" i="122"/>
  <c r="D18" i="207"/>
  <c r="E37" i="113" s="1"/>
  <c r="E38" i="113"/>
  <c r="K38" i="123" s="1"/>
  <c r="D102" i="207"/>
  <c r="M80" i="207"/>
  <c r="M25" i="207"/>
  <c r="I38" i="123"/>
  <c r="K27" i="207"/>
  <c r="I37" i="123" s="1"/>
  <c r="O95" i="207"/>
  <c r="O37" i="207"/>
  <c r="O41" i="207" s="1"/>
  <c r="C102" i="210"/>
  <c r="D44" i="113"/>
  <c r="G44" i="123" s="1"/>
  <c r="C18" i="210"/>
  <c r="D43" i="113" s="1"/>
  <c r="V143" i="122"/>
  <c r="L44" i="123"/>
  <c r="L82" i="210"/>
  <c r="L88" i="210" s="1"/>
  <c r="L19" i="210"/>
  <c r="L43" i="123" s="1"/>
  <c r="E44" i="123"/>
  <c r="J27" i="210"/>
  <c r="E43" i="123" s="1"/>
  <c r="M95" i="210"/>
  <c r="M37" i="210"/>
  <c r="M41" i="210" s="1"/>
  <c r="U143" i="122"/>
  <c r="B18" i="210"/>
  <c r="C43" i="113" s="1"/>
  <c r="C44" i="113"/>
  <c r="C44" i="123" s="1"/>
  <c r="B102" i="210"/>
  <c r="H44" i="123"/>
  <c r="K19" i="210"/>
  <c r="H43" i="123" s="1"/>
  <c r="K82" i="210"/>
  <c r="K88" i="210" s="1"/>
  <c r="O80" i="210"/>
  <c r="O25" i="210"/>
  <c r="N95" i="210"/>
  <c r="N37" i="210"/>
  <c r="N41" i="210" s="1"/>
  <c r="W106" i="122"/>
  <c r="L283" i="204"/>
  <c r="D297" i="204"/>
  <c r="AE106" i="122"/>
  <c r="M283" i="204"/>
  <c r="V106" i="122"/>
  <c r="C297" i="204"/>
  <c r="U62" i="122"/>
  <c r="B219" i="198"/>
  <c r="C9" i="113"/>
  <c r="C9" i="123" s="1"/>
  <c r="H9" i="123"/>
  <c r="K199" i="198"/>
  <c r="AC62" i="122" s="1"/>
  <c r="Y9" i="123"/>
  <c r="Z9" i="123" s="1"/>
  <c r="O199" i="198"/>
  <c r="D9" i="123"/>
  <c r="J199" i="198"/>
  <c r="AB62" i="122" s="1"/>
  <c r="U9" i="123"/>
  <c r="V9" i="123" s="1"/>
  <c r="N199" i="198"/>
  <c r="I35" i="2"/>
  <c r="AX31" i="234"/>
  <c r="D79" i="123"/>
  <c r="J82" i="216"/>
  <c r="J88" i="216" s="1"/>
  <c r="J19" i="216"/>
  <c r="D78" i="123" s="1"/>
  <c r="N80" i="216"/>
  <c r="N25" i="216"/>
  <c r="M79" i="123"/>
  <c r="L27" i="216"/>
  <c r="M78" i="123" s="1"/>
  <c r="O95" i="216"/>
  <c r="O37" i="216"/>
  <c r="O41" i="216" s="1"/>
  <c r="D102" i="216"/>
  <c r="D18" i="216"/>
  <c r="E78" i="113" s="1"/>
  <c r="E79" i="113"/>
  <c r="K79" i="123" s="1"/>
  <c r="W241" i="122"/>
  <c r="M80" i="216"/>
  <c r="M25" i="216"/>
  <c r="I79" i="123"/>
  <c r="K27" i="216"/>
  <c r="I78" i="123" s="1"/>
  <c r="V159" i="122"/>
  <c r="C180" i="212"/>
  <c r="U159" i="122"/>
  <c r="B180" i="212"/>
  <c r="AG159" i="122"/>
  <c r="O166" i="212"/>
  <c r="D51" i="123"/>
  <c r="J121" i="212"/>
  <c r="AB158" i="122" s="1"/>
  <c r="U51" i="123"/>
  <c r="N121" i="212"/>
  <c r="U158" i="122"/>
  <c r="C51" i="113"/>
  <c r="C51" i="123" s="1"/>
  <c r="B141" i="212"/>
  <c r="H51" i="123"/>
  <c r="K121" i="212"/>
  <c r="AC158" i="122" s="1"/>
  <c r="Y51" i="123"/>
  <c r="Z51" i="123" s="1"/>
  <c r="O121" i="212"/>
  <c r="D48" i="113"/>
  <c r="G48" i="123" s="1"/>
  <c r="V151" i="122"/>
  <c r="C141" i="211"/>
  <c r="L48" i="123"/>
  <c r="L121" i="211"/>
  <c r="AD151" i="122" s="1"/>
  <c r="B141" i="211"/>
  <c r="C48" i="113"/>
  <c r="C48" i="123" s="1"/>
  <c r="U151" i="122"/>
  <c r="H48" i="123"/>
  <c r="K121" i="211"/>
  <c r="AC151" i="122" s="1"/>
  <c r="Y48" i="123"/>
  <c r="Z48" i="123" s="1"/>
  <c r="O121" i="211"/>
  <c r="D15" i="123"/>
  <c r="J19" i="200"/>
  <c r="D14" i="123" s="1"/>
  <c r="J82" i="200"/>
  <c r="J88" i="200" s="1"/>
  <c r="E15" i="123"/>
  <c r="J27" i="200"/>
  <c r="E14" i="123" s="1"/>
  <c r="M95" i="200"/>
  <c r="M37" i="200"/>
  <c r="M41" i="200" s="1"/>
  <c r="U73" i="122"/>
  <c r="B102" i="200"/>
  <c r="B18" i="200"/>
  <c r="C14" i="113" s="1"/>
  <c r="C15" i="113"/>
  <c r="C15" i="123" s="1"/>
  <c r="H15" i="123"/>
  <c r="K19" i="200"/>
  <c r="H14" i="123" s="1"/>
  <c r="K82" i="200"/>
  <c r="K88" i="200" s="1"/>
  <c r="I15" i="123"/>
  <c r="K27" i="200"/>
  <c r="I14" i="123" s="1"/>
  <c r="J88" i="199"/>
  <c r="AB66" i="122"/>
  <c r="V243" i="122"/>
  <c r="C180" i="216"/>
  <c r="U243" i="122"/>
  <c r="B180" i="216"/>
  <c r="AG243" i="122"/>
  <c r="O166" i="216"/>
  <c r="AF195" i="122"/>
  <c r="N205" i="218"/>
  <c r="W195" i="122"/>
  <c r="D219" i="218"/>
  <c r="AE195" i="122"/>
  <c r="M205" i="218"/>
  <c r="C141" i="218"/>
  <c r="D63" i="113"/>
  <c r="G63" i="123" s="1"/>
  <c r="V193" i="122"/>
  <c r="L63" i="123"/>
  <c r="L121" i="218"/>
  <c r="AD193" i="122" s="1"/>
  <c r="U193" i="122"/>
  <c r="B141" i="218"/>
  <c r="C63" i="113"/>
  <c r="C63" i="123" s="1"/>
  <c r="H63" i="123"/>
  <c r="K121" i="218"/>
  <c r="AC193" i="122" s="1"/>
  <c r="Y63" i="123"/>
  <c r="Z63" i="123" s="1"/>
  <c r="O121" i="218"/>
  <c r="D62" i="123"/>
  <c r="J19" i="218"/>
  <c r="D61" i="123" s="1"/>
  <c r="J82" i="218"/>
  <c r="J88" i="218" s="1"/>
  <c r="N25" i="218"/>
  <c r="N80" i="218"/>
  <c r="M62" i="123"/>
  <c r="L27" i="218"/>
  <c r="M61" i="123" s="1"/>
  <c r="B102" i="218"/>
  <c r="B18" i="218"/>
  <c r="C61" i="113" s="1"/>
  <c r="C62" i="113"/>
  <c r="C62" i="123" s="1"/>
  <c r="U192" i="122"/>
  <c r="H62" i="123"/>
  <c r="K82" i="218"/>
  <c r="K88" i="218" s="1"/>
  <c r="K19" i="218"/>
  <c r="H61" i="123" s="1"/>
  <c r="O80" i="218"/>
  <c r="O25" i="218"/>
  <c r="M95" i="218"/>
  <c r="M37" i="218"/>
  <c r="M41" i="218" s="1"/>
  <c r="D55" i="113"/>
  <c r="G55" i="123" s="1"/>
  <c r="C102" i="214"/>
  <c r="C18" i="214"/>
  <c r="D54" i="113" s="1"/>
  <c r="V171" i="122"/>
  <c r="L55" i="123"/>
  <c r="L82" i="214"/>
  <c r="L88" i="214" s="1"/>
  <c r="L19" i="214"/>
  <c r="L54" i="123" s="1"/>
  <c r="E55" i="123"/>
  <c r="J27" i="214"/>
  <c r="E54" i="123" s="1"/>
  <c r="N95" i="214"/>
  <c r="N37" i="214"/>
  <c r="N41" i="214" s="1"/>
  <c r="E55" i="113"/>
  <c r="K55" i="123" s="1"/>
  <c r="D18" i="214"/>
  <c r="E54" i="113" s="1"/>
  <c r="W171" i="122"/>
  <c r="D102" i="214"/>
  <c r="M80" i="214"/>
  <c r="M25" i="214"/>
  <c r="I55" i="123"/>
  <c r="K27" i="214"/>
  <c r="I54" i="123" s="1"/>
  <c r="O95" i="214"/>
  <c r="O37" i="214"/>
  <c r="O41" i="214" s="1"/>
  <c r="AF124" i="122"/>
  <c r="N166" i="207"/>
  <c r="W124" i="122"/>
  <c r="D180" i="207"/>
  <c r="AE124" i="122"/>
  <c r="M166" i="207"/>
  <c r="V103" i="122"/>
  <c r="C180" i="204"/>
  <c r="D27" i="113"/>
  <c r="G27" i="123" s="1"/>
  <c r="L27" i="123"/>
  <c r="L160" i="204"/>
  <c r="AD103" i="122" s="1"/>
  <c r="U103" i="122"/>
  <c r="C27" i="113"/>
  <c r="C27" i="123" s="1"/>
  <c r="B180" i="204"/>
  <c r="H27" i="123"/>
  <c r="K160" i="204"/>
  <c r="AC103" i="122" s="1"/>
  <c r="Y27" i="123"/>
  <c r="Z27" i="123" s="1"/>
  <c r="O160" i="204"/>
  <c r="D26" i="123"/>
  <c r="J82" i="204"/>
  <c r="J88" i="204" s="1"/>
  <c r="J19" i="204"/>
  <c r="D25" i="123" s="1"/>
  <c r="N80" i="204"/>
  <c r="N25" i="204"/>
  <c r="M26" i="123"/>
  <c r="L27" i="204"/>
  <c r="M25" i="123" s="1"/>
  <c r="O95" i="204"/>
  <c r="O37" i="204"/>
  <c r="O41" i="204" s="1"/>
  <c r="W101" i="122"/>
  <c r="E26" i="113"/>
  <c r="K26" i="123" s="1"/>
  <c r="D18" i="204"/>
  <c r="E25" i="113" s="1"/>
  <c r="D102" i="204"/>
  <c r="M80" i="204"/>
  <c r="M25" i="204"/>
  <c r="I26" i="123"/>
  <c r="K27" i="204"/>
  <c r="I25" i="123" s="1"/>
  <c r="AD59" i="122"/>
  <c r="L88" i="198"/>
  <c r="AC59" i="122"/>
  <c r="K88" i="198"/>
  <c r="AB63" i="122"/>
  <c r="J244" i="198"/>
  <c r="AB74" i="122"/>
  <c r="J127" i="200"/>
  <c r="AC70" i="122"/>
  <c r="K244" i="199"/>
  <c r="U250" i="122"/>
  <c r="B180" i="225"/>
  <c r="AG250" i="122"/>
  <c r="O166" i="225"/>
  <c r="AF250" i="122"/>
  <c r="N166" i="225"/>
  <c r="W221" i="122"/>
  <c r="D141" i="222"/>
  <c r="AE221" i="122"/>
  <c r="M127" i="222"/>
  <c r="V221" i="122"/>
  <c r="C141" i="222"/>
  <c r="B102" i="222"/>
  <c r="C72" i="113"/>
  <c r="C72" i="123" s="1"/>
  <c r="B18" i="222"/>
  <c r="C71" i="113" s="1"/>
  <c r="U220" i="122"/>
  <c r="H72" i="123"/>
  <c r="K82" i="222"/>
  <c r="K88" i="222" s="1"/>
  <c r="K19" i="222"/>
  <c r="H71" i="123" s="1"/>
  <c r="O80" i="222"/>
  <c r="O25" i="222"/>
  <c r="N95" i="222"/>
  <c r="N37" i="222"/>
  <c r="N41" i="222" s="1"/>
  <c r="D72" i="123"/>
  <c r="J19" i="222"/>
  <c r="D71" i="123" s="1"/>
  <c r="J82" i="222"/>
  <c r="N80" i="222"/>
  <c r="N25" i="222"/>
  <c r="M72" i="123"/>
  <c r="L27" i="222"/>
  <c r="M71" i="123" s="1"/>
  <c r="O95" i="222"/>
  <c r="O37" i="222"/>
  <c r="O41" i="222" s="1"/>
  <c r="W209" i="122"/>
  <c r="D219" i="220"/>
  <c r="AE209" i="122"/>
  <c r="M205" i="220"/>
  <c r="V209" i="122"/>
  <c r="C219" i="220"/>
  <c r="B141" i="220"/>
  <c r="C69" i="113"/>
  <c r="C69" i="123" s="1"/>
  <c r="U207" i="122"/>
  <c r="H69" i="123"/>
  <c r="K121" i="220"/>
  <c r="AC207" i="122" s="1"/>
  <c r="Y69" i="123"/>
  <c r="O121" i="220"/>
  <c r="D69" i="123"/>
  <c r="J121" i="220"/>
  <c r="AB207" i="122" s="1"/>
  <c r="U69" i="123"/>
  <c r="N121" i="220"/>
  <c r="W202" i="122"/>
  <c r="D219" i="219"/>
  <c r="V202" i="122"/>
  <c r="C219" i="219"/>
  <c r="AE202" i="122"/>
  <c r="M205" i="219"/>
  <c r="U200" i="122"/>
  <c r="B141" i="219"/>
  <c r="I8" i="183"/>
  <c r="G4" i="230" s="1"/>
  <c r="K8" i="183"/>
  <c r="M8" i="183"/>
  <c r="H4" i="230" s="1"/>
  <c r="AG22" i="234"/>
  <c r="K277" i="203"/>
  <c r="F11" i="123"/>
  <c r="M37" i="198"/>
  <c r="M41" i="198" s="1"/>
  <c r="O25" i="198"/>
  <c r="B18" i="198"/>
  <c r="C6" i="113" s="1"/>
  <c r="O238" i="203"/>
  <c r="Y24" i="123"/>
  <c r="Z24" i="123" s="1"/>
  <c r="O166" i="203"/>
  <c r="AG96" i="122"/>
  <c r="N121" i="203"/>
  <c r="U22" i="123"/>
  <c r="AF99" i="122"/>
  <c r="N283" i="203"/>
  <c r="Q24" i="123"/>
  <c r="R24" i="123" s="1"/>
  <c r="M238" i="203"/>
  <c r="U23" i="123"/>
  <c r="V23" i="123" s="1"/>
  <c r="N199" i="203"/>
  <c r="AE96" i="122"/>
  <c r="M166" i="203"/>
  <c r="W99" i="122"/>
  <c r="L283" i="203"/>
  <c r="D297" i="203"/>
  <c r="V99" i="122"/>
  <c r="C297" i="203"/>
  <c r="L24" i="123"/>
  <c r="L238" i="203"/>
  <c r="AD98" i="122" s="1"/>
  <c r="H24" i="123"/>
  <c r="K238" i="203"/>
  <c r="AC98" i="122" s="1"/>
  <c r="W97" i="122"/>
  <c r="D219" i="203"/>
  <c r="E23" i="113"/>
  <c r="K23" i="123" s="1"/>
  <c r="V97" i="122"/>
  <c r="D23" i="113"/>
  <c r="G23" i="123" s="1"/>
  <c r="C219" i="203"/>
  <c r="U96" i="122"/>
  <c r="B180" i="203"/>
  <c r="U95" i="122"/>
  <c r="B141" i="203"/>
  <c r="C22" i="113"/>
  <c r="C22" i="123" s="1"/>
  <c r="D22" i="123"/>
  <c r="J121" i="203"/>
  <c r="AB95" i="122" s="1"/>
  <c r="U99" i="122"/>
  <c r="B297" i="203"/>
  <c r="D24" i="123"/>
  <c r="J238" i="203"/>
  <c r="AB98" i="122" s="1"/>
  <c r="U97" i="122"/>
  <c r="C23" i="113"/>
  <c r="C23" i="123" s="1"/>
  <c r="B219" i="203"/>
  <c r="D23" i="123"/>
  <c r="J199" i="203"/>
  <c r="AB97" i="122" s="1"/>
  <c r="W96" i="122"/>
  <c r="D180" i="203"/>
  <c r="W95" i="122"/>
  <c r="D141" i="203"/>
  <c r="E22" i="113"/>
  <c r="K22" i="123" s="1"/>
  <c r="V95" i="122"/>
  <c r="C141" i="203"/>
  <c r="D22" i="113"/>
  <c r="G22" i="123" s="1"/>
  <c r="D70" i="123"/>
  <c r="J160" i="220"/>
  <c r="AB208" i="122" s="1"/>
  <c r="U70" i="123"/>
  <c r="V70" i="123" s="1"/>
  <c r="N160" i="220"/>
  <c r="D180" i="220"/>
  <c r="E70" i="113"/>
  <c r="K70" i="123" s="1"/>
  <c r="W208" i="122"/>
  <c r="Q70" i="123"/>
  <c r="R70" i="123" s="1"/>
  <c r="M160" i="220"/>
  <c r="V206" i="122"/>
  <c r="C18" i="220"/>
  <c r="D67" i="113" s="1"/>
  <c r="D68" i="113"/>
  <c r="G68" i="123" s="1"/>
  <c r="C102" i="220"/>
  <c r="L68" i="123"/>
  <c r="L19" i="220"/>
  <c r="L67" i="123" s="1"/>
  <c r="L82" i="220"/>
  <c r="E68" i="123"/>
  <c r="J27" i="220"/>
  <c r="E67" i="123" s="1"/>
  <c r="M95" i="220"/>
  <c r="M37" i="220"/>
  <c r="M41" i="220" s="1"/>
  <c r="C68" i="113"/>
  <c r="C68" i="123" s="1"/>
  <c r="B18" i="220"/>
  <c r="C67" i="113" s="1"/>
  <c r="U206" i="122"/>
  <c r="B102" i="220"/>
  <c r="H68" i="123"/>
  <c r="K19" i="220"/>
  <c r="H67" i="123" s="1"/>
  <c r="K82" i="220"/>
  <c r="O80" i="220"/>
  <c r="O25" i="220"/>
  <c r="N95" i="220"/>
  <c r="N37" i="220"/>
  <c r="N41" i="220" s="1"/>
  <c r="AF201" i="122"/>
  <c r="N166" i="219"/>
  <c r="W201" i="122"/>
  <c r="D180" i="219"/>
  <c r="AE201" i="122"/>
  <c r="M166" i="219"/>
  <c r="V173" i="122"/>
  <c r="C180" i="214"/>
  <c r="U173" i="122"/>
  <c r="B180" i="214"/>
  <c r="AG173" i="122"/>
  <c r="O166" i="214"/>
  <c r="D38" i="123"/>
  <c r="J19" i="207"/>
  <c r="D37" i="123" s="1"/>
  <c r="J82" i="207"/>
  <c r="J88" i="207" s="1"/>
  <c r="N80" i="207"/>
  <c r="N25" i="207"/>
  <c r="M38" i="123"/>
  <c r="L27" i="207"/>
  <c r="M37" i="123" s="1"/>
  <c r="B18" i="207"/>
  <c r="C37" i="113" s="1"/>
  <c r="U122" i="122"/>
  <c r="B102" i="207"/>
  <c r="C38" i="113"/>
  <c r="C38" i="123" s="1"/>
  <c r="H38" i="123"/>
  <c r="K19" i="207"/>
  <c r="H37" i="123" s="1"/>
  <c r="K82" i="207"/>
  <c r="O80" i="207"/>
  <c r="O25" i="207"/>
  <c r="M95" i="207"/>
  <c r="M37" i="207"/>
  <c r="M41" i="207" s="1"/>
  <c r="AD68" i="122"/>
  <c r="L166" i="199"/>
  <c r="AE68" i="122"/>
  <c r="M166" i="199"/>
  <c r="D44" i="123"/>
  <c r="J82" i="210"/>
  <c r="J19" i="210"/>
  <c r="D43" i="123" s="1"/>
  <c r="N80" i="210"/>
  <c r="N25" i="210"/>
  <c r="M44" i="123"/>
  <c r="L27" i="210"/>
  <c r="M43" i="123" s="1"/>
  <c r="O95" i="210"/>
  <c r="O37" i="210"/>
  <c r="O41" i="210" s="1"/>
  <c r="W143" i="122"/>
  <c r="D102" i="210"/>
  <c r="E44" i="113"/>
  <c r="K44" i="123" s="1"/>
  <c r="D18" i="210"/>
  <c r="E43" i="113" s="1"/>
  <c r="M80" i="210"/>
  <c r="M25" i="210"/>
  <c r="I44" i="123"/>
  <c r="K27" i="210"/>
  <c r="I43" i="123" s="1"/>
  <c r="U106" i="122"/>
  <c r="B297" i="204"/>
  <c r="AG106" i="122"/>
  <c r="O283" i="204"/>
  <c r="AF106" i="122"/>
  <c r="N283" i="204"/>
  <c r="W62" i="122"/>
  <c r="D219" i="198"/>
  <c r="E9" i="113"/>
  <c r="K9" i="123" s="1"/>
  <c r="Q9" i="123"/>
  <c r="R9" i="123" s="1"/>
  <c r="M199" i="198"/>
  <c r="V62" i="122"/>
  <c r="D9" i="113"/>
  <c r="G9" i="123" s="1"/>
  <c r="C219" i="198"/>
  <c r="L9" i="123"/>
  <c r="L199" i="198"/>
  <c r="AD62" i="122" s="1"/>
  <c r="V241" i="122"/>
  <c r="C18" i="216"/>
  <c r="D78" i="113" s="1"/>
  <c r="D79" i="113"/>
  <c r="G79" i="123" s="1"/>
  <c r="C102" i="216"/>
  <c r="L79" i="123"/>
  <c r="L19" i="216"/>
  <c r="L78" i="123" s="1"/>
  <c r="L82" i="216"/>
  <c r="E79" i="123"/>
  <c r="J27" i="216"/>
  <c r="E78" i="123" s="1"/>
  <c r="M95" i="216"/>
  <c r="M37" i="216"/>
  <c r="M41" i="216" s="1"/>
  <c r="B102" i="216"/>
  <c r="C79" i="113"/>
  <c r="C79" i="123" s="1"/>
  <c r="B18" i="216"/>
  <c r="C78" i="113" s="1"/>
  <c r="U241" i="122"/>
  <c r="H79" i="123"/>
  <c r="K82" i="216"/>
  <c r="K88" i="216" s="1"/>
  <c r="K19" i="216"/>
  <c r="H78" i="123" s="1"/>
  <c r="O80" i="216"/>
  <c r="O25" i="216"/>
  <c r="N95" i="216"/>
  <c r="N37" i="216"/>
  <c r="N41" i="216" s="1"/>
  <c r="AF159" i="122"/>
  <c r="N166" i="212"/>
  <c r="W159" i="122"/>
  <c r="D180" i="212"/>
  <c r="AE159" i="122"/>
  <c r="M166" i="212"/>
  <c r="C141" i="212"/>
  <c r="D51" i="113"/>
  <c r="G51" i="123" s="1"/>
  <c r="V158" i="122"/>
  <c r="L51" i="123"/>
  <c r="L121" i="212"/>
  <c r="AD158" i="122" s="1"/>
  <c r="W158" i="122"/>
  <c r="D141" i="212"/>
  <c r="E51" i="113"/>
  <c r="K51" i="123" s="1"/>
  <c r="Q51" i="123"/>
  <c r="R51" i="123" s="1"/>
  <c r="M121" i="212"/>
  <c r="D48" i="123"/>
  <c r="J121" i="211"/>
  <c r="AB151" i="122" s="1"/>
  <c r="U48" i="123"/>
  <c r="V48" i="123" s="1"/>
  <c r="N121" i="211"/>
  <c r="D141" i="211"/>
  <c r="E48" i="113"/>
  <c r="K48" i="123" s="1"/>
  <c r="W151" i="122"/>
  <c r="Q48" i="123"/>
  <c r="R48" i="123" s="1"/>
  <c r="M121" i="211"/>
  <c r="V73" i="122"/>
  <c r="C18" i="200"/>
  <c r="D14" i="113" s="1"/>
  <c r="C102" i="200"/>
  <c r="D15" i="113"/>
  <c r="G15" i="123" s="1"/>
  <c r="L15" i="123"/>
  <c r="L19" i="200"/>
  <c r="L14" i="123" s="1"/>
  <c r="L82" i="200"/>
  <c r="L88" i="200" s="1"/>
  <c r="M15" i="123"/>
  <c r="L27" i="200"/>
  <c r="M14" i="123" s="1"/>
  <c r="O95" i="200"/>
  <c r="O37" i="200"/>
  <c r="O41" i="200" s="1"/>
  <c r="W73" i="122"/>
  <c r="D18" i="200"/>
  <c r="E14" i="113" s="1"/>
  <c r="E15" i="113"/>
  <c r="K15" i="123" s="1"/>
  <c r="D102" i="200"/>
  <c r="M80" i="200"/>
  <c r="M25" i="200"/>
  <c r="N95" i="200"/>
  <c r="N37" i="200"/>
  <c r="N41" i="200" s="1"/>
  <c r="U11" i="123"/>
  <c r="V11" i="123" s="1"/>
  <c r="N82" i="199"/>
  <c r="N27" i="199"/>
  <c r="U10" i="123" s="1"/>
  <c r="V10" i="123" s="1"/>
  <c r="H5" i="163" s="1"/>
  <c r="Y11" i="123"/>
  <c r="Z11" i="123" s="1"/>
  <c r="O27" i="199"/>
  <c r="Y10" i="123" s="1"/>
  <c r="Z10" i="123" s="1"/>
  <c r="I5" i="163" s="1"/>
  <c r="O82" i="199"/>
  <c r="AC66" i="122"/>
  <c r="K88" i="199"/>
  <c r="C10" i="123"/>
  <c r="C7" i="183"/>
  <c r="D7" i="126"/>
  <c r="AF243" i="122"/>
  <c r="N166" i="216"/>
  <c r="W243" i="122"/>
  <c r="D180" i="216"/>
  <c r="AE243" i="122"/>
  <c r="M166" i="216"/>
  <c r="V195" i="122"/>
  <c r="C219" i="218"/>
  <c r="U195" i="122"/>
  <c r="B219" i="218"/>
  <c r="AG195" i="122"/>
  <c r="O205" i="218"/>
  <c r="D63" i="123"/>
  <c r="J121" i="218"/>
  <c r="AB193" i="122" s="1"/>
  <c r="U63" i="123"/>
  <c r="V63" i="123" s="1"/>
  <c r="N121" i="218"/>
  <c r="W193" i="122"/>
  <c r="E63" i="113"/>
  <c r="K63" i="123" s="1"/>
  <c r="D141" i="218"/>
  <c r="Q63" i="123"/>
  <c r="R63" i="123" s="1"/>
  <c r="M121" i="218"/>
  <c r="V192" i="122"/>
  <c r="C18" i="218"/>
  <c r="D61" i="113" s="1"/>
  <c r="C102" i="218"/>
  <c r="D62" i="113"/>
  <c r="G62" i="123" s="1"/>
  <c r="L62" i="123"/>
  <c r="L19" i="218"/>
  <c r="L61" i="123" s="1"/>
  <c r="L82" i="218"/>
  <c r="L88" i="218" s="1"/>
  <c r="E62" i="123"/>
  <c r="J27" i="218"/>
  <c r="E61" i="123" s="1"/>
  <c r="N95" i="218"/>
  <c r="N37" i="218"/>
  <c r="N41" i="218" s="1"/>
  <c r="D102" i="218"/>
  <c r="D18" i="218"/>
  <c r="E61" i="113" s="1"/>
  <c r="E62" i="113"/>
  <c r="K62" i="123" s="1"/>
  <c r="W192" i="122"/>
  <c r="M80" i="218"/>
  <c r="M25" i="218"/>
  <c r="I62" i="123"/>
  <c r="K27" i="218"/>
  <c r="I61" i="123" s="1"/>
  <c r="O95" i="218"/>
  <c r="O37" i="218"/>
  <c r="O41" i="218" s="1"/>
  <c r="D55" i="123"/>
  <c r="J19" i="214"/>
  <c r="D54" i="123" s="1"/>
  <c r="J82" i="214"/>
  <c r="J88" i="214" s="1"/>
  <c r="N80" i="214"/>
  <c r="N25" i="214"/>
  <c r="M55" i="123"/>
  <c r="L27" i="214"/>
  <c r="M54" i="123" s="1"/>
  <c r="B18" i="214"/>
  <c r="C54" i="113" s="1"/>
  <c r="C55" i="113"/>
  <c r="C55" i="123" s="1"/>
  <c r="B102" i="214"/>
  <c r="U171" i="122"/>
  <c r="H55" i="123"/>
  <c r="K19" i="214"/>
  <c r="H54" i="123" s="1"/>
  <c r="K82" i="214"/>
  <c r="O80" i="214"/>
  <c r="O25" i="214"/>
  <c r="M95" i="214"/>
  <c r="M37" i="214"/>
  <c r="M41" i="214" s="1"/>
  <c r="V124" i="122"/>
  <c r="C180" i="207"/>
  <c r="U124" i="122"/>
  <c r="B180" i="207"/>
  <c r="AG124" i="122"/>
  <c r="O166" i="207"/>
  <c r="D27" i="123"/>
  <c r="J160" i="204"/>
  <c r="AB103" i="122" s="1"/>
  <c r="U27" i="123"/>
  <c r="V27" i="123" s="1"/>
  <c r="N160" i="204"/>
  <c r="W103" i="122"/>
  <c r="D180" i="204"/>
  <c r="E27" i="113"/>
  <c r="K27" i="123" s="1"/>
  <c r="Q27" i="123"/>
  <c r="R27" i="123" s="1"/>
  <c r="M160" i="204"/>
  <c r="V101" i="122"/>
  <c r="C102" i="204"/>
  <c r="C18" i="204"/>
  <c r="D25" i="113" s="1"/>
  <c r="D26" i="113"/>
  <c r="G26" i="123" s="1"/>
  <c r="L26" i="123"/>
  <c r="L19" i="204"/>
  <c r="L25" i="123" s="1"/>
  <c r="L82" i="204"/>
  <c r="E26" i="123"/>
  <c r="J27" i="204"/>
  <c r="E25" i="123" s="1"/>
  <c r="M95" i="204"/>
  <c r="M37" i="204"/>
  <c r="M41" i="204" s="1"/>
  <c r="U101" i="122"/>
  <c r="B102" i="204"/>
  <c r="C26" i="113"/>
  <c r="C26" i="123" s="1"/>
  <c r="B18" i="204"/>
  <c r="C25" i="113" s="1"/>
  <c r="H26" i="123"/>
  <c r="K19" i="204"/>
  <c r="H25" i="123" s="1"/>
  <c r="K82" i="204"/>
  <c r="K88" i="204" s="1"/>
  <c r="O80" i="204"/>
  <c r="O25" i="204"/>
  <c r="N95" i="204"/>
  <c r="N37" i="204"/>
  <c r="N41" i="204" s="1"/>
  <c r="Y7" i="123"/>
  <c r="Z7" i="123" s="1"/>
  <c r="O82" i="198"/>
  <c r="O27" i="198"/>
  <c r="Y6" i="123" s="1"/>
  <c r="Z6" i="123" s="1"/>
  <c r="I4" i="163" s="1"/>
  <c r="W250" i="122"/>
  <c r="D180" i="225"/>
  <c r="AE250" i="122"/>
  <c r="M166" i="225"/>
  <c r="V250" i="122"/>
  <c r="C180" i="225"/>
  <c r="U221" i="122"/>
  <c r="B141" i="222"/>
  <c r="AG221" i="122"/>
  <c r="O127" i="222"/>
  <c r="AF221" i="122"/>
  <c r="N127" i="222"/>
  <c r="D102" i="222"/>
  <c r="E72" i="113"/>
  <c r="K72" i="123" s="1"/>
  <c r="D18" i="222"/>
  <c r="E71" i="113" s="1"/>
  <c r="W220" i="122"/>
  <c r="M80" i="222"/>
  <c r="M25" i="222"/>
  <c r="I72" i="123"/>
  <c r="K27" i="222"/>
  <c r="I71" i="123" s="1"/>
  <c r="D72" i="113"/>
  <c r="G72" i="123" s="1"/>
  <c r="C102" i="222"/>
  <c r="V220" i="122"/>
  <c r="C18" i="222"/>
  <c r="D71" i="113" s="1"/>
  <c r="L72" i="123"/>
  <c r="L19" i="222"/>
  <c r="L71" i="123" s="1"/>
  <c r="L82" i="222"/>
  <c r="E72" i="123"/>
  <c r="J27" i="222"/>
  <c r="E71" i="123" s="1"/>
  <c r="M95" i="222"/>
  <c r="M37" i="222"/>
  <c r="M41" i="222" s="1"/>
  <c r="U209" i="122"/>
  <c r="B219" i="220"/>
  <c r="AG209" i="122"/>
  <c r="O205" i="220"/>
  <c r="AF209" i="122"/>
  <c r="N205" i="220"/>
  <c r="D141" i="220"/>
  <c r="E69" i="113"/>
  <c r="K69" i="123" s="1"/>
  <c r="W207" i="122"/>
  <c r="Q69" i="123"/>
  <c r="R69" i="123" s="1"/>
  <c r="M121" i="220"/>
  <c r="D69" i="113"/>
  <c r="G69" i="123" s="1"/>
  <c r="C141" i="220"/>
  <c r="V207" i="122"/>
  <c r="L69" i="123"/>
  <c r="L121" i="220"/>
  <c r="AD207" i="122" s="1"/>
  <c r="U202" i="122"/>
  <c r="B219" i="219"/>
  <c r="AF202" i="122"/>
  <c r="N205" i="219"/>
  <c r="AG202" i="122"/>
  <c r="O205" i="219"/>
  <c r="W200" i="122"/>
  <c r="L127" i="219"/>
  <c r="D141" i="219"/>
  <c r="V22" i="123"/>
  <c r="Z22" i="123"/>
  <c r="J277" i="203"/>
  <c r="J160" i="203"/>
  <c r="N12" i="123"/>
  <c r="J160" i="212"/>
  <c r="AB159" i="122" s="1"/>
  <c r="L160" i="207"/>
  <c r="AD124" i="122" s="1"/>
  <c r="K160" i="207"/>
  <c r="AC124" i="122" s="1"/>
  <c r="N37" i="198"/>
  <c r="N41" i="198" s="1"/>
  <c r="J27" i="198"/>
  <c r="E6" i="123" s="1"/>
  <c r="L19" i="198"/>
  <c r="L6" i="123" s="1"/>
  <c r="K19" i="198"/>
  <c r="H6" i="123" s="1"/>
  <c r="F7" i="123"/>
  <c r="AE200" i="122"/>
  <c r="M127" i="219"/>
  <c r="V200" i="122"/>
  <c r="C141" i="219"/>
  <c r="B102" i="219"/>
  <c r="C66" i="113"/>
  <c r="C66" i="123" s="1"/>
  <c r="U199" i="122"/>
  <c r="B18" i="219"/>
  <c r="C65" i="113" s="1"/>
  <c r="H66" i="123"/>
  <c r="K19" i="219"/>
  <c r="H65" i="123" s="1"/>
  <c r="K82" i="219"/>
  <c r="K88" i="219" s="1"/>
  <c r="O25" i="219"/>
  <c r="O80" i="219"/>
  <c r="M95" i="219"/>
  <c r="M37" i="219"/>
  <c r="M41" i="219" s="1"/>
  <c r="C18" i="219"/>
  <c r="D65" i="113" s="1"/>
  <c r="D66" i="113"/>
  <c r="G66" i="123" s="1"/>
  <c r="V199" i="122"/>
  <c r="C102" i="219"/>
  <c r="L66" i="123"/>
  <c r="L19" i="219"/>
  <c r="L65" i="123" s="1"/>
  <c r="L82" i="219"/>
  <c r="L88" i="219" s="1"/>
  <c r="E66" i="123"/>
  <c r="J27" i="219"/>
  <c r="E65" i="123" s="1"/>
  <c r="N95" i="219"/>
  <c r="N37" i="219"/>
  <c r="N41" i="219" s="1"/>
  <c r="W123" i="122"/>
  <c r="D141" i="207"/>
  <c r="AE123" i="122"/>
  <c r="M127" i="207"/>
  <c r="V123" i="122"/>
  <c r="C141" i="207"/>
  <c r="U89" i="122"/>
  <c r="B180" i="202"/>
  <c r="AG89" i="122"/>
  <c r="O166" i="202"/>
  <c r="AF89" i="122"/>
  <c r="N166" i="202"/>
  <c r="W87" i="122"/>
  <c r="D102" i="202"/>
  <c r="E19" i="113"/>
  <c r="K19" i="123" s="1"/>
  <c r="D18" i="202"/>
  <c r="E18" i="113" s="1"/>
  <c r="M80" i="202"/>
  <c r="M25" i="202"/>
  <c r="I19" i="123"/>
  <c r="K27" i="202"/>
  <c r="I18" i="123" s="1"/>
  <c r="V87" i="122"/>
  <c r="C18" i="202"/>
  <c r="D18" i="113" s="1"/>
  <c r="C102" i="202"/>
  <c r="D19" i="113"/>
  <c r="G19" i="123" s="1"/>
  <c r="L19" i="123"/>
  <c r="L19" i="202"/>
  <c r="L18" i="123" s="1"/>
  <c r="L82" i="202"/>
  <c r="L88" i="202" s="1"/>
  <c r="E19" i="123"/>
  <c r="J27" i="202"/>
  <c r="E18" i="123" s="1"/>
  <c r="M95" i="202"/>
  <c r="M37" i="202"/>
  <c r="M41" i="202" s="1"/>
  <c r="V82" i="122"/>
  <c r="C180" i="201"/>
  <c r="U82" i="122"/>
  <c r="B180" i="201"/>
  <c r="AG82" i="122"/>
  <c r="O166" i="201"/>
  <c r="V67" i="122"/>
  <c r="C141" i="199"/>
  <c r="U67" i="122"/>
  <c r="B141" i="199"/>
  <c r="AG67" i="122"/>
  <c r="O127" i="199"/>
  <c r="W228" i="122"/>
  <c r="D141" i="223"/>
  <c r="AE228" i="122"/>
  <c r="M127" i="223"/>
  <c r="V228" i="122"/>
  <c r="C141" i="223"/>
  <c r="C18" i="223"/>
  <c r="D73" i="113" s="1"/>
  <c r="V227" i="122"/>
  <c r="C102" i="223"/>
  <c r="D74" i="113"/>
  <c r="G74" i="123" s="1"/>
  <c r="L74" i="123"/>
  <c r="L82" i="223"/>
  <c r="L88" i="223" s="1"/>
  <c r="L19" i="223"/>
  <c r="L73" i="123" s="1"/>
  <c r="E74" i="123"/>
  <c r="J27" i="223"/>
  <c r="E73" i="123" s="1"/>
  <c r="M95" i="223"/>
  <c r="M37" i="223"/>
  <c r="M41" i="223" s="1"/>
  <c r="B102" i="223"/>
  <c r="C74" i="113"/>
  <c r="C74" i="123" s="1"/>
  <c r="B18" i="223"/>
  <c r="C73" i="113" s="1"/>
  <c r="U227" i="122"/>
  <c r="H74" i="123"/>
  <c r="K19" i="223"/>
  <c r="H73" i="123" s="1"/>
  <c r="K82" i="223"/>
  <c r="K88" i="223" s="1"/>
  <c r="O80" i="223"/>
  <c r="O25" i="223"/>
  <c r="N95" i="223"/>
  <c r="N37" i="223"/>
  <c r="N41" i="223" s="1"/>
  <c r="AF222" i="122"/>
  <c r="N166" i="222"/>
  <c r="W222" i="122"/>
  <c r="D180" i="222"/>
  <c r="AE222" i="122"/>
  <c r="M166" i="222"/>
  <c r="U145" i="122"/>
  <c r="B180" i="210"/>
  <c r="AG145" i="122"/>
  <c r="O166" i="210"/>
  <c r="AF145" i="122"/>
  <c r="N166" i="210"/>
  <c r="W144" i="122"/>
  <c r="E45" i="113"/>
  <c r="K45" i="123" s="1"/>
  <c r="D141" i="210"/>
  <c r="Q45" i="123"/>
  <c r="R45" i="123" s="1"/>
  <c r="M121" i="210"/>
  <c r="D45" i="113"/>
  <c r="G45" i="123" s="1"/>
  <c r="C141" i="210"/>
  <c r="V144" i="122"/>
  <c r="L45" i="123"/>
  <c r="L121" i="210"/>
  <c r="AD144" i="122" s="1"/>
  <c r="U138" i="122"/>
  <c r="B180" i="209"/>
  <c r="AG138" i="122"/>
  <c r="O166" i="209"/>
  <c r="AF138" i="122"/>
  <c r="N166" i="209"/>
  <c r="AF118" i="122"/>
  <c r="N205" i="206"/>
  <c r="W118" i="122"/>
  <c r="D219" i="206"/>
  <c r="AE118" i="122"/>
  <c r="M205" i="206"/>
  <c r="U117" i="122"/>
  <c r="B180" i="206"/>
  <c r="AG117" i="122"/>
  <c r="O166" i="206"/>
  <c r="AF117" i="122"/>
  <c r="N166" i="206"/>
  <c r="D36" i="123"/>
  <c r="J121" i="206"/>
  <c r="AB116" i="122" s="1"/>
  <c r="U36" i="123"/>
  <c r="V36" i="123" s="1"/>
  <c r="N121" i="206"/>
  <c r="D141" i="206"/>
  <c r="E36" i="113"/>
  <c r="K36" i="123" s="1"/>
  <c r="W116" i="122"/>
  <c r="Q36" i="123"/>
  <c r="R36" i="123" s="1"/>
  <c r="M121" i="206"/>
  <c r="U115" i="122"/>
  <c r="B18" i="206"/>
  <c r="C34" i="113" s="1"/>
  <c r="C35" i="113"/>
  <c r="C35" i="123" s="1"/>
  <c r="B102" i="206"/>
  <c r="H35" i="123"/>
  <c r="K19" i="206"/>
  <c r="H34" i="123" s="1"/>
  <c r="K82" i="206"/>
  <c r="K88" i="206" s="1"/>
  <c r="O80" i="206"/>
  <c r="O25" i="206"/>
  <c r="N95" i="206"/>
  <c r="N37" i="206"/>
  <c r="N41" i="206" s="1"/>
  <c r="D35" i="123"/>
  <c r="J82" i="206"/>
  <c r="J88" i="206" s="1"/>
  <c r="J19" i="206"/>
  <c r="D34" i="123" s="1"/>
  <c r="N80" i="206"/>
  <c r="N25" i="206"/>
  <c r="M35" i="123"/>
  <c r="L27" i="206"/>
  <c r="M34" i="123" s="1"/>
  <c r="O95" i="206"/>
  <c r="O37" i="206"/>
  <c r="O41" i="206" s="1"/>
  <c r="W111" i="122"/>
  <c r="D219" i="205"/>
  <c r="AE111" i="122"/>
  <c r="M205" i="205"/>
  <c r="V111" i="122"/>
  <c r="C219" i="205"/>
  <c r="V110" i="122"/>
  <c r="D33" i="113"/>
  <c r="G33" i="123" s="1"/>
  <c r="C180" i="205"/>
  <c r="L33" i="123"/>
  <c r="L160" i="205"/>
  <c r="AD110" i="122" s="1"/>
  <c r="U110" i="122"/>
  <c r="B180" i="205"/>
  <c r="C33" i="113"/>
  <c r="C33" i="123" s="1"/>
  <c r="H33" i="123"/>
  <c r="K160" i="205"/>
  <c r="AC110" i="122" s="1"/>
  <c r="Y33" i="123"/>
  <c r="Z33" i="123" s="1"/>
  <c r="O160" i="205"/>
  <c r="W109" i="122"/>
  <c r="D141" i="205"/>
  <c r="E32" i="113"/>
  <c r="K32" i="123" s="1"/>
  <c r="Q32" i="123"/>
  <c r="M121" i="205"/>
  <c r="V109" i="122"/>
  <c r="C141" i="205"/>
  <c r="D32" i="113"/>
  <c r="G32" i="123" s="1"/>
  <c r="L32" i="123"/>
  <c r="L121" i="205"/>
  <c r="AD109" i="122" s="1"/>
  <c r="V108" i="122"/>
  <c r="C18" i="205"/>
  <c r="D30" i="113" s="1"/>
  <c r="C102" i="205"/>
  <c r="D31" i="113"/>
  <c r="G31" i="123" s="1"/>
  <c r="L31" i="123"/>
  <c r="L19" i="205"/>
  <c r="L30" i="123" s="1"/>
  <c r="L82" i="205"/>
  <c r="L88" i="205" s="1"/>
  <c r="E31" i="123"/>
  <c r="J27" i="205"/>
  <c r="E30" i="123" s="1"/>
  <c r="M95" i="205"/>
  <c r="M37" i="205"/>
  <c r="M41" i="205" s="1"/>
  <c r="U108" i="122"/>
  <c r="B18" i="205"/>
  <c r="C30" i="113" s="1"/>
  <c r="B102" i="205"/>
  <c r="C31" i="113"/>
  <c r="C31" i="123" s="1"/>
  <c r="H31" i="123"/>
  <c r="K19" i="205"/>
  <c r="H30" i="123" s="1"/>
  <c r="K82" i="205"/>
  <c r="O80" i="205"/>
  <c r="O25" i="205"/>
  <c r="N95" i="205"/>
  <c r="N37" i="205"/>
  <c r="N41" i="205" s="1"/>
  <c r="W105" i="122"/>
  <c r="D258" i="204"/>
  <c r="E29" i="113"/>
  <c r="K29" i="123" s="1"/>
  <c r="Q29" i="123"/>
  <c r="R29" i="123" s="1"/>
  <c r="M238" i="204"/>
  <c r="V105" i="122"/>
  <c r="C258" i="204"/>
  <c r="D29" i="113"/>
  <c r="G29" i="123" s="1"/>
  <c r="L29" i="123"/>
  <c r="L238" i="204"/>
  <c r="AD105" i="122" s="1"/>
  <c r="U104" i="122"/>
  <c r="C28" i="113"/>
  <c r="C28" i="123" s="1"/>
  <c r="B219" i="204"/>
  <c r="H28" i="123"/>
  <c r="K199" i="204"/>
  <c r="AC104" i="122" s="1"/>
  <c r="Y28" i="123"/>
  <c r="Z28" i="123" s="1"/>
  <c r="O199" i="204"/>
  <c r="D28" i="123"/>
  <c r="J199" i="204"/>
  <c r="AB104" i="122" s="1"/>
  <c r="U28" i="123"/>
  <c r="V28" i="123" s="1"/>
  <c r="N199" i="204"/>
  <c r="D17" i="123"/>
  <c r="J19" i="201"/>
  <c r="D16" i="123" s="1"/>
  <c r="J82" i="201"/>
  <c r="J88" i="201" s="1"/>
  <c r="N25" i="201"/>
  <c r="N80" i="201"/>
  <c r="M17" i="123"/>
  <c r="L27" i="201"/>
  <c r="M16" i="123" s="1"/>
  <c r="U80" i="122"/>
  <c r="C17" i="113"/>
  <c r="C17" i="123" s="1"/>
  <c r="B102" i="201"/>
  <c r="B18" i="201"/>
  <c r="C16" i="113" s="1"/>
  <c r="H17" i="123"/>
  <c r="K82" i="201"/>
  <c r="K88" i="201" s="1"/>
  <c r="K19" i="201"/>
  <c r="H16" i="123" s="1"/>
  <c r="O80" i="201"/>
  <c r="O25" i="201"/>
  <c r="M95" i="201"/>
  <c r="M37" i="201"/>
  <c r="M41" i="201" s="1"/>
  <c r="V75" i="122"/>
  <c r="C180" i="200"/>
  <c r="U75" i="122"/>
  <c r="B180" i="200"/>
  <c r="AG75" i="122"/>
  <c r="O166" i="200"/>
  <c r="W60" i="122"/>
  <c r="D141" i="198"/>
  <c r="E8" i="113"/>
  <c r="K8" i="123" s="1"/>
  <c r="Q8" i="123"/>
  <c r="R8" i="123" s="1"/>
  <c r="M121" i="198"/>
  <c r="V60" i="122"/>
  <c r="C141" i="198"/>
  <c r="D8" i="113"/>
  <c r="G8" i="123" s="1"/>
  <c r="L8" i="123"/>
  <c r="L121" i="198"/>
  <c r="AD60" i="122" s="1"/>
  <c r="W242" i="122"/>
  <c r="D141" i="216"/>
  <c r="AE242" i="122"/>
  <c r="M127" i="216"/>
  <c r="V242" i="122"/>
  <c r="C141" i="216"/>
  <c r="U236" i="122"/>
  <c r="B180" i="224"/>
  <c r="AG236" i="122"/>
  <c r="O166" i="224"/>
  <c r="AF236" i="122"/>
  <c r="N166" i="224"/>
  <c r="E77" i="113"/>
  <c r="K77" i="123" s="1"/>
  <c r="W235" i="122"/>
  <c r="D141" i="224"/>
  <c r="Q77" i="123"/>
  <c r="M121" i="224"/>
  <c r="D77" i="113"/>
  <c r="G77" i="123" s="1"/>
  <c r="C141" i="224"/>
  <c r="V235" i="122"/>
  <c r="L77" i="123"/>
  <c r="L121" i="224"/>
  <c r="AD235" i="122" s="1"/>
  <c r="C18" i="224"/>
  <c r="D75" i="113" s="1"/>
  <c r="D76" i="113"/>
  <c r="G76" i="123" s="1"/>
  <c r="C102" i="224"/>
  <c r="V234" i="122"/>
  <c r="L19" i="224"/>
  <c r="L75" i="123" s="1"/>
  <c r="L76" i="123"/>
  <c r="L82" i="224"/>
  <c r="E76" i="123"/>
  <c r="J27" i="224"/>
  <c r="E75" i="123" s="1"/>
  <c r="N95" i="224"/>
  <c r="N37" i="224"/>
  <c r="N41" i="224" s="1"/>
  <c r="E76" i="113"/>
  <c r="K76" i="123" s="1"/>
  <c r="D18" i="224"/>
  <c r="E75" i="113" s="1"/>
  <c r="W234" i="122"/>
  <c r="D102" i="224"/>
  <c r="M80" i="224"/>
  <c r="M25" i="224"/>
  <c r="I76" i="123"/>
  <c r="K27" i="224"/>
  <c r="I75" i="123" s="1"/>
  <c r="O95" i="224"/>
  <c r="O37" i="224"/>
  <c r="O41" i="224" s="1"/>
  <c r="AF229" i="122"/>
  <c r="N166" i="223"/>
  <c r="W229" i="122"/>
  <c r="D180" i="223"/>
  <c r="AE229" i="122"/>
  <c r="M166" i="223"/>
  <c r="V180" i="122"/>
  <c r="C180" i="215"/>
  <c r="U180" i="122"/>
  <c r="B180" i="215"/>
  <c r="AG180" i="122"/>
  <c r="O166" i="215"/>
  <c r="W165" i="122"/>
  <c r="D141" i="213"/>
  <c r="AE165" i="122"/>
  <c r="M127" i="213"/>
  <c r="V165" i="122"/>
  <c r="C141" i="213"/>
  <c r="C102" i="213"/>
  <c r="C18" i="213"/>
  <c r="D52" i="113" s="1"/>
  <c r="D53" i="113"/>
  <c r="G53" i="123" s="1"/>
  <c r="V164" i="122"/>
  <c r="L53" i="123"/>
  <c r="L19" i="213"/>
  <c r="L52" i="123" s="1"/>
  <c r="L82" i="213"/>
  <c r="L88" i="213" s="1"/>
  <c r="E53" i="123"/>
  <c r="J27" i="213"/>
  <c r="E52" i="123" s="1"/>
  <c r="M95" i="213"/>
  <c r="M37" i="213"/>
  <c r="M41" i="213" s="1"/>
  <c r="C53" i="113"/>
  <c r="C53" i="123" s="1"/>
  <c r="B102" i="213"/>
  <c r="U164" i="122"/>
  <c r="B18" i="213"/>
  <c r="C52" i="113" s="1"/>
  <c r="H53" i="123"/>
  <c r="K19" i="213"/>
  <c r="H52" i="123" s="1"/>
  <c r="K82" i="213"/>
  <c r="O80" i="213"/>
  <c r="O25" i="213"/>
  <c r="N95" i="213"/>
  <c r="N37" i="213"/>
  <c r="N41" i="213" s="1"/>
  <c r="W157" i="122"/>
  <c r="E50" i="113"/>
  <c r="K50" i="123" s="1"/>
  <c r="D102" i="212"/>
  <c r="D18" i="212"/>
  <c r="E49" i="113" s="1"/>
  <c r="M25" i="212"/>
  <c r="M80" i="212"/>
  <c r="I50" i="123"/>
  <c r="K27" i="212"/>
  <c r="I49" i="123" s="1"/>
  <c r="D50" i="113"/>
  <c r="G50" i="123" s="1"/>
  <c r="C18" i="212"/>
  <c r="D49" i="113" s="1"/>
  <c r="V157" i="122"/>
  <c r="C102" i="212"/>
  <c r="L50" i="123"/>
  <c r="L19" i="212"/>
  <c r="L49" i="123" s="1"/>
  <c r="L82" i="212"/>
  <c r="L88" i="212" s="1"/>
  <c r="E50" i="123"/>
  <c r="J27" i="212"/>
  <c r="E49" i="123" s="1"/>
  <c r="M95" i="212"/>
  <c r="M37" i="212"/>
  <c r="M41" i="212" s="1"/>
  <c r="U152" i="122"/>
  <c r="B180" i="211"/>
  <c r="AG152" i="122"/>
  <c r="O166" i="211"/>
  <c r="AF152" i="122"/>
  <c r="N166" i="211"/>
  <c r="D102" i="211"/>
  <c r="D18" i="211"/>
  <c r="E46" i="113" s="1"/>
  <c r="E47" i="113"/>
  <c r="K47" i="123" s="1"/>
  <c r="W150" i="122"/>
  <c r="M25" i="211"/>
  <c r="M80" i="211"/>
  <c r="I47" i="123"/>
  <c r="K27" i="211"/>
  <c r="I46" i="123" s="1"/>
  <c r="C18" i="211"/>
  <c r="D46" i="113" s="1"/>
  <c r="D47" i="113"/>
  <c r="G47" i="123" s="1"/>
  <c r="V150" i="122"/>
  <c r="C102" i="211"/>
  <c r="L47" i="123"/>
  <c r="L19" i="211"/>
  <c r="L46" i="123" s="1"/>
  <c r="L82" i="211"/>
  <c r="E47" i="123"/>
  <c r="J27" i="211"/>
  <c r="E46" i="123" s="1"/>
  <c r="M95" i="211"/>
  <c r="M37" i="211"/>
  <c r="M41" i="211" s="1"/>
  <c r="V137" i="122"/>
  <c r="C141" i="209"/>
  <c r="U137" i="122"/>
  <c r="B141" i="209"/>
  <c r="AG137" i="122"/>
  <c r="O127" i="209"/>
  <c r="D102" i="209"/>
  <c r="D18" i="209"/>
  <c r="E41" i="113" s="1"/>
  <c r="E42" i="113"/>
  <c r="K42" i="123" s="1"/>
  <c r="W136" i="122"/>
  <c r="M80" i="209"/>
  <c r="M25" i="209"/>
  <c r="I42" i="123"/>
  <c r="K27" i="209"/>
  <c r="I41" i="123" s="1"/>
  <c r="D42" i="113"/>
  <c r="G42" i="123" s="1"/>
  <c r="V136" i="122"/>
  <c r="C18" i="209"/>
  <c r="D41" i="113" s="1"/>
  <c r="C102" i="209"/>
  <c r="L42" i="123"/>
  <c r="L19" i="209"/>
  <c r="L41" i="123" s="1"/>
  <c r="L82" i="209"/>
  <c r="E42" i="123"/>
  <c r="J27" i="209"/>
  <c r="E41" i="123" s="1"/>
  <c r="M95" i="209"/>
  <c r="M37" i="209"/>
  <c r="M41" i="209" s="1"/>
  <c r="V131" i="122"/>
  <c r="C180" i="208"/>
  <c r="U131" i="122"/>
  <c r="B180" i="208"/>
  <c r="AG131" i="122"/>
  <c r="O166" i="208"/>
  <c r="AF88" i="122"/>
  <c r="N127" i="202"/>
  <c r="W88" i="122"/>
  <c r="D141" i="202"/>
  <c r="AE88" i="122"/>
  <c r="M127" i="202"/>
  <c r="D13" i="123"/>
  <c r="J199" i="199"/>
  <c r="AB69" i="122" s="1"/>
  <c r="U13" i="123"/>
  <c r="V13" i="123" s="1"/>
  <c r="N199" i="199"/>
  <c r="W69" i="122"/>
  <c r="E13" i="113"/>
  <c r="K13" i="123" s="1"/>
  <c r="D219" i="199"/>
  <c r="Q13" i="123"/>
  <c r="R13" i="123" s="1"/>
  <c r="M199" i="199"/>
  <c r="Q11" i="123"/>
  <c r="R11" i="123" s="1"/>
  <c r="M27" i="199"/>
  <c r="Q10" i="123" s="1"/>
  <c r="R10" i="123" s="1"/>
  <c r="G5" i="163" s="1"/>
  <c r="M82" i="199"/>
  <c r="V64" i="122"/>
  <c r="C297" i="198"/>
  <c r="U64" i="122"/>
  <c r="B297" i="198"/>
  <c r="AG64" i="122"/>
  <c r="O283" i="198"/>
  <c r="AF249" i="122"/>
  <c r="N127" i="225"/>
  <c r="W249" i="122"/>
  <c r="D141" i="225"/>
  <c r="AE249" i="122"/>
  <c r="M127" i="225"/>
  <c r="B102" i="225"/>
  <c r="B18" i="225"/>
  <c r="C80" i="113" s="1"/>
  <c r="C81" i="113"/>
  <c r="C81" i="123" s="1"/>
  <c r="U248" i="122"/>
  <c r="H81" i="123"/>
  <c r="K19" i="225"/>
  <c r="H80" i="123" s="1"/>
  <c r="K82" i="225"/>
  <c r="K88" i="225" s="1"/>
  <c r="O80" i="225"/>
  <c r="O25" i="225"/>
  <c r="N95" i="225"/>
  <c r="N37" i="225"/>
  <c r="N41" i="225" s="1"/>
  <c r="D81" i="123"/>
  <c r="J19" i="225"/>
  <c r="D80" i="123" s="1"/>
  <c r="J82" i="225"/>
  <c r="N80" i="225"/>
  <c r="N25" i="225"/>
  <c r="M81" i="123"/>
  <c r="L27" i="225"/>
  <c r="M80" i="123" s="1"/>
  <c r="O95" i="225"/>
  <c r="O37" i="225"/>
  <c r="O41" i="225" s="1"/>
  <c r="W194" i="122"/>
  <c r="D180" i="218"/>
  <c r="E64" i="113"/>
  <c r="K64" i="123" s="1"/>
  <c r="Q64" i="123"/>
  <c r="R64" i="123" s="1"/>
  <c r="M160" i="218"/>
  <c r="C180" i="218"/>
  <c r="D64" i="113"/>
  <c r="G64" i="123" s="1"/>
  <c r="V194" i="122"/>
  <c r="L64" i="123"/>
  <c r="L160" i="218"/>
  <c r="AD194" i="122" s="1"/>
  <c r="U187" i="122"/>
  <c r="B180" i="217"/>
  <c r="AG187" i="122"/>
  <c r="O166" i="217"/>
  <c r="AF187" i="122"/>
  <c r="N166" i="217"/>
  <c r="D141" i="217"/>
  <c r="E60" i="113"/>
  <c r="K60" i="123" s="1"/>
  <c r="W186" i="122"/>
  <c r="Q60" i="123"/>
  <c r="R60" i="123" s="1"/>
  <c r="M121" i="217"/>
  <c r="D60" i="123"/>
  <c r="J121" i="217"/>
  <c r="AB186" i="122" s="1"/>
  <c r="U60" i="123"/>
  <c r="V60" i="123" s="1"/>
  <c r="N121" i="217"/>
  <c r="V185" i="122"/>
  <c r="D59" i="113"/>
  <c r="G59" i="123" s="1"/>
  <c r="C18" i="217"/>
  <c r="D58" i="113" s="1"/>
  <c r="C102" i="217"/>
  <c r="L59" i="123"/>
  <c r="L19" i="217"/>
  <c r="L58" i="123" s="1"/>
  <c r="L82" i="217"/>
  <c r="L88" i="217" s="1"/>
  <c r="E59" i="123"/>
  <c r="J27" i="217"/>
  <c r="E58" i="123" s="1"/>
  <c r="M95" i="217"/>
  <c r="M37" i="217"/>
  <c r="M41" i="217" s="1"/>
  <c r="B102" i="217"/>
  <c r="C59" i="113"/>
  <c r="C59" i="123" s="1"/>
  <c r="B18" i="217"/>
  <c r="C58" i="113" s="1"/>
  <c r="U185" i="122"/>
  <c r="H59" i="123"/>
  <c r="K19" i="217"/>
  <c r="H58" i="123" s="1"/>
  <c r="K82" i="217"/>
  <c r="O80" i="217"/>
  <c r="O25" i="217"/>
  <c r="N95" i="217"/>
  <c r="N37" i="217"/>
  <c r="N41" i="217" s="1"/>
  <c r="W179" i="122"/>
  <c r="D141" i="215"/>
  <c r="AE179" i="122"/>
  <c r="M127" i="215"/>
  <c r="V179" i="122"/>
  <c r="C141" i="215"/>
  <c r="C102" i="215"/>
  <c r="D57" i="113"/>
  <c r="G57" i="123" s="1"/>
  <c r="C18" i="215"/>
  <c r="D56" i="113" s="1"/>
  <c r="V178" i="122"/>
  <c r="L57" i="123"/>
  <c r="L19" i="215"/>
  <c r="L56" i="123" s="1"/>
  <c r="L82" i="215"/>
  <c r="L88" i="215" s="1"/>
  <c r="E57" i="123"/>
  <c r="J27" i="215"/>
  <c r="E56" i="123" s="1"/>
  <c r="M95" i="215"/>
  <c r="M37" i="215"/>
  <c r="M41" i="215" s="1"/>
  <c r="U178" i="122"/>
  <c r="B18" i="215"/>
  <c r="C56" i="113" s="1"/>
  <c r="C57" i="113"/>
  <c r="C57" i="123" s="1"/>
  <c r="B102" i="215"/>
  <c r="H57" i="123"/>
  <c r="K82" i="215"/>
  <c r="K19" i="215"/>
  <c r="H56" i="123" s="1"/>
  <c r="O80" i="215"/>
  <c r="O25" i="215"/>
  <c r="N95" i="215"/>
  <c r="N37" i="215"/>
  <c r="N41" i="215" s="1"/>
  <c r="W172" i="122"/>
  <c r="D141" i="214"/>
  <c r="AE172" i="122"/>
  <c r="M127" i="214"/>
  <c r="AF172" i="122"/>
  <c r="N127" i="214"/>
  <c r="U166" i="122"/>
  <c r="B180" i="213"/>
  <c r="AG166" i="122"/>
  <c r="O166" i="213"/>
  <c r="AF166" i="122"/>
  <c r="N166" i="213"/>
  <c r="W130" i="122"/>
  <c r="D141" i="208"/>
  <c r="AE130" i="122"/>
  <c r="M127" i="208"/>
  <c r="V130" i="122"/>
  <c r="C141" i="208"/>
  <c r="C102" i="208"/>
  <c r="D40" i="113"/>
  <c r="G40" i="123" s="1"/>
  <c r="C18" i="208"/>
  <c r="D39" i="113" s="1"/>
  <c r="V129" i="122"/>
  <c r="L40" i="123"/>
  <c r="L19" i="208"/>
  <c r="L39" i="123" s="1"/>
  <c r="L82" i="208"/>
  <c r="L88" i="208" s="1"/>
  <c r="E40" i="123"/>
  <c r="J27" i="208"/>
  <c r="E39" i="123" s="1"/>
  <c r="M95" i="208"/>
  <c r="M37" i="208"/>
  <c r="M41" i="208" s="1"/>
  <c r="C40" i="113"/>
  <c r="C40" i="123" s="1"/>
  <c r="B18" i="208"/>
  <c r="C39" i="113" s="1"/>
  <c r="U129" i="122"/>
  <c r="B102" i="208"/>
  <c r="H40" i="123"/>
  <c r="K19" i="208"/>
  <c r="H39" i="123" s="1"/>
  <c r="K82" i="208"/>
  <c r="K88" i="208" s="1"/>
  <c r="O80" i="208"/>
  <c r="O25" i="208"/>
  <c r="N95" i="208"/>
  <c r="N37" i="208"/>
  <c r="N41" i="208" s="1"/>
  <c r="W102" i="122"/>
  <c r="D141" i="204"/>
  <c r="AE102" i="122"/>
  <c r="M127" i="204"/>
  <c r="V102" i="122"/>
  <c r="C141" i="204"/>
  <c r="U81" i="122"/>
  <c r="B141" i="201"/>
  <c r="AG81" i="122"/>
  <c r="O127" i="201"/>
  <c r="AF81" i="122"/>
  <c r="N127" i="201"/>
  <c r="U7" i="123"/>
  <c r="V7" i="123" s="1"/>
  <c r="N82" i="198"/>
  <c r="N27" i="198"/>
  <c r="U6" i="123" s="1"/>
  <c r="V6" i="123" s="1"/>
  <c r="H4" i="163" s="1"/>
  <c r="AB59" i="122"/>
  <c r="F12" i="123"/>
  <c r="L121" i="199"/>
  <c r="AD67" i="122" s="1"/>
  <c r="K121" i="199"/>
  <c r="AC67" i="122" s="1"/>
  <c r="N25" i="200"/>
  <c r="O25" i="200"/>
  <c r="M37" i="199"/>
  <c r="M41" i="199" s="1"/>
  <c r="L19" i="199"/>
  <c r="L10" i="123" s="1"/>
  <c r="J11" i="123"/>
  <c r="N11" i="123"/>
  <c r="O37" i="198"/>
  <c r="O41" i="198" s="1"/>
  <c r="K27" i="198"/>
  <c r="I6" i="123" s="1"/>
  <c r="M25" i="198"/>
  <c r="N7" i="123"/>
  <c r="AG200" i="122"/>
  <c r="O127" i="219"/>
  <c r="AF200" i="122"/>
  <c r="N127" i="219"/>
  <c r="D102" i="219"/>
  <c r="E66" i="113"/>
  <c r="K66" i="123" s="1"/>
  <c r="D18" i="219"/>
  <c r="E65" i="113" s="1"/>
  <c r="W199" i="122"/>
  <c r="M25" i="219"/>
  <c r="M80" i="219"/>
  <c r="I66" i="123"/>
  <c r="K27" i="219"/>
  <c r="I65" i="123" s="1"/>
  <c r="O95" i="219"/>
  <c r="O37" i="219"/>
  <c r="O41" i="219" s="1"/>
  <c r="D66" i="123"/>
  <c r="J82" i="219"/>
  <c r="J19" i="219"/>
  <c r="D65" i="123" s="1"/>
  <c r="N80" i="219"/>
  <c r="N25" i="219"/>
  <c r="M66" i="123"/>
  <c r="L27" i="219"/>
  <c r="M65" i="123" s="1"/>
  <c r="U123" i="122"/>
  <c r="B141" i="207"/>
  <c r="AG123" i="122"/>
  <c r="O127" i="207"/>
  <c r="AF123" i="122"/>
  <c r="N127" i="207"/>
  <c r="W89" i="122"/>
  <c r="D180" i="202"/>
  <c r="AE89" i="122"/>
  <c r="M166" i="202"/>
  <c r="V89" i="122"/>
  <c r="C180" i="202"/>
  <c r="U87" i="122"/>
  <c r="C19" i="113"/>
  <c r="C19" i="123" s="1"/>
  <c r="B18" i="202"/>
  <c r="C18" i="113" s="1"/>
  <c r="B102" i="202"/>
  <c r="H19" i="123"/>
  <c r="K82" i="202"/>
  <c r="K19" i="202"/>
  <c r="H18" i="123" s="1"/>
  <c r="O80" i="202"/>
  <c r="O25" i="202"/>
  <c r="N95" i="202"/>
  <c r="N37" i="202"/>
  <c r="N41" i="202" s="1"/>
  <c r="D19" i="123"/>
  <c r="J19" i="202"/>
  <c r="D18" i="123" s="1"/>
  <c r="J82" i="202"/>
  <c r="J88" i="202" s="1"/>
  <c r="N80" i="202"/>
  <c r="N25" i="202"/>
  <c r="M19" i="123"/>
  <c r="L27" i="202"/>
  <c r="M18" i="123" s="1"/>
  <c r="O95" i="202"/>
  <c r="O37" i="202"/>
  <c r="O41" i="202" s="1"/>
  <c r="AF82" i="122"/>
  <c r="N166" i="201"/>
  <c r="W82" i="122"/>
  <c r="D180" i="201"/>
  <c r="AE82" i="122"/>
  <c r="M166" i="201"/>
  <c r="AF68" i="122"/>
  <c r="N166" i="199"/>
  <c r="J166" i="199"/>
  <c r="AB68" i="122"/>
  <c r="AG68" i="122"/>
  <c r="O166" i="199"/>
  <c r="AF67" i="122"/>
  <c r="N127" i="199"/>
  <c r="W67" i="122"/>
  <c r="D141" i="199"/>
  <c r="AE67" i="122"/>
  <c r="M127" i="199"/>
  <c r="U228" i="122"/>
  <c r="B141" i="223"/>
  <c r="AG228" i="122"/>
  <c r="O127" i="223"/>
  <c r="AF228" i="122"/>
  <c r="N127" i="223"/>
  <c r="D74" i="123"/>
  <c r="J19" i="223"/>
  <c r="D73" i="123" s="1"/>
  <c r="J82" i="223"/>
  <c r="N25" i="223"/>
  <c r="N80" i="223"/>
  <c r="M74" i="123"/>
  <c r="L27" i="223"/>
  <c r="M73" i="123" s="1"/>
  <c r="O95" i="223"/>
  <c r="O37" i="223"/>
  <c r="O41" i="223" s="1"/>
  <c r="D102" i="223"/>
  <c r="D18" i="223"/>
  <c r="E73" i="113" s="1"/>
  <c r="E74" i="113"/>
  <c r="K74" i="123" s="1"/>
  <c r="W227" i="122"/>
  <c r="M80" i="223"/>
  <c r="M25" i="223"/>
  <c r="I74" i="123"/>
  <c r="K27" i="223"/>
  <c r="I73" i="123" s="1"/>
  <c r="V222" i="122"/>
  <c r="C180" i="222"/>
  <c r="U222" i="122"/>
  <c r="B180" i="222"/>
  <c r="AG222" i="122"/>
  <c r="O166" i="222"/>
  <c r="W145" i="122"/>
  <c r="D180" i="210"/>
  <c r="AE145" i="122"/>
  <c r="M166" i="210"/>
  <c r="V145" i="122"/>
  <c r="C180" i="210"/>
  <c r="U144" i="122"/>
  <c r="B141" i="210"/>
  <c r="C45" i="113"/>
  <c r="C45" i="123" s="1"/>
  <c r="H45" i="123"/>
  <c r="K121" i="210"/>
  <c r="AC144" i="122" s="1"/>
  <c r="Y45" i="123"/>
  <c r="Z45" i="123" s="1"/>
  <c r="O121" i="210"/>
  <c r="D45" i="123"/>
  <c r="J121" i="210"/>
  <c r="AB144" i="122" s="1"/>
  <c r="U45" i="123"/>
  <c r="V45" i="123" s="1"/>
  <c r="N121" i="210"/>
  <c r="W138" i="122"/>
  <c r="D180" i="209"/>
  <c r="AE138" i="122"/>
  <c r="M166" i="209"/>
  <c r="V138" i="122"/>
  <c r="C180" i="209"/>
  <c r="V118" i="122"/>
  <c r="C219" i="206"/>
  <c r="U118" i="122"/>
  <c r="B219" i="206"/>
  <c r="AG118" i="122"/>
  <c r="O205" i="206"/>
  <c r="W117" i="122"/>
  <c r="D180" i="206"/>
  <c r="AE117" i="122"/>
  <c r="M166" i="206"/>
  <c r="V117" i="122"/>
  <c r="C180" i="206"/>
  <c r="V116" i="122"/>
  <c r="D36" i="113"/>
  <c r="G36" i="123" s="1"/>
  <c r="C141" i="206"/>
  <c r="L36" i="123"/>
  <c r="L121" i="206"/>
  <c r="AD116" i="122" s="1"/>
  <c r="U116" i="122"/>
  <c r="C36" i="113"/>
  <c r="C36" i="123" s="1"/>
  <c r="B141" i="206"/>
  <c r="H36" i="123"/>
  <c r="K121" i="206"/>
  <c r="AC116" i="122" s="1"/>
  <c r="Y36" i="123"/>
  <c r="Z36" i="123" s="1"/>
  <c r="O121" i="206"/>
  <c r="W115" i="122"/>
  <c r="D18" i="206"/>
  <c r="E34" i="113" s="1"/>
  <c r="D102" i="206"/>
  <c r="E35" i="113"/>
  <c r="K35" i="123" s="1"/>
  <c r="M80" i="206"/>
  <c r="M25" i="206"/>
  <c r="I35" i="123"/>
  <c r="K27" i="206"/>
  <c r="I34" i="123" s="1"/>
  <c r="V115" i="122"/>
  <c r="D35" i="113"/>
  <c r="G35" i="123" s="1"/>
  <c r="C18" i="206"/>
  <c r="D34" i="113" s="1"/>
  <c r="C102" i="206"/>
  <c r="L35" i="123"/>
  <c r="L19" i="206"/>
  <c r="L34" i="123" s="1"/>
  <c r="L82" i="206"/>
  <c r="E35" i="123"/>
  <c r="J27" i="206"/>
  <c r="E34" i="123" s="1"/>
  <c r="M95" i="206"/>
  <c r="M37" i="206"/>
  <c r="M41" i="206" s="1"/>
  <c r="U111" i="122"/>
  <c r="B219" i="205"/>
  <c r="AG111" i="122"/>
  <c r="O205" i="205"/>
  <c r="AF111" i="122"/>
  <c r="N205" i="205"/>
  <c r="D33" i="123"/>
  <c r="J160" i="205"/>
  <c r="AB110" i="122" s="1"/>
  <c r="U33" i="123"/>
  <c r="V33" i="123" s="1"/>
  <c r="N160" i="205"/>
  <c r="W110" i="122"/>
  <c r="D180" i="205"/>
  <c r="E33" i="113"/>
  <c r="K33" i="123" s="1"/>
  <c r="Q33" i="123"/>
  <c r="R33" i="123" s="1"/>
  <c r="M160" i="205"/>
  <c r="U109" i="122"/>
  <c r="B141" i="205"/>
  <c r="C32" i="113"/>
  <c r="C32" i="123" s="1"/>
  <c r="H32" i="123"/>
  <c r="K121" i="205"/>
  <c r="AC109" i="122" s="1"/>
  <c r="Y32" i="123"/>
  <c r="Z32" i="123" s="1"/>
  <c r="O121" i="205"/>
  <c r="D32" i="123"/>
  <c r="J121" i="205"/>
  <c r="AB109" i="122" s="1"/>
  <c r="U32" i="123"/>
  <c r="V32" i="123" s="1"/>
  <c r="N121" i="205"/>
  <c r="D31" i="123"/>
  <c r="J82" i="205"/>
  <c r="J19" i="205"/>
  <c r="D30" i="123" s="1"/>
  <c r="N25" i="205"/>
  <c r="N80" i="205"/>
  <c r="M31" i="123"/>
  <c r="L27" i="205"/>
  <c r="M30" i="123" s="1"/>
  <c r="O95" i="205"/>
  <c r="O37" i="205"/>
  <c r="O41" i="205" s="1"/>
  <c r="W108" i="122"/>
  <c r="D102" i="205"/>
  <c r="E31" i="113"/>
  <c r="K31" i="123" s="1"/>
  <c r="D18" i="205"/>
  <c r="E30" i="113" s="1"/>
  <c r="M80" i="205"/>
  <c r="M25" i="205"/>
  <c r="I31" i="123"/>
  <c r="K27" i="205"/>
  <c r="I30" i="123" s="1"/>
  <c r="U105" i="122"/>
  <c r="B258" i="204"/>
  <c r="C29" i="113"/>
  <c r="C29" i="123" s="1"/>
  <c r="H29" i="123"/>
  <c r="K238" i="204"/>
  <c r="AC105" i="122" s="1"/>
  <c r="Y29" i="123"/>
  <c r="Z29" i="123" s="1"/>
  <c r="O238" i="204"/>
  <c r="D29" i="123"/>
  <c r="J238" i="204"/>
  <c r="AB105" i="122" s="1"/>
  <c r="U29" i="123"/>
  <c r="V29" i="123" s="1"/>
  <c r="N238" i="204"/>
  <c r="W104" i="122"/>
  <c r="E28" i="113"/>
  <c r="K28" i="123" s="1"/>
  <c r="D219" i="204"/>
  <c r="Q28" i="123"/>
  <c r="R28" i="123" s="1"/>
  <c r="M199" i="204"/>
  <c r="V104" i="122"/>
  <c r="D28" i="113"/>
  <c r="G28" i="123" s="1"/>
  <c r="C219" i="204"/>
  <c r="L28" i="123"/>
  <c r="L199" i="204"/>
  <c r="AD104" i="122" s="1"/>
  <c r="V80" i="122"/>
  <c r="C18" i="201"/>
  <c r="D16" i="113" s="1"/>
  <c r="C102" i="201"/>
  <c r="D17" i="113"/>
  <c r="G17" i="123" s="1"/>
  <c r="L17" i="123"/>
  <c r="L19" i="201"/>
  <c r="L16" i="123" s="1"/>
  <c r="L82" i="201"/>
  <c r="L88" i="201" s="1"/>
  <c r="E17" i="123"/>
  <c r="J27" i="201"/>
  <c r="E16" i="123" s="1"/>
  <c r="N95" i="201"/>
  <c r="N37" i="201"/>
  <c r="N41" i="201" s="1"/>
  <c r="W80" i="122"/>
  <c r="D18" i="201"/>
  <c r="E16" i="113" s="1"/>
  <c r="E17" i="113"/>
  <c r="K17" i="123" s="1"/>
  <c r="D102" i="201"/>
  <c r="M80" i="201"/>
  <c r="M25" i="201"/>
  <c r="I17" i="123"/>
  <c r="K27" i="201"/>
  <c r="I16" i="123" s="1"/>
  <c r="O95" i="201"/>
  <c r="O37" i="201"/>
  <c r="O41" i="201" s="1"/>
  <c r="AF75" i="122"/>
  <c r="N166" i="200"/>
  <c r="W75" i="122"/>
  <c r="D180" i="200"/>
  <c r="AE75" i="122"/>
  <c r="M166" i="200"/>
  <c r="U60" i="122"/>
  <c r="C8" i="113"/>
  <c r="C8" i="123" s="1"/>
  <c r="B141" i="198"/>
  <c r="H8" i="123"/>
  <c r="K121" i="198"/>
  <c r="AC60" i="122" s="1"/>
  <c r="Y8" i="123"/>
  <c r="Z8" i="123" s="1"/>
  <c r="O121" i="198"/>
  <c r="D8" i="123"/>
  <c r="J121" i="198"/>
  <c r="AB60" i="122" s="1"/>
  <c r="U8" i="123"/>
  <c r="V8" i="123" s="1"/>
  <c r="N121" i="198"/>
  <c r="U242" i="122"/>
  <c r="B141" i="216"/>
  <c r="AG242" i="122"/>
  <c r="O127" i="216"/>
  <c r="AF242" i="122"/>
  <c r="N127" i="216"/>
  <c r="W236" i="122"/>
  <c r="D180" i="224"/>
  <c r="AE236" i="122"/>
  <c r="M166" i="224"/>
  <c r="V236" i="122"/>
  <c r="C180" i="224"/>
  <c r="K166" i="224"/>
  <c r="C77" i="113"/>
  <c r="C77" i="123" s="1"/>
  <c r="B141" i="224"/>
  <c r="U235" i="122"/>
  <c r="H77" i="123"/>
  <c r="K121" i="224"/>
  <c r="AC235" i="122" s="1"/>
  <c r="Y77" i="123"/>
  <c r="Z77" i="123" s="1"/>
  <c r="O121" i="224"/>
  <c r="D77" i="123"/>
  <c r="J121" i="224"/>
  <c r="AB235" i="122" s="1"/>
  <c r="U77" i="123"/>
  <c r="V77" i="123" s="1"/>
  <c r="N121" i="224"/>
  <c r="D76" i="123"/>
  <c r="J19" i="224"/>
  <c r="D75" i="123" s="1"/>
  <c r="J82" i="224"/>
  <c r="J88" i="224" s="1"/>
  <c r="N25" i="224"/>
  <c r="N80" i="224"/>
  <c r="M76" i="123"/>
  <c r="L27" i="224"/>
  <c r="M75" i="123" s="1"/>
  <c r="C76" i="113"/>
  <c r="C76" i="123" s="1"/>
  <c r="B102" i="224"/>
  <c r="U234" i="122"/>
  <c r="B18" i="224"/>
  <c r="C75" i="113" s="1"/>
  <c r="K19" i="224"/>
  <c r="H75" i="123" s="1"/>
  <c r="H76" i="123"/>
  <c r="K82" i="224"/>
  <c r="O80" i="224"/>
  <c r="O25" i="224"/>
  <c r="M95" i="224"/>
  <c r="M37" i="224"/>
  <c r="M41" i="224" s="1"/>
  <c r="V229" i="122"/>
  <c r="C180" i="223"/>
  <c r="U229" i="122"/>
  <c r="B180" i="223"/>
  <c r="AG229" i="122"/>
  <c r="O166" i="223"/>
  <c r="AF180" i="122"/>
  <c r="N166" i="215"/>
  <c r="W180" i="122"/>
  <c r="D180" i="215"/>
  <c r="AE180" i="122"/>
  <c r="M166" i="215"/>
  <c r="U165" i="122"/>
  <c r="B141" i="213"/>
  <c r="AG165" i="122"/>
  <c r="O127" i="213"/>
  <c r="AF165" i="122"/>
  <c r="N127" i="213"/>
  <c r="D53" i="123"/>
  <c r="J19" i="213"/>
  <c r="D52" i="123" s="1"/>
  <c r="J82" i="213"/>
  <c r="J88" i="213" s="1"/>
  <c r="N25" i="213"/>
  <c r="N80" i="213"/>
  <c r="M53" i="123"/>
  <c r="L27" i="213"/>
  <c r="M52" i="123" s="1"/>
  <c r="O95" i="213"/>
  <c r="O37" i="213"/>
  <c r="O41" i="213" s="1"/>
  <c r="E53" i="113"/>
  <c r="K53" i="123" s="1"/>
  <c r="D18" i="213"/>
  <c r="E52" i="113" s="1"/>
  <c r="W164" i="122"/>
  <c r="D102" i="213"/>
  <c r="M80" i="213"/>
  <c r="M25" i="213"/>
  <c r="I53" i="123"/>
  <c r="K27" i="213"/>
  <c r="I52" i="123" s="1"/>
  <c r="U157" i="122"/>
  <c r="B102" i="212"/>
  <c r="B18" i="212"/>
  <c r="C49" i="113" s="1"/>
  <c r="C50" i="113"/>
  <c r="C50" i="123" s="1"/>
  <c r="H50" i="123"/>
  <c r="K82" i="212"/>
  <c r="K88" i="212" s="1"/>
  <c r="K19" i="212"/>
  <c r="H49" i="123" s="1"/>
  <c r="O25" i="212"/>
  <c r="O80" i="212"/>
  <c r="N95" i="212"/>
  <c r="N37" i="212"/>
  <c r="N41" i="212" s="1"/>
  <c r="D50" i="123"/>
  <c r="J19" i="212"/>
  <c r="D49" i="123" s="1"/>
  <c r="J82" i="212"/>
  <c r="N80" i="212"/>
  <c r="N25" i="212"/>
  <c r="M50" i="123"/>
  <c r="L27" i="212"/>
  <c r="M49" i="123" s="1"/>
  <c r="O95" i="212"/>
  <c r="O37" i="212"/>
  <c r="O41" i="212" s="1"/>
  <c r="W152" i="122"/>
  <c r="D180" i="211"/>
  <c r="AE152" i="122"/>
  <c r="M166" i="211"/>
  <c r="V152" i="122"/>
  <c r="C180" i="211"/>
  <c r="B102" i="211"/>
  <c r="B18" i="211"/>
  <c r="C46" i="113" s="1"/>
  <c r="C47" i="113"/>
  <c r="C47" i="123" s="1"/>
  <c r="U150" i="122"/>
  <c r="H47" i="123"/>
  <c r="K82" i="211"/>
  <c r="K19" i="211"/>
  <c r="H46" i="123" s="1"/>
  <c r="O25" i="211"/>
  <c r="O80" i="211"/>
  <c r="N95" i="211"/>
  <c r="N37" i="211"/>
  <c r="N41" i="211" s="1"/>
  <c r="D47" i="123"/>
  <c r="J82" i="211"/>
  <c r="J88" i="211" s="1"/>
  <c r="J19" i="211"/>
  <c r="D46" i="123" s="1"/>
  <c r="N80" i="211"/>
  <c r="N25" i="211"/>
  <c r="M47" i="123"/>
  <c r="L27" i="211"/>
  <c r="M46" i="123" s="1"/>
  <c r="O95" i="211"/>
  <c r="O37" i="211"/>
  <c r="O41" i="211" s="1"/>
  <c r="AF137" i="122"/>
  <c r="N127" i="209"/>
  <c r="W137" i="122"/>
  <c r="D141" i="209"/>
  <c r="AE137" i="122"/>
  <c r="M127" i="209"/>
  <c r="B102" i="209"/>
  <c r="C42" i="113"/>
  <c r="C42" i="123" s="1"/>
  <c r="B18" i="209"/>
  <c r="C41" i="113" s="1"/>
  <c r="U136" i="122"/>
  <c r="H42" i="123"/>
  <c r="K19" i="209"/>
  <c r="H41" i="123" s="1"/>
  <c r="K82" i="209"/>
  <c r="K88" i="209" s="1"/>
  <c r="O80" i="209"/>
  <c r="O25" i="209"/>
  <c r="N95" i="209"/>
  <c r="N37" i="209"/>
  <c r="N41" i="209" s="1"/>
  <c r="D42" i="123"/>
  <c r="J19" i="209"/>
  <c r="D41" i="123" s="1"/>
  <c r="J82" i="209"/>
  <c r="N80" i="209"/>
  <c r="N25" i="209"/>
  <c r="M42" i="123"/>
  <c r="L27" i="209"/>
  <c r="M41" i="123" s="1"/>
  <c r="O95" i="209"/>
  <c r="O37" i="209"/>
  <c r="O41" i="209" s="1"/>
  <c r="AF131" i="122"/>
  <c r="N166" i="208"/>
  <c r="W131" i="122"/>
  <c r="D180" i="208"/>
  <c r="AE131" i="122"/>
  <c r="M166" i="208"/>
  <c r="V88" i="122"/>
  <c r="C141" i="202"/>
  <c r="U88" i="122"/>
  <c r="B141" i="202"/>
  <c r="AG88" i="122"/>
  <c r="O127" i="202"/>
  <c r="N121" i="200"/>
  <c r="N27" i="200"/>
  <c r="U14" i="123" s="1"/>
  <c r="V14" i="123" s="1"/>
  <c r="H6" i="163" s="1"/>
  <c r="O121" i="200"/>
  <c r="O27" i="200"/>
  <c r="Y14" i="123" s="1"/>
  <c r="Z14" i="123" s="1"/>
  <c r="I6" i="163" s="1"/>
  <c r="V69" i="122"/>
  <c r="C219" i="199"/>
  <c r="D13" i="113"/>
  <c r="G13" i="123" s="1"/>
  <c r="L13" i="123"/>
  <c r="L199" i="199"/>
  <c r="AD69" i="122" s="1"/>
  <c r="U69" i="122"/>
  <c r="B219" i="199"/>
  <c r="C13" i="113"/>
  <c r="C13" i="123" s="1"/>
  <c r="H13" i="123"/>
  <c r="K199" i="199"/>
  <c r="AC69" i="122" s="1"/>
  <c r="Y13" i="123"/>
  <c r="Z13" i="123" s="1"/>
  <c r="O199" i="199"/>
  <c r="AD66" i="122"/>
  <c r="L88" i="199"/>
  <c r="AF64" i="122"/>
  <c r="N283" i="198"/>
  <c r="W64" i="122"/>
  <c r="D297" i="198"/>
  <c r="AE64" i="122"/>
  <c r="M283" i="198"/>
  <c r="V249" i="122"/>
  <c r="C141" i="225"/>
  <c r="U249" i="122"/>
  <c r="B141" i="225"/>
  <c r="AG249" i="122"/>
  <c r="O127" i="225"/>
  <c r="D102" i="225"/>
  <c r="E81" i="113"/>
  <c r="K81" i="123" s="1"/>
  <c r="D18" i="225"/>
  <c r="E80" i="113" s="1"/>
  <c r="W248" i="122"/>
  <c r="M80" i="225"/>
  <c r="M25" i="225"/>
  <c r="I81" i="123"/>
  <c r="K27" i="225"/>
  <c r="I80" i="123" s="1"/>
  <c r="C18" i="225"/>
  <c r="D80" i="113" s="1"/>
  <c r="D81" i="113"/>
  <c r="G81" i="123" s="1"/>
  <c r="V248" i="122"/>
  <c r="C102" i="225"/>
  <c r="L81" i="123"/>
  <c r="L19" i="225"/>
  <c r="L80" i="123" s="1"/>
  <c r="L82" i="225"/>
  <c r="E81" i="123"/>
  <c r="J27" i="225"/>
  <c r="E80" i="123" s="1"/>
  <c r="M95" i="225"/>
  <c r="M37" i="225"/>
  <c r="M41" i="225" s="1"/>
  <c r="U194" i="122"/>
  <c r="C64" i="113"/>
  <c r="C64" i="123" s="1"/>
  <c r="B180" i="218"/>
  <c r="H64" i="123"/>
  <c r="K160" i="218"/>
  <c r="AC194" i="122" s="1"/>
  <c r="Y64" i="123"/>
  <c r="Z64" i="123" s="1"/>
  <c r="O160" i="218"/>
  <c r="D64" i="123"/>
  <c r="J160" i="218"/>
  <c r="AB194" i="122" s="1"/>
  <c r="U64" i="123"/>
  <c r="V64" i="123" s="1"/>
  <c r="N160" i="218"/>
  <c r="W187" i="122"/>
  <c r="D180" i="217"/>
  <c r="AE187" i="122"/>
  <c r="M166" i="217"/>
  <c r="V187" i="122"/>
  <c r="C180" i="217"/>
  <c r="B141" i="217"/>
  <c r="C60" i="113"/>
  <c r="C60" i="123" s="1"/>
  <c r="U186" i="122"/>
  <c r="H60" i="123"/>
  <c r="K121" i="217"/>
  <c r="AC186" i="122" s="1"/>
  <c r="Y60" i="123"/>
  <c r="Z60" i="123" s="1"/>
  <c r="O121" i="217"/>
  <c r="V186" i="122"/>
  <c r="D60" i="113"/>
  <c r="G60" i="123" s="1"/>
  <c r="C141" i="217"/>
  <c r="L60" i="123"/>
  <c r="L121" i="217"/>
  <c r="AD186" i="122" s="1"/>
  <c r="D59" i="123"/>
  <c r="J19" i="217"/>
  <c r="D58" i="123" s="1"/>
  <c r="J82" i="217"/>
  <c r="N25" i="217"/>
  <c r="N80" i="217"/>
  <c r="M59" i="123"/>
  <c r="L27" i="217"/>
  <c r="M58" i="123" s="1"/>
  <c r="O95" i="217"/>
  <c r="O37" i="217"/>
  <c r="O41" i="217" s="1"/>
  <c r="D102" i="217"/>
  <c r="D18" i="217"/>
  <c r="E58" i="113" s="1"/>
  <c r="E59" i="113"/>
  <c r="K59" i="123" s="1"/>
  <c r="W185" i="122"/>
  <c r="M80" i="217"/>
  <c r="M25" i="217"/>
  <c r="I59" i="123"/>
  <c r="K27" i="217"/>
  <c r="I58" i="123" s="1"/>
  <c r="U179" i="122"/>
  <c r="B141" i="215"/>
  <c r="AG179" i="122"/>
  <c r="O127" i="215"/>
  <c r="AF179" i="122"/>
  <c r="N127" i="215"/>
  <c r="D57" i="123"/>
  <c r="J19" i="215"/>
  <c r="D56" i="123" s="1"/>
  <c r="J82" i="215"/>
  <c r="N25" i="215"/>
  <c r="N80" i="215"/>
  <c r="M57" i="123"/>
  <c r="L27" i="215"/>
  <c r="M56" i="123" s="1"/>
  <c r="O95" i="215"/>
  <c r="O37" i="215"/>
  <c r="O41" i="215" s="1"/>
  <c r="W178" i="122"/>
  <c r="D102" i="215"/>
  <c r="E57" i="113"/>
  <c r="K57" i="123" s="1"/>
  <c r="D18" i="215"/>
  <c r="E56" i="113" s="1"/>
  <c r="M80" i="215"/>
  <c r="M25" i="215"/>
  <c r="I57" i="123"/>
  <c r="K27" i="215"/>
  <c r="I56" i="123" s="1"/>
  <c r="U172" i="122"/>
  <c r="B141" i="214"/>
  <c r="AG172" i="122"/>
  <c r="O127" i="214"/>
  <c r="V172" i="122"/>
  <c r="C141" i="214"/>
  <c r="W166" i="122"/>
  <c r="D180" i="213"/>
  <c r="AE166" i="122"/>
  <c r="M166" i="213"/>
  <c r="V166" i="122"/>
  <c r="C180" i="213"/>
  <c r="U130" i="122"/>
  <c r="B141" i="208"/>
  <c r="AG130" i="122"/>
  <c r="O127" i="208"/>
  <c r="AF130" i="122"/>
  <c r="N127" i="208"/>
  <c r="D40" i="123"/>
  <c r="J19" i="208"/>
  <c r="D39" i="123" s="1"/>
  <c r="J82" i="208"/>
  <c r="N25" i="208"/>
  <c r="N80" i="208"/>
  <c r="M40" i="123"/>
  <c r="L27" i="208"/>
  <c r="M39" i="123" s="1"/>
  <c r="O95" i="208"/>
  <c r="O37" i="208"/>
  <c r="O41" i="208" s="1"/>
  <c r="E40" i="113"/>
  <c r="K40" i="123" s="1"/>
  <c r="D102" i="208"/>
  <c r="W129" i="122"/>
  <c r="D18" i="208"/>
  <c r="E39" i="113" s="1"/>
  <c r="M80" i="208"/>
  <c r="M25" i="208"/>
  <c r="I40" i="123"/>
  <c r="K27" i="208"/>
  <c r="I39" i="123" s="1"/>
  <c r="U102" i="122"/>
  <c r="B141" i="204"/>
  <c r="AG102" i="122"/>
  <c r="O127" i="204"/>
  <c r="AF102" i="122"/>
  <c r="N127" i="204"/>
  <c r="W81" i="122"/>
  <c r="D141" i="201"/>
  <c r="AE81" i="122"/>
  <c r="M127" i="201"/>
  <c r="V81" i="122"/>
  <c r="C141" i="201"/>
  <c r="Q7" i="123"/>
  <c r="R7" i="123" s="1"/>
  <c r="M82" i="198"/>
  <c r="M27" i="198"/>
  <c r="Q6" i="123" s="1"/>
  <c r="R6" i="123" s="1"/>
  <c r="G4" i="163" s="1"/>
  <c r="C18" i="199"/>
  <c r="D10" i="113" s="1"/>
  <c r="M25" i="199"/>
  <c r="D18" i="199"/>
  <c r="E10" i="113" s="1"/>
  <c r="J277" i="198"/>
  <c r="AB64" i="122" s="1"/>
  <c r="L160" i="217"/>
  <c r="AD187" i="122" s="1"/>
  <c r="K121" i="215"/>
  <c r="AC179" i="122" s="1"/>
  <c r="J121" i="215"/>
  <c r="AB179" i="122" s="1"/>
  <c r="K121" i="214"/>
  <c r="AC172" i="122" s="1"/>
  <c r="L27" i="198"/>
  <c r="M6" i="123" s="1"/>
  <c r="N25" i="198"/>
  <c r="J19" i="198"/>
  <c r="D6" i="123" s="1"/>
  <c r="D18" i="198"/>
  <c r="E6" i="113" s="1"/>
  <c r="G61" i="113"/>
  <c r="G31" i="183" s="1"/>
  <c r="Q21" i="113"/>
  <c r="G48" i="203"/>
  <c r="Y21" i="123"/>
  <c r="O82" i="203"/>
  <c r="O27" i="203"/>
  <c r="AC94" i="122"/>
  <c r="AD94" i="122"/>
  <c r="L88" i="203"/>
  <c r="I21" i="113"/>
  <c r="E48" i="203"/>
  <c r="O41" i="203"/>
  <c r="K88" i="203"/>
  <c r="J21" i="123"/>
  <c r="N21" i="123"/>
  <c r="N41" i="203"/>
  <c r="M21" i="113"/>
  <c r="F48" i="203"/>
  <c r="Q21" i="123"/>
  <c r="M82" i="203"/>
  <c r="M27" i="203"/>
  <c r="U21" i="123"/>
  <c r="N82" i="203"/>
  <c r="N27" i="203"/>
  <c r="AB94" i="122"/>
  <c r="J88" i="203"/>
  <c r="O60" i="228"/>
  <c r="O63" i="228"/>
  <c r="L63" i="214"/>
  <c r="I53" i="2"/>
  <c r="AX49" i="234"/>
  <c r="X22" i="234"/>
  <c r="AG22" i="192"/>
  <c r="I20" i="2" s="1"/>
  <c r="I54" i="2"/>
  <c r="AX50" i="234"/>
  <c r="I40" i="2"/>
  <c r="AX36" i="234"/>
  <c r="I52" i="2"/>
  <c r="AX48" i="234"/>
  <c r="F5" i="2"/>
  <c r="F104" i="192"/>
  <c r="I39" i="2"/>
  <c r="AX35" i="234"/>
  <c r="I37" i="2"/>
  <c r="AX33" i="234"/>
  <c r="H36" i="2"/>
  <c r="AV32" i="234"/>
  <c r="I38" i="2"/>
  <c r="AX34" i="234"/>
  <c r="AX28" i="234"/>
  <c r="I32" i="2"/>
  <c r="I30" i="2"/>
  <c r="AX26" i="234"/>
  <c r="I28" i="2"/>
  <c r="AX24" i="234"/>
  <c r="X31" i="192"/>
  <c r="X7" i="192" s="1"/>
  <c r="X7" i="234" s="1"/>
  <c r="H27" i="2"/>
  <c r="AV23" i="234"/>
  <c r="G26" i="2"/>
  <c r="AT22" i="234"/>
  <c r="I29" i="2"/>
  <c r="AX25" i="234"/>
  <c r="I21" i="2"/>
  <c r="AX19" i="234"/>
  <c r="I17" i="2"/>
  <c r="I8" i="2"/>
  <c r="AX10" i="234"/>
  <c r="AV8" i="234"/>
  <c r="H6" i="2"/>
  <c r="G5" i="2"/>
  <c r="O104" i="192"/>
  <c r="AT7" i="234"/>
  <c r="I7" i="2"/>
  <c r="AX9" i="234"/>
  <c r="I136" i="199"/>
  <c r="M226" i="199"/>
  <c r="I253" i="199" s="1"/>
  <c r="M265" i="203"/>
  <c r="I292" i="203" s="1"/>
  <c r="I136" i="203"/>
  <c r="N109" i="223"/>
  <c r="I138" i="223" s="1"/>
  <c r="N148" i="223"/>
  <c r="I177" i="223" s="1"/>
  <c r="I99" i="223"/>
  <c r="N51" i="223"/>
  <c r="F148" i="216"/>
  <c r="F109" i="216"/>
  <c r="F148" i="222"/>
  <c r="F109" i="222"/>
  <c r="F148" i="214"/>
  <c r="F109" i="214"/>
  <c r="F187" i="219"/>
  <c r="F148" i="219"/>
  <c r="F109" i="219"/>
  <c r="F148" i="217"/>
  <c r="F109" i="217"/>
  <c r="F148" i="212"/>
  <c r="F109" i="212"/>
  <c r="F148" i="208"/>
  <c r="F109" i="208"/>
  <c r="F148" i="206"/>
  <c r="F187" i="206"/>
  <c r="F109" i="206"/>
  <c r="N109" i="201"/>
  <c r="I138" i="201" s="1"/>
  <c r="N51" i="201"/>
  <c r="N148" i="201"/>
  <c r="I177" i="201" s="1"/>
  <c r="I99" i="201"/>
  <c r="N187" i="199"/>
  <c r="I216" i="199" s="1"/>
  <c r="N109" i="199"/>
  <c r="N148" i="199"/>
  <c r="I177" i="199" s="1"/>
  <c r="I99" i="199"/>
  <c r="N51" i="199"/>
  <c r="F148" i="209"/>
  <c r="F109" i="209"/>
  <c r="F226" i="203"/>
  <c r="F148" i="203"/>
  <c r="F109" i="203"/>
  <c r="F265" i="203" s="1"/>
  <c r="F187" i="203"/>
  <c r="H3" i="2"/>
  <c r="P29" i="192"/>
  <c r="P75" i="192" s="1"/>
  <c r="L11" i="122"/>
  <c r="L17" i="122" s="1"/>
  <c r="G7" i="164"/>
  <c r="L26" i="122"/>
  <c r="N109" i="225"/>
  <c r="I138" i="225" s="1"/>
  <c r="N148" i="225"/>
  <c r="I177" i="225" s="1"/>
  <c r="I99" i="225"/>
  <c r="N51" i="225"/>
  <c r="N148" i="224"/>
  <c r="I177" i="224" s="1"/>
  <c r="I99" i="224"/>
  <c r="N109" i="224"/>
  <c r="I138" i="224" s="1"/>
  <c r="N51" i="224"/>
  <c r="N187" i="220"/>
  <c r="I216" i="220" s="1"/>
  <c r="N109" i="220"/>
  <c r="I138" i="220" s="1"/>
  <c r="N148" i="220"/>
  <c r="I177" i="220" s="1"/>
  <c r="I99" i="220"/>
  <c r="N51" i="220"/>
  <c r="N148" i="213"/>
  <c r="I177" i="213" s="1"/>
  <c r="I99" i="213"/>
  <c r="N51" i="213"/>
  <c r="N109" i="213"/>
  <c r="I138" i="213" s="1"/>
  <c r="N148" i="218"/>
  <c r="I177" i="218" s="1"/>
  <c r="I99" i="218"/>
  <c r="N51" i="218"/>
  <c r="N187" i="218"/>
  <c r="I216" i="218" s="1"/>
  <c r="N109" i="218"/>
  <c r="I138" i="218" s="1"/>
  <c r="N109" i="215"/>
  <c r="I138" i="215" s="1"/>
  <c r="N148" i="215"/>
  <c r="I177" i="215" s="1"/>
  <c r="I99" i="215"/>
  <c r="N51" i="215"/>
  <c r="I99" i="211"/>
  <c r="N51" i="211"/>
  <c r="N148" i="211"/>
  <c r="I177" i="211" s="1"/>
  <c r="N109" i="211"/>
  <c r="I138" i="211" s="1"/>
  <c r="F148" i="207"/>
  <c r="F109" i="207"/>
  <c r="N226" i="204"/>
  <c r="I255" i="204" s="1"/>
  <c r="N109" i="204"/>
  <c r="I138" i="204" s="1"/>
  <c r="N51" i="204"/>
  <c r="N265" i="204"/>
  <c r="I294" i="204" s="1"/>
  <c r="N187" i="204"/>
  <c r="I216" i="204" s="1"/>
  <c r="N148" i="204"/>
  <c r="I177" i="204" s="1"/>
  <c r="I99" i="204"/>
  <c r="N148" i="200"/>
  <c r="I177" i="200" s="1"/>
  <c r="I99" i="200"/>
  <c r="N51" i="200"/>
  <c r="N109" i="200"/>
  <c r="I138" i="200" s="1"/>
  <c r="N226" i="198"/>
  <c r="I255" i="198" s="1"/>
  <c r="N187" i="198"/>
  <c r="N109" i="198"/>
  <c r="N51" i="198"/>
  <c r="N148" i="198"/>
  <c r="I177" i="198" s="1"/>
  <c r="I99" i="198"/>
  <c r="I216" i="198" s="1"/>
  <c r="F148" i="210"/>
  <c r="F109" i="210"/>
  <c r="F148" i="205"/>
  <c r="F187" i="205"/>
  <c r="F109" i="205"/>
  <c r="F109" i="202"/>
  <c r="F148" i="202"/>
  <c r="G70" i="199"/>
  <c r="O16" i="199"/>
  <c r="O70" i="199" s="1"/>
  <c r="G70" i="201"/>
  <c r="O16" i="201"/>
  <c r="O70" i="201" s="1"/>
  <c r="G70" i="206"/>
  <c r="O16" i="206"/>
  <c r="O70" i="206" s="1"/>
  <c r="G70" i="208"/>
  <c r="O16" i="208"/>
  <c r="O70" i="208" s="1"/>
  <c r="G70" i="203"/>
  <c r="O16" i="203"/>
  <c r="O70" i="203" s="1"/>
  <c r="O16" i="209"/>
  <c r="O70" i="209" s="1"/>
  <c r="G70" i="209"/>
  <c r="G70" i="213"/>
  <c r="O16" i="213"/>
  <c r="O70" i="213" s="1"/>
  <c r="O16" i="211"/>
  <c r="O70" i="211" s="1"/>
  <c r="G70" i="211"/>
  <c r="G70" i="215"/>
  <c r="O16" i="215"/>
  <c r="O70" i="215" s="1"/>
  <c r="G70" i="218"/>
  <c r="O16" i="218"/>
  <c r="O70" i="218" s="1"/>
  <c r="O16" i="220"/>
  <c r="O70" i="220" s="1"/>
  <c r="G70" i="220"/>
  <c r="G70" i="225"/>
  <c r="O16" i="225"/>
  <c r="O70" i="225" s="1"/>
  <c r="O16" i="222"/>
  <c r="O70" i="222" s="1"/>
  <c r="G70" i="222"/>
  <c r="G70" i="216"/>
  <c r="O16" i="216"/>
  <c r="O70" i="216" s="1"/>
  <c r="F109" i="223"/>
  <c r="F148" i="223"/>
  <c r="N148" i="216"/>
  <c r="I177" i="216" s="1"/>
  <c r="N109" i="216"/>
  <c r="I138" i="216" s="1"/>
  <c r="I99" i="216"/>
  <c r="N51" i="216"/>
  <c r="N148" i="222"/>
  <c r="I177" i="222" s="1"/>
  <c r="N109" i="222"/>
  <c r="I138" i="222" s="1"/>
  <c r="I99" i="222"/>
  <c r="N51" i="222"/>
  <c r="I99" i="214"/>
  <c r="N51" i="214"/>
  <c r="N148" i="214"/>
  <c r="I177" i="214" s="1"/>
  <c r="N109" i="214"/>
  <c r="I138" i="214" s="1"/>
  <c r="N187" i="219"/>
  <c r="I216" i="219" s="1"/>
  <c r="I99" i="219"/>
  <c r="N148" i="219"/>
  <c r="I177" i="219" s="1"/>
  <c r="N109" i="219"/>
  <c r="I138" i="219" s="1"/>
  <c r="N51" i="219"/>
  <c r="I99" i="217"/>
  <c r="N51" i="217"/>
  <c r="N148" i="217"/>
  <c r="I177" i="217" s="1"/>
  <c r="N109" i="217"/>
  <c r="I138" i="217" s="1"/>
  <c r="N148" i="212"/>
  <c r="I177" i="212" s="1"/>
  <c r="N109" i="212"/>
  <c r="I138" i="212" s="1"/>
  <c r="I99" i="212"/>
  <c r="N51" i="212"/>
  <c r="I99" i="208"/>
  <c r="N51" i="208"/>
  <c r="N148" i="208"/>
  <c r="I177" i="208" s="1"/>
  <c r="N109" i="208"/>
  <c r="I138" i="208" s="1"/>
  <c r="N148" i="206"/>
  <c r="I177" i="206" s="1"/>
  <c r="I99" i="206"/>
  <c r="N51" i="206"/>
  <c r="N187" i="206"/>
  <c r="I216" i="206" s="1"/>
  <c r="N109" i="206"/>
  <c r="I138" i="206" s="1"/>
  <c r="F109" i="201"/>
  <c r="F148" i="201"/>
  <c r="F187" i="199"/>
  <c r="F109" i="199"/>
  <c r="F226" i="199" s="1"/>
  <c r="F148" i="199"/>
  <c r="I99" i="209"/>
  <c r="N51" i="209"/>
  <c r="N148" i="209"/>
  <c r="I177" i="209" s="1"/>
  <c r="N109" i="209"/>
  <c r="I138" i="209" s="1"/>
  <c r="N226" i="203"/>
  <c r="I255" i="203" s="1"/>
  <c r="N148" i="203"/>
  <c r="I177" i="203" s="1"/>
  <c r="N109" i="203"/>
  <c r="N51" i="203"/>
  <c r="N187" i="203"/>
  <c r="I216" i="203" s="1"/>
  <c r="I99" i="203"/>
  <c r="M265" i="198"/>
  <c r="I292" i="198" s="1"/>
  <c r="I136" i="198"/>
  <c r="F109" i="225"/>
  <c r="F148" i="225"/>
  <c r="F148" i="224"/>
  <c r="F109" i="224"/>
  <c r="F187" i="220"/>
  <c r="F109" i="220"/>
  <c r="F148" i="220"/>
  <c r="F148" i="213"/>
  <c r="F109" i="213"/>
  <c r="F148" i="218"/>
  <c r="F187" i="218"/>
  <c r="F109" i="218"/>
  <c r="F109" i="215"/>
  <c r="F148" i="215"/>
  <c r="F148" i="211"/>
  <c r="F109" i="211"/>
  <c r="N148" i="207"/>
  <c r="I177" i="207" s="1"/>
  <c r="I99" i="207"/>
  <c r="N109" i="207"/>
  <c r="I138" i="207" s="1"/>
  <c r="N51" i="207"/>
  <c r="F226" i="204"/>
  <c r="F109" i="204"/>
  <c r="F265" i="204"/>
  <c r="F187" i="204"/>
  <c r="F148" i="204"/>
  <c r="F148" i="200"/>
  <c r="F109" i="200"/>
  <c r="F226" i="198"/>
  <c r="F187" i="198"/>
  <c r="F109" i="198"/>
  <c r="F265" i="198" s="1"/>
  <c r="F148" i="198"/>
  <c r="N148" i="210"/>
  <c r="I177" i="210" s="1"/>
  <c r="I99" i="210"/>
  <c r="N51" i="210"/>
  <c r="N109" i="210"/>
  <c r="I138" i="210" s="1"/>
  <c r="N148" i="205"/>
  <c r="I177" i="205" s="1"/>
  <c r="I99" i="205"/>
  <c r="N51" i="205"/>
  <c r="N187" i="205"/>
  <c r="I216" i="205" s="1"/>
  <c r="N109" i="205"/>
  <c r="I138" i="205" s="1"/>
  <c r="N109" i="202"/>
  <c r="I138" i="202" s="1"/>
  <c r="N148" i="202"/>
  <c r="I177" i="202" s="1"/>
  <c r="I99" i="202"/>
  <c r="N51" i="202"/>
  <c r="Z57" i="122"/>
  <c r="AG57" i="122" s="1"/>
  <c r="G70" i="198"/>
  <c r="O16" i="198"/>
  <c r="O70" i="198" s="1"/>
  <c r="G70" i="200"/>
  <c r="O16" i="200"/>
  <c r="O70" i="200" s="1"/>
  <c r="G70" i="204"/>
  <c r="O16" i="204"/>
  <c r="O70" i="204" s="1"/>
  <c r="G70" i="207"/>
  <c r="O16" i="207"/>
  <c r="O70" i="207" s="1"/>
  <c r="M5" i="122"/>
  <c r="I3" i="163"/>
  <c r="I3" i="233"/>
  <c r="H3" i="239"/>
  <c r="I3" i="230"/>
  <c r="Y5" i="234"/>
  <c r="Y5" i="192"/>
  <c r="G5" i="106"/>
  <c r="G70" i="202"/>
  <c r="O16" i="202"/>
  <c r="O70" i="202" s="1"/>
  <c r="O16" i="205"/>
  <c r="O70" i="205" s="1"/>
  <c r="G70" i="205"/>
  <c r="O16" i="210"/>
  <c r="O70" i="210" s="1"/>
  <c r="G70" i="210"/>
  <c r="G70" i="214"/>
  <c r="O16" i="214"/>
  <c r="O70" i="214" s="1"/>
  <c r="G70" i="212"/>
  <c r="O16" i="212"/>
  <c r="O70" i="212" s="1"/>
  <c r="O16" i="217"/>
  <c r="O70" i="217" s="1"/>
  <c r="G70" i="217"/>
  <c r="G70" i="219"/>
  <c r="O16" i="219"/>
  <c r="O70" i="219" s="1"/>
  <c r="G70" i="223"/>
  <c r="O16" i="223"/>
  <c r="O70" i="223" s="1"/>
  <c r="O16" i="224"/>
  <c r="O70" i="224" s="1"/>
  <c r="G70" i="224"/>
  <c r="G67" i="228"/>
  <c r="O16" i="228"/>
  <c r="O51" i="228" s="1"/>
  <c r="E3" i="229"/>
  <c r="C5" i="131"/>
  <c r="D24" i="135"/>
  <c r="D9" i="135"/>
  <c r="H7" i="188"/>
  <c r="F7" i="188"/>
  <c r="I30" i="135"/>
  <c r="G35" i="183"/>
  <c r="G8" i="183"/>
  <c r="M60" i="228"/>
  <c r="L60" i="217"/>
  <c r="Q30" i="183"/>
  <c r="Q32" i="183" s="1"/>
  <c r="W58" i="123"/>
  <c r="I24" i="126"/>
  <c r="O58" i="113"/>
  <c r="I30" i="183"/>
  <c r="I32" i="183" s="1"/>
  <c r="O58" i="123"/>
  <c r="G24" i="126"/>
  <c r="G58" i="113"/>
  <c r="M30" i="183"/>
  <c r="M32" i="183" s="1"/>
  <c r="S58" i="123"/>
  <c r="K58" i="113"/>
  <c r="H24" i="126"/>
  <c r="W69" i="123" l="1"/>
  <c r="O69" i="113"/>
  <c r="W79" i="123"/>
  <c r="O79" i="113"/>
  <c r="W52" i="123"/>
  <c r="O52" i="113"/>
  <c r="O25" i="183" s="1"/>
  <c r="O27" i="183" s="1"/>
  <c r="I21" i="126"/>
  <c r="Q25" i="183"/>
  <c r="Q27" i="183" s="1"/>
  <c r="I8" i="230" s="1"/>
  <c r="M34" i="183"/>
  <c r="M35" i="183" s="1"/>
  <c r="H11" i="230" s="1"/>
  <c r="S67" i="123"/>
  <c r="H27" i="126"/>
  <c r="K67" i="113"/>
  <c r="K34" i="183" s="1"/>
  <c r="K35" i="183" s="1"/>
  <c r="W81" i="123"/>
  <c r="O81" i="113"/>
  <c r="W53" i="123"/>
  <c r="O53" i="113"/>
  <c r="S69" i="123"/>
  <c r="V69" i="123" s="1"/>
  <c r="K69" i="113"/>
  <c r="K41" i="113"/>
  <c r="K20" i="183" s="1"/>
  <c r="K22" i="183" s="1"/>
  <c r="H17" i="126"/>
  <c r="M20" i="183"/>
  <c r="M22" i="183" s="1"/>
  <c r="H7" i="230" s="1"/>
  <c r="S41" i="123"/>
  <c r="O73" i="123"/>
  <c r="I37" i="183"/>
  <c r="G29" i="126"/>
  <c r="G73" i="113"/>
  <c r="G37" i="183" s="1"/>
  <c r="S42" i="123"/>
  <c r="K42" i="113"/>
  <c r="O74" i="123"/>
  <c r="G74" i="113"/>
  <c r="G43" i="113"/>
  <c r="G21" i="183" s="1"/>
  <c r="I21" i="183"/>
  <c r="G18" i="126"/>
  <c r="O43" i="123"/>
  <c r="K73" i="113"/>
  <c r="K37" i="183" s="1"/>
  <c r="K41" i="183" s="1"/>
  <c r="M37" i="183"/>
  <c r="M41" i="183" s="1"/>
  <c r="H12" i="230" s="1"/>
  <c r="S73" i="123"/>
  <c r="H29" i="126"/>
  <c r="G17" i="126"/>
  <c r="I20" i="183"/>
  <c r="I22" i="183" s="1"/>
  <c r="G7" i="230" s="1"/>
  <c r="O41" i="123"/>
  <c r="G41" i="113"/>
  <c r="G20" i="183" s="1"/>
  <c r="G22" i="183" s="1"/>
  <c r="Z69" i="123"/>
  <c r="G14" i="126"/>
  <c r="I16" i="183"/>
  <c r="O34" i="123"/>
  <c r="G34" i="113"/>
  <c r="G16" i="183" s="1"/>
  <c r="O44" i="123"/>
  <c r="G44" i="113"/>
  <c r="S74" i="123"/>
  <c r="K74" i="113"/>
  <c r="O42" i="123"/>
  <c r="G42" i="113"/>
  <c r="G71" i="113"/>
  <c r="G36" i="183" s="1"/>
  <c r="O71" i="123"/>
  <c r="G28" i="126"/>
  <c r="I36" i="183"/>
  <c r="I41" i="183" s="1"/>
  <c r="G12" i="230" s="1"/>
  <c r="O35" i="123"/>
  <c r="G35" i="113"/>
  <c r="O75" i="123"/>
  <c r="I38" i="183"/>
  <c r="G30" i="126"/>
  <c r="G75" i="113"/>
  <c r="G38" i="183" s="1"/>
  <c r="I23" i="126"/>
  <c r="Q28" i="183"/>
  <c r="Q29" i="183" s="1"/>
  <c r="I9" i="230" s="1"/>
  <c r="W56" i="123"/>
  <c r="O56" i="113"/>
  <c r="O28" i="183" s="1"/>
  <c r="O29" i="183" s="1"/>
  <c r="O72" i="123"/>
  <c r="G72" i="113"/>
  <c r="H21" i="126"/>
  <c r="M25" i="183"/>
  <c r="S52" i="123"/>
  <c r="K52" i="113"/>
  <c r="K25" i="183" s="1"/>
  <c r="K56" i="113"/>
  <c r="K28" i="183" s="1"/>
  <c r="K29" i="183" s="1"/>
  <c r="M28" i="183"/>
  <c r="M29" i="183" s="1"/>
  <c r="H9" i="230" s="1"/>
  <c r="S56" i="123"/>
  <c r="H23" i="126"/>
  <c r="O77" i="123"/>
  <c r="R77" i="123" s="1"/>
  <c r="G77" i="113"/>
  <c r="W57" i="123"/>
  <c r="O57" i="113"/>
  <c r="I27" i="126"/>
  <c r="O67" i="113"/>
  <c r="O34" i="183" s="1"/>
  <c r="O35" i="183" s="1"/>
  <c r="Q34" i="183"/>
  <c r="Q35" i="183" s="1"/>
  <c r="I11" i="230" s="1"/>
  <c r="W67" i="123"/>
  <c r="I31" i="126"/>
  <c r="Q39" i="183"/>
  <c r="Q41" i="183" s="1"/>
  <c r="I12" i="230" s="1"/>
  <c r="O78" i="113"/>
  <c r="O39" i="183" s="1"/>
  <c r="W78" i="123"/>
  <c r="S53" i="123"/>
  <c r="K53" i="113"/>
  <c r="S57" i="123"/>
  <c r="K57" i="113"/>
  <c r="I32" i="126"/>
  <c r="W80" i="123"/>
  <c r="Q40" i="183"/>
  <c r="O80" i="113"/>
  <c r="O40" i="183" s="1"/>
  <c r="O37" i="228"/>
  <c r="F10" i="123"/>
  <c r="D5" i="163" s="1"/>
  <c r="M37" i="228"/>
  <c r="L166" i="214"/>
  <c r="N24" i="228"/>
  <c r="L127" i="212"/>
  <c r="L283" i="198"/>
  <c r="J127" i="216"/>
  <c r="L127" i="204"/>
  <c r="K127" i="208"/>
  <c r="L166" i="210"/>
  <c r="J205" i="206"/>
  <c r="K205" i="206"/>
  <c r="J166" i="224"/>
  <c r="K127" i="216"/>
  <c r="L127" i="216"/>
  <c r="N33" i="123"/>
  <c r="L166" i="209"/>
  <c r="J127" i="223"/>
  <c r="C490" i="45"/>
  <c r="J166" i="207"/>
  <c r="K127" i="201"/>
  <c r="L166" i="213"/>
  <c r="K127" i="204"/>
  <c r="K127" i="223"/>
  <c r="K34" i="223" s="1"/>
  <c r="J127" i="219"/>
  <c r="L127" i="201"/>
  <c r="J127" i="204"/>
  <c r="J127" i="208"/>
  <c r="K166" i="213"/>
  <c r="C48" i="225"/>
  <c r="J127" i="225"/>
  <c r="B48" i="209"/>
  <c r="L127" i="202"/>
  <c r="J166" i="211"/>
  <c r="L205" i="205"/>
  <c r="K127" i="225"/>
  <c r="L29" i="199"/>
  <c r="F13" i="123"/>
  <c r="L166" i="215"/>
  <c r="K166" i="206"/>
  <c r="L166" i="206"/>
  <c r="J166" i="222"/>
  <c r="K166" i="222"/>
  <c r="L127" i="225"/>
  <c r="L127" i="213"/>
  <c r="L166" i="223"/>
  <c r="J166" i="210"/>
  <c r="J127" i="199"/>
  <c r="J205" i="219"/>
  <c r="J205" i="220"/>
  <c r="J127" i="222"/>
  <c r="N48" i="123"/>
  <c r="K127" i="212"/>
  <c r="K166" i="200"/>
  <c r="L205" i="206"/>
  <c r="K127" i="207"/>
  <c r="L127" i="207"/>
  <c r="K205" i="218"/>
  <c r="L166" i="216"/>
  <c r="L166" i="203"/>
  <c r="J205" i="199"/>
  <c r="K127" i="202"/>
  <c r="B48" i="212"/>
  <c r="K166" i="223"/>
  <c r="L166" i="205"/>
  <c r="F36" i="123"/>
  <c r="K166" i="202"/>
  <c r="J166" i="213"/>
  <c r="L127" i="214"/>
  <c r="L127" i="215"/>
  <c r="K283" i="198"/>
  <c r="J166" i="206"/>
  <c r="J205" i="218"/>
  <c r="J15" i="123"/>
  <c r="L127" i="211"/>
  <c r="J51" i="123"/>
  <c r="L166" i="219"/>
  <c r="L205" i="219"/>
  <c r="J60" i="123"/>
  <c r="K127" i="217"/>
  <c r="J283" i="204"/>
  <c r="L127" i="203"/>
  <c r="K205" i="219"/>
  <c r="K127" i="222"/>
  <c r="L205" i="218"/>
  <c r="J26" i="228"/>
  <c r="L127" i="199"/>
  <c r="C48" i="205"/>
  <c r="C48" i="219"/>
  <c r="J127" i="214"/>
  <c r="J127" i="217"/>
  <c r="K166" i="217"/>
  <c r="J127" i="202"/>
  <c r="L166" i="208"/>
  <c r="L127" i="209"/>
  <c r="K166" i="211"/>
  <c r="L166" i="211"/>
  <c r="J166" i="223"/>
  <c r="L166" i="224"/>
  <c r="B48" i="198"/>
  <c r="L166" i="200"/>
  <c r="L34" i="200" s="1"/>
  <c r="J205" i="205"/>
  <c r="K166" i="209"/>
  <c r="K166" i="210"/>
  <c r="D48" i="199"/>
  <c r="L166" i="201"/>
  <c r="L34" i="201" s="1"/>
  <c r="J127" i="207"/>
  <c r="L127" i="208"/>
  <c r="J166" i="208"/>
  <c r="C48" i="212"/>
  <c r="K127" i="213"/>
  <c r="K166" i="215"/>
  <c r="K205" i="205"/>
  <c r="L166" i="222"/>
  <c r="L127" i="223"/>
  <c r="J166" i="201"/>
  <c r="K166" i="225"/>
  <c r="J166" i="214"/>
  <c r="K166" i="214"/>
  <c r="N70" i="123"/>
  <c r="J22" i="123"/>
  <c r="K166" i="216"/>
  <c r="K34" i="216" s="1"/>
  <c r="J29" i="203"/>
  <c r="L29" i="203"/>
  <c r="K29" i="203"/>
  <c r="N59" i="123"/>
  <c r="F60" i="123"/>
  <c r="D48" i="198"/>
  <c r="J127" i="213"/>
  <c r="J28" i="123"/>
  <c r="D48" i="205"/>
  <c r="L166" i="202"/>
  <c r="D48" i="219"/>
  <c r="J127" i="201"/>
  <c r="J34" i="201" s="1"/>
  <c r="J166" i="217"/>
  <c r="K166" i="208"/>
  <c r="J127" i="209"/>
  <c r="K127" i="209"/>
  <c r="D48" i="212"/>
  <c r="J166" i="215"/>
  <c r="J166" i="200"/>
  <c r="J166" i="209"/>
  <c r="K166" i="201"/>
  <c r="J166" i="202"/>
  <c r="K127" i="219"/>
  <c r="K34" i="219" s="1"/>
  <c r="L166" i="225"/>
  <c r="L166" i="212"/>
  <c r="J19" i="228"/>
  <c r="L26" i="228"/>
  <c r="I82" i="123"/>
  <c r="B18" i="228"/>
  <c r="B7" i="131" s="1"/>
  <c r="B12" i="131" s="1"/>
  <c r="B13" i="131" s="1"/>
  <c r="D48" i="208"/>
  <c r="N63" i="123"/>
  <c r="C48" i="203"/>
  <c r="J23" i="123"/>
  <c r="N23" i="123"/>
  <c r="L205" i="220"/>
  <c r="J166" i="225"/>
  <c r="I29" i="122"/>
  <c r="D43" i="164" s="1"/>
  <c r="J35" i="123"/>
  <c r="G19" i="126"/>
  <c r="G46" i="113"/>
  <c r="G23" i="183" s="1"/>
  <c r="G27" i="183" s="1"/>
  <c r="O46" i="123"/>
  <c r="I23" i="183"/>
  <c r="I27" i="183" s="1"/>
  <c r="G8" i="230" s="1"/>
  <c r="O47" i="123"/>
  <c r="G47" i="113"/>
  <c r="B48" i="219"/>
  <c r="O32" i="123"/>
  <c r="R32" i="123" s="1"/>
  <c r="G32" i="113"/>
  <c r="G13" i="126"/>
  <c r="O30" i="123"/>
  <c r="I15" i="183"/>
  <c r="G30" i="113"/>
  <c r="G15" i="183" s="1"/>
  <c r="C18" i="228"/>
  <c r="C7" i="131" s="1"/>
  <c r="C12" i="131" s="1"/>
  <c r="C13" i="131" s="1"/>
  <c r="L19" i="228"/>
  <c r="N40" i="123"/>
  <c r="H82" i="123"/>
  <c r="D48" i="215"/>
  <c r="K127" i="203"/>
  <c r="N22" i="123"/>
  <c r="J166" i="216"/>
  <c r="J34" i="216" s="1"/>
  <c r="D48" i="206"/>
  <c r="L82" i="123"/>
  <c r="N37" i="228"/>
  <c r="D48" i="225"/>
  <c r="C48" i="199"/>
  <c r="D48" i="211"/>
  <c r="N53" i="123"/>
  <c r="K205" i="204"/>
  <c r="N31" i="123"/>
  <c r="J127" i="206"/>
  <c r="N74" i="123"/>
  <c r="D48" i="223"/>
  <c r="O24" i="228"/>
  <c r="M24" i="228"/>
  <c r="J6" i="122"/>
  <c r="E8" i="164" s="1"/>
  <c r="J81" i="123"/>
  <c r="F76" i="123"/>
  <c r="N17" i="123"/>
  <c r="J29" i="122"/>
  <c r="E43" i="164" s="1"/>
  <c r="L127" i="218"/>
  <c r="J9" i="123"/>
  <c r="K205" i="203"/>
  <c r="L205" i="203"/>
  <c r="K205" i="220"/>
  <c r="L127" i="222"/>
  <c r="K166" i="212"/>
  <c r="H27" i="122"/>
  <c r="C41" i="164" s="1"/>
  <c r="K127" i="220"/>
  <c r="J72" i="123"/>
  <c r="L166" i="204"/>
  <c r="I27" i="122"/>
  <c r="D41" i="164" s="1"/>
  <c r="J27" i="122"/>
  <c r="E41" i="164" s="1"/>
  <c r="J17" i="123"/>
  <c r="C48" i="208"/>
  <c r="F55" i="123"/>
  <c r="K205" i="198"/>
  <c r="D18" i="228"/>
  <c r="D7" i="131" s="1"/>
  <c r="B48" i="203"/>
  <c r="I6" i="122"/>
  <c r="I8" i="122" s="1"/>
  <c r="D10" i="164" s="1"/>
  <c r="H6" i="122"/>
  <c r="H8" i="122" s="1"/>
  <c r="C10" i="164" s="1"/>
  <c r="K19" i="228"/>
  <c r="J69" i="123"/>
  <c r="N27" i="123"/>
  <c r="N62" i="123"/>
  <c r="N44" i="123"/>
  <c r="F38" i="123"/>
  <c r="F68" i="123"/>
  <c r="L166" i="220"/>
  <c r="D48" i="203"/>
  <c r="K283" i="204"/>
  <c r="C48" i="215"/>
  <c r="C48" i="206"/>
  <c r="D82" i="123"/>
  <c r="M82" i="123"/>
  <c r="E82" i="123"/>
  <c r="N57" i="123"/>
  <c r="J127" i="215"/>
  <c r="L166" i="217"/>
  <c r="N35" i="123"/>
  <c r="C48" i="198"/>
  <c r="F23" i="123"/>
  <c r="F51" i="123"/>
  <c r="F64" i="123"/>
  <c r="F42" i="123"/>
  <c r="N28" i="123"/>
  <c r="F45" i="123"/>
  <c r="B48" i="199"/>
  <c r="N15" i="123"/>
  <c r="F79" i="123"/>
  <c r="F69" i="123"/>
  <c r="E7" i="183"/>
  <c r="F7" i="126"/>
  <c r="K10" i="123"/>
  <c r="N10" i="123" s="1"/>
  <c r="F5" i="163" s="1"/>
  <c r="E7" i="126"/>
  <c r="D7" i="183"/>
  <c r="D8" i="183" s="1"/>
  <c r="E4" i="230" s="1"/>
  <c r="G10" i="123"/>
  <c r="J10" i="123" s="1"/>
  <c r="E5" i="163" s="1"/>
  <c r="AE59" i="122"/>
  <c r="M88" i="198"/>
  <c r="M29" i="198"/>
  <c r="Q40" i="123"/>
  <c r="R40" i="123" s="1"/>
  <c r="M82" i="208"/>
  <c r="M27" i="208"/>
  <c r="Q39" i="123" s="1"/>
  <c r="R39" i="123" s="1"/>
  <c r="G14" i="163" s="1"/>
  <c r="U40" i="123"/>
  <c r="V40" i="123" s="1"/>
  <c r="N27" i="208"/>
  <c r="U39" i="123" s="1"/>
  <c r="V39" i="123" s="1"/>
  <c r="H14" i="163" s="1"/>
  <c r="N82" i="208"/>
  <c r="AB129" i="122"/>
  <c r="J29" i="208"/>
  <c r="F23" i="126"/>
  <c r="E28" i="183"/>
  <c r="E29" i="183" s="1"/>
  <c r="F9" i="230" s="1"/>
  <c r="K56" i="123"/>
  <c r="N56" i="123" s="1"/>
  <c r="F21" i="163" s="1"/>
  <c r="Q59" i="123"/>
  <c r="R59" i="123" s="1"/>
  <c r="M82" i="217"/>
  <c r="M27" i="217"/>
  <c r="Q58" i="123" s="1"/>
  <c r="E30" i="183"/>
  <c r="F24" i="126"/>
  <c r="K58" i="123"/>
  <c r="N58" i="123" s="1"/>
  <c r="F22" i="163" s="1"/>
  <c r="U59" i="123"/>
  <c r="V59" i="123" s="1"/>
  <c r="N27" i="217"/>
  <c r="U58" i="123" s="1"/>
  <c r="V58" i="123" s="1"/>
  <c r="N82" i="217"/>
  <c r="AB185" i="122"/>
  <c r="J29" i="217"/>
  <c r="D40" i="183"/>
  <c r="E32" i="126"/>
  <c r="G80" i="123"/>
  <c r="J80" i="123" s="1"/>
  <c r="E30" i="163" s="1"/>
  <c r="Q81" i="123"/>
  <c r="R81" i="123" s="1"/>
  <c r="M27" i="225"/>
  <c r="Q80" i="123" s="1"/>
  <c r="R80" i="123" s="1"/>
  <c r="G30" i="163" s="1"/>
  <c r="M82" i="225"/>
  <c r="E40" i="183"/>
  <c r="F32" i="126"/>
  <c r="K80" i="123"/>
  <c r="N80" i="123" s="1"/>
  <c r="F30" i="163" s="1"/>
  <c r="AG74" i="122"/>
  <c r="O127" i="200"/>
  <c r="O34" i="200" s="1"/>
  <c r="O29" i="200"/>
  <c r="AF74" i="122"/>
  <c r="N127" i="200"/>
  <c r="N34" i="200" s="1"/>
  <c r="N29" i="200"/>
  <c r="J29" i="209"/>
  <c r="AB136" i="122"/>
  <c r="Y42" i="123"/>
  <c r="Z42" i="123" s="1"/>
  <c r="O82" i="209"/>
  <c r="O27" i="209"/>
  <c r="Y41" i="123" s="1"/>
  <c r="Z41" i="123" s="1"/>
  <c r="I15" i="163" s="1"/>
  <c r="C20" i="183"/>
  <c r="D17" i="126"/>
  <c r="C41" i="123"/>
  <c r="F41" i="123" s="1"/>
  <c r="D15" i="163" s="1"/>
  <c r="AC150" i="122"/>
  <c r="K29" i="211"/>
  <c r="U50" i="123"/>
  <c r="V50" i="123" s="1"/>
  <c r="N82" i="212"/>
  <c r="N27" i="212"/>
  <c r="U49" i="123" s="1"/>
  <c r="Y50" i="123"/>
  <c r="Z50" i="123" s="1"/>
  <c r="O27" i="212"/>
  <c r="Y49" i="123" s="1"/>
  <c r="Z49" i="123" s="1"/>
  <c r="I18" i="163" s="1"/>
  <c r="O82" i="212"/>
  <c r="AC234" i="122"/>
  <c r="I35" i="122" s="1"/>
  <c r="K29" i="224"/>
  <c r="C38" i="183"/>
  <c r="D30" i="126"/>
  <c r="C75" i="123"/>
  <c r="F75" i="123" s="1"/>
  <c r="D28" i="163" s="1"/>
  <c r="N82" i="224"/>
  <c r="U76" i="123"/>
  <c r="V76" i="123" s="1"/>
  <c r="N27" i="224"/>
  <c r="U75" i="123" s="1"/>
  <c r="V75" i="123" s="1"/>
  <c r="H28" i="163" s="1"/>
  <c r="AB234" i="122"/>
  <c r="H35" i="122" s="1"/>
  <c r="J29" i="224"/>
  <c r="AF60" i="122"/>
  <c r="N127" i="198"/>
  <c r="AG60" i="122"/>
  <c r="O127" i="198"/>
  <c r="Q17" i="123"/>
  <c r="R17" i="123" s="1"/>
  <c r="M82" i="201"/>
  <c r="M27" i="201"/>
  <c r="Q16" i="123" s="1"/>
  <c r="R16" i="123" s="1"/>
  <c r="G7" i="163" s="1"/>
  <c r="K16" i="123"/>
  <c r="N16" i="123" s="1"/>
  <c r="F7" i="163" s="1"/>
  <c r="E10" i="183"/>
  <c r="F9" i="126"/>
  <c r="AD80" i="122"/>
  <c r="L29" i="201"/>
  <c r="E9" i="126"/>
  <c r="G16" i="123"/>
  <c r="J16" i="123" s="1"/>
  <c r="E7" i="163" s="1"/>
  <c r="D10" i="183"/>
  <c r="AE104" i="122"/>
  <c r="M205" i="204"/>
  <c r="AF105" i="122"/>
  <c r="N244" i="204"/>
  <c r="AG105" i="122"/>
  <c r="O244" i="204"/>
  <c r="AB108" i="122"/>
  <c r="J29" i="205"/>
  <c r="AF109" i="122"/>
  <c r="N127" i="205"/>
  <c r="AG109" i="122"/>
  <c r="O127" i="205"/>
  <c r="AE110" i="122"/>
  <c r="M166" i="205"/>
  <c r="AF110" i="122"/>
  <c r="N166" i="205"/>
  <c r="Q35" i="123"/>
  <c r="M82" i="206"/>
  <c r="M27" i="206"/>
  <c r="Q34" i="123" s="1"/>
  <c r="R34" i="123" s="1"/>
  <c r="G12" i="163" s="1"/>
  <c r="E16" i="183"/>
  <c r="K34" i="123"/>
  <c r="N34" i="123" s="1"/>
  <c r="F12" i="163" s="1"/>
  <c r="F14" i="126"/>
  <c r="AG116" i="122"/>
  <c r="O127" i="206"/>
  <c r="AF144" i="122"/>
  <c r="N127" i="210"/>
  <c r="AG144" i="122"/>
  <c r="O127" i="210"/>
  <c r="U19" i="123"/>
  <c r="V19" i="123" s="1"/>
  <c r="N82" i="202"/>
  <c r="N27" i="202"/>
  <c r="U18" i="123" s="1"/>
  <c r="V18" i="123" s="1"/>
  <c r="H8" i="163" s="1"/>
  <c r="U66" i="123"/>
  <c r="V66" i="123" s="1"/>
  <c r="N82" i="219"/>
  <c r="N27" i="219"/>
  <c r="U65" i="123" s="1"/>
  <c r="V65" i="123" s="1"/>
  <c r="H24" i="163" s="1"/>
  <c r="AB199" i="122"/>
  <c r="J29" i="219"/>
  <c r="Q66" i="123"/>
  <c r="R66" i="123" s="1"/>
  <c r="M27" i="219"/>
  <c r="Q65" i="123" s="1"/>
  <c r="R65" i="123" s="1"/>
  <c r="G24" i="163" s="1"/>
  <c r="M82" i="219"/>
  <c r="F26" i="126"/>
  <c r="E33" i="183"/>
  <c r="K65" i="123"/>
  <c r="N65" i="123" s="1"/>
  <c r="F24" i="163" s="1"/>
  <c r="AF59" i="122"/>
  <c r="N88" i="198"/>
  <c r="N29" i="198"/>
  <c r="Y40" i="123"/>
  <c r="Z40" i="123" s="1"/>
  <c r="O82" i="208"/>
  <c r="O27" i="208"/>
  <c r="Y39" i="123" s="1"/>
  <c r="Z39" i="123" s="1"/>
  <c r="I14" i="163" s="1"/>
  <c r="G39" i="123"/>
  <c r="J39" i="123" s="1"/>
  <c r="E14" i="163" s="1"/>
  <c r="D19" i="183"/>
  <c r="E16" i="126"/>
  <c r="Y57" i="123"/>
  <c r="Z57" i="123" s="1"/>
  <c r="O82" i="215"/>
  <c r="O27" i="215"/>
  <c r="Y56" i="123" s="1"/>
  <c r="K29" i="215"/>
  <c r="AC178" i="122"/>
  <c r="D28" i="183"/>
  <c r="D29" i="183" s="1"/>
  <c r="E9" i="230" s="1"/>
  <c r="G56" i="123"/>
  <c r="J56" i="123" s="1"/>
  <c r="E21" i="163" s="1"/>
  <c r="E23" i="126"/>
  <c r="Y59" i="123"/>
  <c r="Z59" i="123" s="1"/>
  <c r="O82" i="217"/>
  <c r="O27" i="217"/>
  <c r="Y58" i="123" s="1"/>
  <c r="D24" i="126"/>
  <c r="C58" i="123"/>
  <c r="F58" i="123" s="1"/>
  <c r="D22" i="163" s="1"/>
  <c r="C30" i="183"/>
  <c r="AE194" i="122"/>
  <c r="M166" i="218"/>
  <c r="J29" i="225"/>
  <c r="AB248" i="122"/>
  <c r="Y81" i="123"/>
  <c r="O27" i="225"/>
  <c r="Y80" i="123" s="1"/>
  <c r="Z80" i="123" s="1"/>
  <c r="I30" i="163" s="1"/>
  <c r="O82" i="225"/>
  <c r="AE66" i="122"/>
  <c r="M29" i="199"/>
  <c r="M88" i="199"/>
  <c r="AD136" i="122"/>
  <c r="L29" i="209"/>
  <c r="G41" i="123"/>
  <c r="J41" i="123" s="1"/>
  <c r="E15" i="163" s="1"/>
  <c r="D20" i="183"/>
  <c r="E17" i="126"/>
  <c r="D23" i="183"/>
  <c r="E19" i="126"/>
  <c r="G46" i="123"/>
  <c r="J46" i="123" s="1"/>
  <c r="E17" i="163" s="1"/>
  <c r="E23" i="183"/>
  <c r="K46" i="123"/>
  <c r="N46" i="123" s="1"/>
  <c r="F17" i="163" s="1"/>
  <c r="F19" i="126"/>
  <c r="K29" i="213"/>
  <c r="AC164" i="122"/>
  <c r="AD164" i="122"/>
  <c r="L29" i="213"/>
  <c r="D25" i="183"/>
  <c r="E21" i="126"/>
  <c r="G52" i="123"/>
  <c r="J52" i="123" s="1"/>
  <c r="E19" i="163" s="1"/>
  <c r="M82" i="224"/>
  <c r="Q76" i="123"/>
  <c r="R76" i="123" s="1"/>
  <c r="M27" i="224"/>
  <c r="Q75" i="123" s="1"/>
  <c r="R75" i="123" s="1"/>
  <c r="G28" i="163" s="1"/>
  <c r="E38" i="183"/>
  <c r="F30" i="126"/>
  <c r="K75" i="123"/>
  <c r="N75" i="123" s="1"/>
  <c r="F28" i="163" s="1"/>
  <c r="AD234" i="122"/>
  <c r="J35" i="122" s="1"/>
  <c r="L29" i="224"/>
  <c r="AE235" i="122"/>
  <c r="M127" i="224"/>
  <c r="Y17" i="123"/>
  <c r="Z17" i="123" s="1"/>
  <c r="O82" i="201"/>
  <c r="O27" i="201"/>
  <c r="Y16" i="123" s="1"/>
  <c r="Z16" i="123" s="1"/>
  <c r="I7" i="163" s="1"/>
  <c r="AC80" i="122"/>
  <c r="K29" i="201"/>
  <c r="AF104" i="122"/>
  <c r="N205" i="204"/>
  <c r="AG104" i="122"/>
  <c r="O205" i="204"/>
  <c r="AE105" i="122"/>
  <c r="M244" i="204"/>
  <c r="AC108" i="122"/>
  <c r="K29" i="205"/>
  <c r="C30" i="123"/>
  <c r="F30" i="123" s="1"/>
  <c r="D11" i="163" s="1"/>
  <c r="C15" i="183"/>
  <c r="D13" i="126"/>
  <c r="AD108" i="122"/>
  <c r="L29" i="205"/>
  <c r="AE109" i="122"/>
  <c r="M127" i="205"/>
  <c r="AG110" i="122"/>
  <c r="O166" i="205"/>
  <c r="Y35" i="123"/>
  <c r="Z35" i="123" s="1"/>
  <c r="O82" i="206"/>
  <c r="O27" i="206"/>
  <c r="Y34" i="123" s="1"/>
  <c r="Z34" i="123" s="1"/>
  <c r="I12" i="163" s="1"/>
  <c r="AE144" i="122"/>
  <c r="M127" i="210"/>
  <c r="AC227" i="122"/>
  <c r="K29" i="223"/>
  <c r="AD87" i="122"/>
  <c r="L29" i="202"/>
  <c r="D11" i="183"/>
  <c r="E10" i="126"/>
  <c r="G18" i="123"/>
  <c r="J18" i="123" s="1"/>
  <c r="E8" i="163" s="1"/>
  <c r="E11" i="183"/>
  <c r="F10" i="126"/>
  <c r="K18" i="123"/>
  <c r="N18" i="123" s="1"/>
  <c r="F8" i="163" s="1"/>
  <c r="AD199" i="122"/>
  <c r="L29" i="219"/>
  <c r="Y66" i="123"/>
  <c r="Z66" i="123" s="1"/>
  <c r="O27" i="219"/>
  <c r="Y65" i="123" s="1"/>
  <c r="Z65" i="123" s="1"/>
  <c r="I24" i="163" s="1"/>
  <c r="O82" i="219"/>
  <c r="AC199" i="122"/>
  <c r="K29" i="219"/>
  <c r="C33" i="183"/>
  <c r="C65" i="123"/>
  <c r="F65" i="123" s="1"/>
  <c r="D24" i="163" s="1"/>
  <c r="D26" i="126"/>
  <c r="J166" i="203"/>
  <c r="AB96" i="122"/>
  <c r="AE207" i="122"/>
  <c r="M127" i="220"/>
  <c r="Q72" i="123"/>
  <c r="R72" i="123" s="1"/>
  <c r="M82" i="222"/>
  <c r="M27" i="222"/>
  <c r="Q71" i="123" s="1"/>
  <c r="R71" i="123" s="1"/>
  <c r="G26" i="163" s="1"/>
  <c r="AG59" i="122"/>
  <c r="O88" i="198"/>
  <c r="O29" i="198"/>
  <c r="AC101" i="122"/>
  <c r="K29" i="204"/>
  <c r="AD101" i="122"/>
  <c r="L29" i="204"/>
  <c r="AE103" i="122"/>
  <c r="M166" i="204"/>
  <c r="AF103" i="122"/>
  <c r="N166" i="204"/>
  <c r="AC171" i="122"/>
  <c r="K29" i="214"/>
  <c r="AB171" i="122"/>
  <c r="J29" i="214"/>
  <c r="Q62" i="123"/>
  <c r="R62" i="123" s="1"/>
  <c r="M82" i="218"/>
  <c r="M27" i="218"/>
  <c r="Q61" i="123" s="1"/>
  <c r="R61" i="123" s="1"/>
  <c r="G23" i="163" s="1"/>
  <c r="K61" i="123"/>
  <c r="N61" i="123" s="1"/>
  <c r="F23" i="163" s="1"/>
  <c r="E31" i="183"/>
  <c r="F25" i="126"/>
  <c r="AD192" i="122"/>
  <c r="L29" i="218"/>
  <c r="G61" i="123"/>
  <c r="J61" i="123" s="1"/>
  <c r="E23" i="163" s="1"/>
  <c r="D31" i="183"/>
  <c r="E25" i="126"/>
  <c r="AE193" i="122"/>
  <c r="M127" i="218"/>
  <c r="AF193" i="122"/>
  <c r="N127" i="218"/>
  <c r="Q15" i="123"/>
  <c r="R15" i="123" s="1"/>
  <c r="M82" i="200"/>
  <c r="M27" i="200"/>
  <c r="Q14" i="123" s="1"/>
  <c r="R14" i="123" s="1"/>
  <c r="G6" i="163" s="1"/>
  <c r="E9" i="183"/>
  <c r="F8" i="126"/>
  <c r="K14" i="123"/>
  <c r="N14" i="123" s="1"/>
  <c r="F6" i="163" s="1"/>
  <c r="AD73" i="122"/>
  <c r="L29" i="200"/>
  <c r="E8" i="126"/>
  <c r="D9" i="183"/>
  <c r="G14" i="123"/>
  <c r="J14" i="123" s="1"/>
  <c r="E6" i="163" s="1"/>
  <c r="AE151" i="122"/>
  <c r="M127" i="211"/>
  <c r="AF151" i="122"/>
  <c r="N127" i="211"/>
  <c r="AE158" i="122"/>
  <c r="M127" i="212"/>
  <c r="Y79" i="123"/>
  <c r="Z79" i="123" s="1"/>
  <c r="O82" i="216"/>
  <c r="O27" i="216"/>
  <c r="Y78" i="123" s="1"/>
  <c r="Z78" i="123" s="1"/>
  <c r="I29" i="163" s="1"/>
  <c r="AC241" i="122"/>
  <c r="K29" i="216"/>
  <c r="C78" i="123"/>
  <c r="F78" i="123" s="1"/>
  <c r="D29" i="163" s="1"/>
  <c r="C39" i="183"/>
  <c r="D31" i="126"/>
  <c r="G78" i="123"/>
  <c r="J78" i="123" s="1"/>
  <c r="E29" i="163" s="1"/>
  <c r="D39" i="183"/>
  <c r="E31" i="126"/>
  <c r="F18" i="126"/>
  <c r="E21" i="183"/>
  <c r="K43" i="123"/>
  <c r="N43" i="123" s="1"/>
  <c r="F16" i="163" s="1"/>
  <c r="U44" i="123"/>
  <c r="V44" i="123" s="1"/>
  <c r="N82" i="210"/>
  <c r="N27" i="210"/>
  <c r="U43" i="123" s="1"/>
  <c r="V43" i="123" s="1"/>
  <c r="H16" i="163" s="1"/>
  <c r="AB143" i="122"/>
  <c r="J29" i="210"/>
  <c r="AC122" i="122"/>
  <c r="K29" i="207"/>
  <c r="AB122" i="122"/>
  <c r="J29" i="207"/>
  <c r="AC206" i="122"/>
  <c r="K29" i="220"/>
  <c r="C67" i="123"/>
  <c r="F67" i="123" s="1"/>
  <c r="D25" i="163" s="1"/>
  <c r="C34" i="183"/>
  <c r="D27" i="126"/>
  <c r="L29" i="220"/>
  <c r="AD206" i="122"/>
  <c r="AE208" i="122"/>
  <c r="M166" i="220"/>
  <c r="AF208" i="122"/>
  <c r="N166" i="220"/>
  <c r="N205" i="203"/>
  <c r="AF97" i="122"/>
  <c r="M244" i="203"/>
  <c r="AE98" i="122"/>
  <c r="AC99" i="122"/>
  <c r="K283" i="203"/>
  <c r="U72" i="123"/>
  <c r="V72" i="123" s="1"/>
  <c r="N82" i="222"/>
  <c r="N27" i="222"/>
  <c r="U71" i="123" s="1"/>
  <c r="V71" i="123" s="1"/>
  <c r="H26" i="163" s="1"/>
  <c r="Q26" i="123"/>
  <c r="R26" i="123" s="1"/>
  <c r="M82" i="204"/>
  <c r="M27" i="204"/>
  <c r="Q25" i="123" s="1"/>
  <c r="R25" i="123" s="1"/>
  <c r="G10" i="163" s="1"/>
  <c r="L29" i="214"/>
  <c r="AD171" i="122"/>
  <c r="D26" i="183"/>
  <c r="E22" i="126"/>
  <c r="G54" i="123"/>
  <c r="J54" i="123" s="1"/>
  <c r="E20" i="163" s="1"/>
  <c r="Y62" i="123"/>
  <c r="Z62" i="123" s="1"/>
  <c r="O82" i="218"/>
  <c r="O27" i="218"/>
  <c r="Y61" i="123" s="1"/>
  <c r="Z61" i="123" s="1"/>
  <c r="I23" i="163" s="1"/>
  <c r="AC192" i="122"/>
  <c r="K29" i="218"/>
  <c r="AG193" i="122"/>
  <c r="O127" i="218"/>
  <c r="AC73" i="122"/>
  <c r="K29" i="200"/>
  <c r="AB73" i="122"/>
  <c r="J29" i="200"/>
  <c r="Q79" i="123"/>
  <c r="R79" i="123" s="1"/>
  <c r="M82" i="216"/>
  <c r="M27" i="216"/>
  <c r="Q78" i="123" s="1"/>
  <c r="R78" i="123" s="1"/>
  <c r="G29" i="163" s="1"/>
  <c r="E39" i="183"/>
  <c r="F31" i="126"/>
  <c r="K78" i="123"/>
  <c r="N78" i="123" s="1"/>
  <c r="F29" i="163" s="1"/>
  <c r="Y44" i="123"/>
  <c r="Z44" i="123" s="1"/>
  <c r="O82" i="210"/>
  <c r="O27" i="210"/>
  <c r="Y43" i="123" s="1"/>
  <c r="Z43" i="123" s="1"/>
  <c r="I16" i="163" s="1"/>
  <c r="AD143" i="122"/>
  <c r="L29" i="210"/>
  <c r="G43" i="123"/>
  <c r="J43" i="123" s="1"/>
  <c r="E16" i="163" s="1"/>
  <c r="D21" i="183"/>
  <c r="E18" i="126"/>
  <c r="Q38" i="123"/>
  <c r="R38" i="123" s="1"/>
  <c r="M82" i="207"/>
  <c r="M27" i="207"/>
  <c r="Q37" i="123" s="1"/>
  <c r="R37" i="123" s="1"/>
  <c r="G13" i="163" s="1"/>
  <c r="K37" i="123"/>
  <c r="N37" i="123" s="1"/>
  <c r="F13" i="163" s="1"/>
  <c r="E18" i="183"/>
  <c r="F15" i="126"/>
  <c r="Q68" i="123"/>
  <c r="R68" i="123" s="1"/>
  <c r="M82" i="220"/>
  <c r="M27" i="220"/>
  <c r="Q67" i="123" s="1"/>
  <c r="R67" i="123" s="1"/>
  <c r="G25" i="163" s="1"/>
  <c r="U68" i="123"/>
  <c r="V68" i="123" s="1"/>
  <c r="N82" i="220"/>
  <c r="N27" i="220"/>
  <c r="U67" i="123" s="1"/>
  <c r="V67" i="123" s="1"/>
  <c r="H25" i="163" s="1"/>
  <c r="AB206" i="122"/>
  <c r="J29" i="220"/>
  <c r="O205" i="203"/>
  <c r="AG97" i="122"/>
  <c r="N244" i="203"/>
  <c r="AF98" i="122"/>
  <c r="K26" i="228"/>
  <c r="D48" i="217"/>
  <c r="J166" i="218"/>
  <c r="J13" i="123"/>
  <c r="J88" i="209"/>
  <c r="F47" i="123"/>
  <c r="F50" i="123"/>
  <c r="D48" i="213"/>
  <c r="B48" i="224"/>
  <c r="J127" i="224"/>
  <c r="F77" i="123"/>
  <c r="J127" i="198"/>
  <c r="F8" i="123"/>
  <c r="D48" i="201"/>
  <c r="J244" i="204"/>
  <c r="J127" i="205"/>
  <c r="K127" i="206"/>
  <c r="F19" i="123"/>
  <c r="B48" i="208"/>
  <c r="F40" i="123"/>
  <c r="B48" i="215"/>
  <c r="F57" i="123"/>
  <c r="K88" i="215"/>
  <c r="J88" i="217"/>
  <c r="J34" i="217" s="1"/>
  <c r="C48" i="217"/>
  <c r="J59" i="123"/>
  <c r="K166" i="218"/>
  <c r="J64" i="123"/>
  <c r="N64" i="123"/>
  <c r="L166" i="218"/>
  <c r="J88" i="225"/>
  <c r="J34" i="225" s="1"/>
  <c r="F81" i="123"/>
  <c r="B48" i="225"/>
  <c r="L88" i="209"/>
  <c r="N42" i="123"/>
  <c r="D48" i="209"/>
  <c r="C48" i="211"/>
  <c r="K88" i="211"/>
  <c r="J50" i="123"/>
  <c r="D48" i="224"/>
  <c r="J76" i="123"/>
  <c r="K127" i="224"/>
  <c r="L127" i="224"/>
  <c r="N8" i="123"/>
  <c r="B48" i="201"/>
  <c r="H29" i="122"/>
  <c r="C43" i="164" s="1"/>
  <c r="F28" i="123"/>
  <c r="K244" i="204"/>
  <c r="L244" i="204"/>
  <c r="F31" i="123"/>
  <c r="K88" i="205"/>
  <c r="J32" i="123"/>
  <c r="L127" i="205"/>
  <c r="J166" i="205"/>
  <c r="K166" i="205"/>
  <c r="J33" i="123"/>
  <c r="F35" i="123"/>
  <c r="K127" i="210"/>
  <c r="L127" i="210"/>
  <c r="N45" i="123"/>
  <c r="F74" i="123"/>
  <c r="J74" i="123"/>
  <c r="J19" i="123"/>
  <c r="D48" i="202"/>
  <c r="J66" i="123"/>
  <c r="F66" i="123"/>
  <c r="L127" i="220"/>
  <c r="N69" i="123"/>
  <c r="N72" i="123"/>
  <c r="F26" i="123"/>
  <c r="J26" i="123"/>
  <c r="C48" i="204"/>
  <c r="K166" i="207"/>
  <c r="J62" i="123"/>
  <c r="D48" i="200"/>
  <c r="N51" i="123"/>
  <c r="B48" i="216"/>
  <c r="C48" i="216"/>
  <c r="I28" i="122"/>
  <c r="D42" i="164" s="1"/>
  <c r="N9" i="123"/>
  <c r="J28" i="122"/>
  <c r="E42" i="164" s="1"/>
  <c r="D48" i="210"/>
  <c r="B48" i="207"/>
  <c r="B48" i="220"/>
  <c r="J68" i="123"/>
  <c r="K88" i="220"/>
  <c r="J205" i="203"/>
  <c r="F22" i="123"/>
  <c r="F72" i="123"/>
  <c r="L88" i="204"/>
  <c r="N26" i="123"/>
  <c r="J166" i="204"/>
  <c r="J27" i="123"/>
  <c r="N55" i="123"/>
  <c r="K88" i="214"/>
  <c r="J55" i="123"/>
  <c r="F62" i="123"/>
  <c r="B48" i="218"/>
  <c r="F63" i="123"/>
  <c r="J127" i="218"/>
  <c r="K127" i="218"/>
  <c r="J63" i="123"/>
  <c r="F15" i="123"/>
  <c r="B48" i="200"/>
  <c r="J48" i="123"/>
  <c r="J127" i="212"/>
  <c r="F9" i="123"/>
  <c r="B48" i="210"/>
  <c r="F44" i="123"/>
  <c r="C48" i="210"/>
  <c r="J38" i="123"/>
  <c r="N68" i="123"/>
  <c r="H28" i="122"/>
  <c r="C42" i="164" s="1"/>
  <c r="J70" i="123"/>
  <c r="L244" i="203"/>
  <c r="F24" i="123"/>
  <c r="J244" i="203"/>
  <c r="K244" i="203"/>
  <c r="J24" i="123"/>
  <c r="J6" i="123"/>
  <c r="E4" i="163" s="1"/>
  <c r="K6" i="123"/>
  <c r="N6" i="123" s="1"/>
  <c r="F4" i="163" s="1"/>
  <c r="E6" i="183"/>
  <c r="F6" i="126"/>
  <c r="E19" i="183"/>
  <c r="K39" i="123"/>
  <c r="N39" i="123" s="1"/>
  <c r="F14" i="163" s="1"/>
  <c r="F16" i="126"/>
  <c r="Q57" i="123"/>
  <c r="R57" i="123" s="1"/>
  <c r="M82" i="215"/>
  <c r="M27" i="215"/>
  <c r="Q56" i="123" s="1"/>
  <c r="R56" i="123" s="1"/>
  <c r="G21" i="163" s="1"/>
  <c r="U57" i="123"/>
  <c r="V57" i="123" s="1"/>
  <c r="N27" i="215"/>
  <c r="U56" i="123" s="1"/>
  <c r="V56" i="123" s="1"/>
  <c r="H21" i="163" s="1"/>
  <c r="N82" i="215"/>
  <c r="AB178" i="122"/>
  <c r="J29" i="215"/>
  <c r="AG186" i="122"/>
  <c r="O127" i="217"/>
  <c r="AF194" i="122"/>
  <c r="N166" i="218"/>
  <c r="AG194" i="122"/>
  <c r="O166" i="218"/>
  <c r="L88" i="225"/>
  <c r="L29" i="225"/>
  <c r="AD248" i="122"/>
  <c r="AG69" i="122"/>
  <c r="O205" i="199"/>
  <c r="U42" i="123"/>
  <c r="N82" i="209"/>
  <c r="N27" i="209"/>
  <c r="U41" i="123" s="1"/>
  <c r="V41" i="123" s="1"/>
  <c r="H15" i="163" s="1"/>
  <c r="AC136" i="122"/>
  <c r="K29" i="209"/>
  <c r="U47" i="123"/>
  <c r="V47" i="123" s="1"/>
  <c r="N82" i="211"/>
  <c r="N27" i="211"/>
  <c r="U46" i="123" s="1"/>
  <c r="V46" i="123" s="1"/>
  <c r="H17" i="163" s="1"/>
  <c r="AB150" i="122"/>
  <c r="J29" i="211"/>
  <c r="Y47" i="123"/>
  <c r="Z47" i="123" s="1"/>
  <c r="O27" i="211"/>
  <c r="Y46" i="123" s="1"/>
  <c r="Z46" i="123" s="1"/>
  <c r="I17" i="163" s="1"/>
  <c r="O82" i="211"/>
  <c r="D19" i="126"/>
  <c r="C23" i="183"/>
  <c r="C46" i="123"/>
  <c r="F46" i="123" s="1"/>
  <c r="D17" i="163" s="1"/>
  <c r="AB157" i="122"/>
  <c r="J29" i="212"/>
  <c r="K29" i="212"/>
  <c r="AC157" i="122"/>
  <c r="D20" i="126"/>
  <c r="C24" i="183"/>
  <c r="C49" i="123"/>
  <c r="F49" i="123" s="1"/>
  <c r="D18" i="163" s="1"/>
  <c r="Q53" i="123"/>
  <c r="R53" i="123" s="1"/>
  <c r="M82" i="213"/>
  <c r="M27" i="213"/>
  <c r="Q52" i="123" s="1"/>
  <c r="R52" i="123" s="1"/>
  <c r="G19" i="163" s="1"/>
  <c r="K52" i="123"/>
  <c r="N52" i="123" s="1"/>
  <c r="F19" i="163" s="1"/>
  <c r="E25" i="183"/>
  <c r="F21" i="126"/>
  <c r="U53" i="123"/>
  <c r="N27" i="213"/>
  <c r="U52" i="123" s="1"/>
  <c r="V52" i="123" s="1"/>
  <c r="H19" i="163" s="1"/>
  <c r="N82" i="213"/>
  <c r="AB164" i="122"/>
  <c r="J29" i="213"/>
  <c r="O82" i="224"/>
  <c r="Y76" i="123"/>
  <c r="Z76" i="123" s="1"/>
  <c r="O27" i="224"/>
  <c r="Y75" i="123" s="1"/>
  <c r="Z75" i="123" s="1"/>
  <c r="I28" i="163" s="1"/>
  <c r="AF235" i="122"/>
  <c r="N127" i="224"/>
  <c r="AG235" i="122"/>
  <c r="O127" i="224"/>
  <c r="Q31" i="123"/>
  <c r="R31" i="123" s="1"/>
  <c r="M82" i="205"/>
  <c r="M27" i="205"/>
  <c r="Q30" i="123" s="1"/>
  <c r="R30" i="123" s="1"/>
  <c r="G11" i="163" s="1"/>
  <c r="E15" i="183"/>
  <c r="F13" i="126"/>
  <c r="K30" i="123"/>
  <c r="N30" i="123" s="1"/>
  <c r="F11" i="163" s="1"/>
  <c r="U31" i="123"/>
  <c r="V31" i="123" s="1"/>
  <c r="N27" i="205"/>
  <c r="U30" i="123" s="1"/>
  <c r="V30" i="123" s="1"/>
  <c r="H11" i="163" s="1"/>
  <c r="N82" i="205"/>
  <c r="AD115" i="122"/>
  <c r="L29" i="206"/>
  <c r="G34" i="123"/>
  <c r="J34" i="123" s="1"/>
  <c r="E12" i="163" s="1"/>
  <c r="D16" i="183"/>
  <c r="E14" i="126"/>
  <c r="Q74" i="123"/>
  <c r="R74" i="123" s="1"/>
  <c r="M82" i="223"/>
  <c r="M27" i="223"/>
  <c r="Q73" i="123" s="1"/>
  <c r="R73" i="123" s="1"/>
  <c r="G27" i="163" s="1"/>
  <c r="K73" i="123"/>
  <c r="N73" i="123" s="1"/>
  <c r="F27" i="163" s="1"/>
  <c r="F29" i="126"/>
  <c r="E37" i="183"/>
  <c r="U74" i="123"/>
  <c r="N27" i="223"/>
  <c r="U73" i="123" s="1"/>
  <c r="V73" i="123" s="1"/>
  <c r="H27" i="163" s="1"/>
  <c r="N82" i="223"/>
  <c r="AB227" i="122"/>
  <c r="J29" i="223"/>
  <c r="AB87" i="122"/>
  <c r="J29" i="202"/>
  <c r="Y19" i="123"/>
  <c r="Z19" i="123" s="1"/>
  <c r="O82" i="202"/>
  <c r="O27" i="202"/>
  <c r="Y18" i="123" s="1"/>
  <c r="Z18" i="123" s="1"/>
  <c r="I8" i="163" s="1"/>
  <c r="K29" i="202"/>
  <c r="AC87" i="122"/>
  <c r="C11" i="183"/>
  <c r="D10" i="126"/>
  <c r="C18" i="123"/>
  <c r="F18" i="123" s="1"/>
  <c r="D8" i="163" s="1"/>
  <c r="AC129" i="122"/>
  <c r="K29" i="208"/>
  <c r="D16" i="126"/>
  <c r="C19" i="183"/>
  <c r="C39" i="123"/>
  <c r="F39" i="123" s="1"/>
  <c r="D14" i="163" s="1"/>
  <c r="AD129" i="122"/>
  <c r="L29" i="208"/>
  <c r="C28" i="183"/>
  <c r="C29" i="183" s="1"/>
  <c r="D9" i="230" s="1"/>
  <c r="C56" i="123"/>
  <c r="F56" i="123" s="1"/>
  <c r="D21" i="163" s="1"/>
  <c r="D23" i="126"/>
  <c r="AD178" i="122"/>
  <c r="L29" i="215"/>
  <c r="AC185" i="122"/>
  <c r="K29" i="217"/>
  <c r="L29" i="217"/>
  <c r="AD185" i="122"/>
  <c r="D30" i="183"/>
  <c r="E24" i="126"/>
  <c r="G58" i="123"/>
  <c r="J58" i="123" s="1"/>
  <c r="E22" i="163" s="1"/>
  <c r="AF186" i="122"/>
  <c r="N127" i="217"/>
  <c r="AE186" i="122"/>
  <c r="M127" i="217"/>
  <c r="U81" i="123"/>
  <c r="V81" i="123" s="1"/>
  <c r="N82" i="225"/>
  <c r="N27" i="225"/>
  <c r="U80" i="123" s="1"/>
  <c r="V80" i="123" s="1"/>
  <c r="H30" i="163" s="1"/>
  <c r="AC248" i="122"/>
  <c r="K29" i="225"/>
  <c r="C80" i="123"/>
  <c r="F80" i="123" s="1"/>
  <c r="D30" i="163" s="1"/>
  <c r="C40" i="183"/>
  <c r="D32" i="126"/>
  <c r="AE69" i="122"/>
  <c r="M205" i="199"/>
  <c r="AF69" i="122"/>
  <c r="N205" i="199"/>
  <c r="Q42" i="123"/>
  <c r="R42" i="123" s="1"/>
  <c r="M82" i="209"/>
  <c r="M27" i="209"/>
  <c r="Q41" i="123" s="1"/>
  <c r="R41" i="123" s="1"/>
  <c r="G15" i="163" s="1"/>
  <c r="E20" i="183"/>
  <c r="K41" i="123"/>
  <c r="N41" i="123" s="1"/>
  <c r="F15" i="163" s="1"/>
  <c r="F17" i="126"/>
  <c r="AD150" i="122"/>
  <c r="L29" i="211"/>
  <c r="Q47" i="123"/>
  <c r="M27" i="211"/>
  <c r="Q46" i="123" s="1"/>
  <c r="R46" i="123" s="1"/>
  <c r="G17" i="163" s="1"/>
  <c r="M82" i="211"/>
  <c r="AD157" i="122"/>
  <c r="L29" i="212"/>
  <c r="G49" i="123"/>
  <c r="J49" i="123" s="1"/>
  <c r="E18" i="163" s="1"/>
  <c r="D24" i="183"/>
  <c r="E20" i="126"/>
  <c r="Q50" i="123"/>
  <c r="R50" i="123" s="1"/>
  <c r="M27" i="212"/>
  <c r="Q49" i="123" s="1"/>
  <c r="R49" i="123" s="1"/>
  <c r="G18" i="163" s="1"/>
  <c r="M82" i="212"/>
  <c r="F20" i="126"/>
  <c r="E24" i="183"/>
  <c r="K49" i="123"/>
  <c r="N49" i="123" s="1"/>
  <c r="F18" i="163" s="1"/>
  <c r="Y53" i="123"/>
  <c r="Z53" i="123" s="1"/>
  <c r="O82" i="213"/>
  <c r="O27" i="213"/>
  <c r="Y52" i="123" s="1"/>
  <c r="C25" i="183"/>
  <c r="D21" i="126"/>
  <c r="C52" i="123"/>
  <c r="F52" i="123" s="1"/>
  <c r="D19" i="163" s="1"/>
  <c r="G75" i="123"/>
  <c r="J75" i="123" s="1"/>
  <c r="E28" i="163" s="1"/>
  <c r="E30" i="126"/>
  <c r="D38" i="183"/>
  <c r="AE60" i="122"/>
  <c r="M127" i="198"/>
  <c r="C10" i="183"/>
  <c r="C16" i="123"/>
  <c r="F16" i="123" s="1"/>
  <c r="D7" i="163" s="1"/>
  <c r="D9" i="126"/>
  <c r="U17" i="123"/>
  <c r="V17" i="123" s="1"/>
  <c r="N27" i="201"/>
  <c r="U16" i="123" s="1"/>
  <c r="V16" i="123" s="1"/>
  <c r="H7" i="163" s="1"/>
  <c r="N82" i="201"/>
  <c r="AB80" i="122"/>
  <c r="J29" i="201"/>
  <c r="Y31" i="123"/>
  <c r="Z31" i="123" s="1"/>
  <c r="O82" i="205"/>
  <c r="O27" i="205"/>
  <c r="Y30" i="123" s="1"/>
  <c r="Z30" i="123" s="1"/>
  <c r="I11" i="163" s="1"/>
  <c r="D15" i="183"/>
  <c r="G30" i="123"/>
  <c r="J30" i="123" s="1"/>
  <c r="E11" i="163" s="1"/>
  <c r="E13" i="126"/>
  <c r="N82" i="206"/>
  <c r="N27" i="206"/>
  <c r="U34" i="123" s="1"/>
  <c r="V34" i="123" s="1"/>
  <c r="H12" i="163" s="1"/>
  <c r="J29" i="206"/>
  <c r="AB115" i="122"/>
  <c r="AC115" i="122"/>
  <c r="K29" i="206"/>
  <c r="C34" i="123"/>
  <c r="F34" i="123" s="1"/>
  <c r="D12" i="163" s="1"/>
  <c r="C16" i="183"/>
  <c r="D14" i="126"/>
  <c r="AE116" i="122"/>
  <c r="M127" i="206"/>
  <c r="AF116" i="122"/>
  <c r="N127" i="206"/>
  <c r="Y74" i="123"/>
  <c r="Z74" i="123" s="1"/>
  <c r="O82" i="223"/>
  <c r="O27" i="223"/>
  <c r="Y73" i="123" s="1"/>
  <c r="Z73" i="123" s="1"/>
  <c r="I27" i="163" s="1"/>
  <c r="C37" i="183"/>
  <c r="C73" i="123"/>
  <c r="F73" i="123" s="1"/>
  <c r="D27" i="163" s="1"/>
  <c r="D29" i="126"/>
  <c r="AD227" i="122"/>
  <c r="L29" i="223"/>
  <c r="G73" i="123"/>
  <c r="J73" i="123" s="1"/>
  <c r="E27" i="163" s="1"/>
  <c r="D37" i="183"/>
  <c r="E29" i="126"/>
  <c r="Q19" i="123"/>
  <c r="R19" i="123" s="1"/>
  <c r="M82" i="202"/>
  <c r="M27" i="202"/>
  <c r="Q18" i="123" s="1"/>
  <c r="R18" i="123" s="1"/>
  <c r="G8" i="163" s="1"/>
  <c r="D33" i="183"/>
  <c r="E26" i="126"/>
  <c r="G65" i="123"/>
  <c r="J65" i="123" s="1"/>
  <c r="E24" i="163" s="1"/>
  <c r="AB99" i="122"/>
  <c r="J283" i="203"/>
  <c r="AD220" i="122"/>
  <c r="L29" i="222"/>
  <c r="G71" i="123"/>
  <c r="J71" i="123" s="1"/>
  <c r="E26" i="163" s="1"/>
  <c r="D36" i="183"/>
  <c r="E28" i="126"/>
  <c r="E36" i="183"/>
  <c r="F28" i="126"/>
  <c r="K71" i="123"/>
  <c r="N71" i="123" s="1"/>
  <c r="F26" i="163" s="1"/>
  <c r="Y26" i="123"/>
  <c r="Z26" i="123" s="1"/>
  <c r="O82" i="204"/>
  <c r="O27" i="204"/>
  <c r="Y25" i="123" s="1"/>
  <c r="Z25" i="123" s="1"/>
  <c r="I10" i="163" s="1"/>
  <c r="C25" i="123"/>
  <c r="F25" i="123" s="1"/>
  <c r="D10" i="163" s="1"/>
  <c r="C14" i="183"/>
  <c r="D12" i="126"/>
  <c r="G25" i="123"/>
  <c r="J25" i="123" s="1"/>
  <c r="E10" i="163" s="1"/>
  <c r="E12" i="126"/>
  <c r="D14" i="183"/>
  <c r="Y55" i="123"/>
  <c r="Z55" i="123" s="1"/>
  <c r="O82" i="214"/>
  <c r="O27" i="214"/>
  <c r="Y54" i="123" s="1"/>
  <c r="Z54" i="123" s="1"/>
  <c r="I20" i="163" s="1"/>
  <c r="C54" i="123"/>
  <c r="F54" i="123" s="1"/>
  <c r="D20" i="163" s="1"/>
  <c r="C26" i="183"/>
  <c r="D22" i="126"/>
  <c r="U55" i="123"/>
  <c r="V55" i="123" s="1"/>
  <c r="N82" i="214"/>
  <c r="N27" i="214"/>
  <c r="U54" i="123" s="1"/>
  <c r="V54" i="123" s="1"/>
  <c r="H20" i="163" s="1"/>
  <c r="AG66" i="122"/>
  <c r="O29" i="199"/>
  <c r="O88" i="199"/>
  <c r="AF66" i="122"/>
  <c r="N88" i="199"/>
  <c r="N34" i="199" s="1"/>
  <c r="N29" i="199"/>
  <c r="AD241" i="122"/>
  <c r="L29" i="216"/>
  <c r="M205" i="198"/>
  <c r="AE62" i="122"/>
  <c r="Q44" i="123"/>
  <c r="R44" i="123" s="1"/>
  <c r="M82" i="210"/>
  <c r="M27" i="210"/>
  <c r="Q43" i="123" s="1"/>
  <c r="R43" i="123" s="1"/>
  <c r="G16" i="163" s="1"/>
  <c r="Y38" i="123"/>
  <c r="O82" i="207"/>
  <c r="O27" i="207"/>
  <c r="Y37" i="123" s="1"/>
  <c r="Z37" i="123" s="1"/>
  <c r="I13" i="163" s="1"/>
  <c r="C18" i="183"/>
  <c r="D15" i="126"/>
  <c r="C37" i="123"/>
  <c r="F37" i="123" s="1"/>
  <c r="D13" i="163" s="1"/>
  <c r="U38" i="123"/>
  <c r="V38" i="123" s="1"/>
  <c r="N82" i="207"/>
  <c r="N27" i="207"/>
  <c r="U37" i="123" s="1"/>
  <c r="V37" i="123" s="1"/>
  <c r="H13" i="163" s="1"/>
  <c r="Y68" i="123"/>
  <c r="Z68" i="123" s="1"/>
  <c r="O82" i="220"/>
  <c r="O27" i="220"/>
  <c r="Y67" i="123" s="1"/>
  <c r="Z67" i="123" s="1"/>
  <c r="I25" i="163" s="1"/>
  <c r="G67" i="123"/>
  <c r="J67" i="123" s="1"/>
  <c r="E25" i="163" s="1"/>
  <c r="D34" i="183"/>
  <c r="E27" i="126"/>
  <c r="AF95" i="122"/>
  <c r="N127" i="203"/>
  <c r="O244" i="203"/>
  <c r="AG98" i="122"/>
  <c r="C6" i="183"/>
  <c r="C8" i="183" s="1"/>
  <c r="D4" i="230" s="1"/>
  <c r="D6" i="126"/>
  <c r="C6" i="123"/>
  <c r="F6" i="123" s="1"/>
  <c r="D4" i="163" s="1"/>
  <c r="AF207" i="122"/>
  <c r="N127" i="220"/>
  <c r="AG207" i="122"/>
  <c r="O127" i="220"/>
  <c r="AB220" i="122"/>
  <c r="J29" i="222"/>
  <c r="Y72" i="123"/>
  <c r="Z72" i="123" s="1"/>
  <c r="O82" i="222"/>
  <c r="O27" i="222"/>
  <c r="Y71" i="123" s="1"/>
  <c r="Z71" i="123" s="1"/>
  <c r="I26" i="163" s="1"/>
  <c r="AC220" i="122"/>
  <c r="K29" i="222"/>
  <c r="C71" i="123"/>
  <c r="F71" i="123" s="1"/>
  <c r="D26" i="163" s="1"/>
  <c r="C36" i="183"/>
  <c r="D28" i="126"/>
  <c r="E14" i="183"/>
  <c r="F12" i="126"/>
  <c r="K25" i="123"/>
  <c r="N25" i="123" s="1"/>
  <c r="F10" i="163" s="1"/>
  <c r="U26" i="123"/>
  <c r="V26" i="123" s="1"/>
  <c r="N82" i="204"/>
  <c r="N27" i="204"/>
  <c r="U25" i="123" s="1"/>
  <c r="V25" i="123" s="1"/>
  <c r="H10" i="163" s="1"/>
  <c r="AB101" i="122"/>
  <c r="J29" i="204"/>
  <c r="AG103" i="122"/>
  <c r="O166" i="204"/>
  <c r="Q55" i="123"/>
  <c r="R55" i="123" s="1"/>
  <c r="M82" i="214"/>
  <c r="M27" i="214"/>
  <c r="Q54" i="123" s="1"/>
  <c r="R54" i="123" s="1"/>
  <c r="G20" i="163" s="1"/>
  <c r="E26" i="183"/>
  <c r="F22" i="126"/>
  <c r="K54" i="123"/>
  <c r="N54" i="123" s="1"/>
  <c r="F20" i="163" s="1"/>
  <c r="C31" i="183"/>
  <c r="D25" i="126"/>
  <c r="C61" i="123"/>
  <c r="F61" i="123" s="1"/>
  <c r="D23" i="163" s="1"/>
  <c r="U62" i="123"/>
  <c r="V62" i="123" s="1"/>
  <c r="N27" i="218"/>
  <c r="U61" i="123" s="1"/>
  <c r="V61" i="123" s="1"/>
  <c r="H23" i="163" s="1"/>
  <c r="N82" i="218"/>
  <c r="AB192" i="122"/>
  <c r="J29" i="218"/>
  <c r="C14" i="123"/>
  <c r="F14" i="123" s="1"/>
  <c r="D6" i="163" s="1"/>
  <c r="C9" i="183"/>
  <c r="D8" i="126"/>
  <c r="AG151" i="122"/>
  <c r="O127" i="211"/>
  <c r="AG158" i="122"/>
  <c r="O127" i="212"/>
  <c r="AF158" i="122"/>
  <c r="U79" i="123"/>
  <c r="V79" i="123" s="1"/>
  <c r="N82" i="216"/>
  <c r="N27" i="216"/>
  <c r="U78" i="123" s="1"/>
  <c r="V78" i="123" s="1"/>
  <c r="H29" i="163" s="1"/>
  <c r="AB241" i="122"/>
  <c r="J29" i="216"/>
  <c r="AF62" i="122"/>
  <c r="N205" i="198"/>
  <c r="O205" i="198"/>
  <c r="AG62" i="122"/>
  <c r="K29" i="210"/>
  <c r="AC143" i="122"/>
  <c r="C21" i="183"/>
  <c r="C43" i="123"/>
  <c r="F43" i="123" s="1"/>
  <c r="D16" i="163" s="1"/>
  <c r="D18" i="126"/>
  <c r="AD122" i="122"/>
  <c r="L29" i="207"/>
  <c r="D18" i="183"/>
  <c r="E15" i="126"/>
  <c r="G37" i="123"/>
  <c r="J37" i="123" s="1"/>
  <c r="E13" i="163" s="1"/>
  <c r="E34" i="183"/>
  <c r="F27" i="126"/>
  <c r="K67" i="123"/>
  <c r="N67" i="123" s="1"/>
  <c r="F25" i="163" s="1"/>
  <c r="AG208" i="122"/>
  <c r="O166" i="220"/>
  <c r="M127" i="203"/>
  <c r="AE95" i="122"/>
  <c r="AG95" i="122"/>
  <c r="O127" i="203"/>
  <c r="M205" i="203"/>
  <c r="AE97" i="122"/>
  <c r="K127" i="214"/>
  <c r="N81" i="123"/>
  <c r="K205" i="199"/>
  <c r="J88" i="212"/>
  <c r="C48" i="201"/>
  <c r="L205" i="204"/>
  <c r="F29" i="123"/>
  <c r="F32" i="123"/>
  <c r="L88" i="206"/>
  <c r="J36" i="123"/>
  <c r="J127" i="210"/>
  <c r="B48" i="202"/>
  <c r="N66" i="123"/>
  <c r="J29" i="198"/>
  <c r="J88" i="208"/>
  <c r="J40" i="123"/>
  <c r="J88" i="215"/>
  <c r="J57" i="123"/>
  <c r="K127" i="215"/>
  <c r="F59" i="123"/>
  <c r="K88" i="217"/>
  <c r="L127" i="217"/>
  <c r="N60" i="123"/>
  <c r="B48" i="217"/>
  <c r="J283" i="198"/>
  <c r="L205" i="199"/>
  <c r="N13" i="123"/>
  <c r="C48" i="209"/>
  <c r="J42" i="123"/>
  <c r="J47" i="123"/>
  <c r="L88" i="211"/>
  <c r="N47" i="123"/>
  <c r="B48" i="211"/>
  <c r="N50" i="123"/>
  <c r="B48" i="213"/>
  <c r="F53" i="123"/>
  <c r="K88" i="213"/>
  <c r="J53" i="123"/>
  <c r="C48" i="213"/>
  <c r="L88" i="224"/>
  <c r="N76" i="123"/>
  <c r="K88" i="224"/>
  <c r="C48" i="224"/>
  <c r="J77" i="123"/>
  <c r="N77" i="123"/>
  <c r="J8" i="123"/>
  <c r="K127" i="198"/>
  <c r="L127" i="198"/>
  <c r="F17" i="123"/>
  <c r="J205" i="204"/>
  <c r="J29" i="123"/>
  <c r="N29" i="123"/>
  <c r="J88" i="205"/>
  <c r="B48" i="205"/>
  <c r="J31" i="123"/>
  <c r="K127" i="205"/>
  <c r="N32" i="123"/>
  <c r="F33" i="123"/>
  <c r="B48" i="206"/>
  <c r="L127" i="206"/>
  <c r="N36" i="123"/>
  <c r="J45" i="123"/>
  <c r="J88" i="223"/>
  <c r="B48" i="223"/>
  <c r="C48" i="223"/>
  <c r="K127" i="199"/>
  <c r="K88" i="202"/>
  <c r="C48" i="202"/>
  <c r="N19" i="123"/>
  <c r="J88" i="219"/>
  <c r="C48" i="222"/>
  <c r="L88" i="222"/>
  <c r="D48" i="222"/>
  <c r="B48" i="204"/>
  <c r="B48" i="214"/>
  <c r="D48" i="218"/>
  <c r="C48" i="218"/>
  <c r="K29" i="199"/>
  <c r="K34" i="200"/>
  <c r="C48" i="200"/>
  <c r="J79" i="123"/>
  <c r="L205" i="198"/>
  <c r="C48" i="220"/>
  <c r="J127" i="203"/>
  <c r="J127" i="220"/>
  <c r="J88" i="222"/>
  <c r="B48" i="222"/>
  <c r="K29" i="198"/>
  <c r="L29" i="198"/>
  <c r="D48" i="204"/>
  <c r="F27" i="123"/>
  <c r="K166" i="204"/>
  <c r="L166" i="207"/>
  <c r="D48" i="214"/>
  <c r="C48" i="214"/>
  <c r="J29" i="199"/>
  <c r="J34" i="200"/>
  <c r="J127" i="211"/>
  <c r="F48" i="123"/>
  <c r="K127" i="211"/>
  <c r="J166" i="212"/>
  <c r="L88" i="216"/>
  <c r="N79" i="123"/>
  <c r="D48" i="216"/>
  <c r="J205" i="198"/>
  <c r="J88" i="210"/>
  <c r="J44" i="123"/>
  <c r="D48" i="207"/>
  <c r="N38" i="123"/>
  <c r="K88" i="207"/>
  <c r="C48" i="207"/>
  <c r="L88" i="220"/>
  <c r="D48" i="220"/>
  <c r="J166" i="220"/>
  <c r="F70" i="123"/>
  <c r="K166" i="220"/>
  <c r="N24" i="123"/>
  <c r="U20" i="123"/>
  <c r="E13" i="183"/>
  <c r="K20" i="123"/>
  <c r="F11" i="126"/>
  <c r="E83" i="113"/>
  <c r="AE94" i="122"/>
  <c r="M88" i="203"/>
  <c r="M29" i="203"/>
  <c r="M20" i="113"/>
  <c r="D8" i="164"/>
  <c r="O21" i="123"/>
  <c r="R21" i="123" s="1"/>
  <c r="G21" i="113"/>
  <c r="Y20" i="123"/>
  <c r="W21" i="123"/>
  <c r="Z21" i="123" s="1"/>
  <c r="O21" i="113"/>
  <c r="AF94" i="122"/>
  <c r="N88" i="203"/>
  <c r="N29" i="203"/>
  <c r="Q20" i="123"/>
  <c r="S21" i="123"/>
  <c r="V21" i="123" s="1"/>
  <c r="K21" i="113"/>
  <c r="D83" i="113"/>
  <c r="G20" i="123"/>
  <c r="D13" i="183"/>
  <c r="E11" i="126"/>
  <c r="I20" i="113"/>
  <c r="E48" i="228"/>
  <c r="C13" i="183"/>
  <c r="D11" i="126"/>
  <c r="C20" i="123"/>
  <c r="C83" i="113"/>
  <c r="AG94" i="122"/>
  <c r="O88" i="203"/>
  <c r="O29" i="203"/>
  <c r="Q20" i="113"/>
  <c r="G48" i="228"/>
  <c r="AG31" i="192"/>
  <c r="AG7" i="192" s="1"/>
  <c r="AG7" i="234" s="1"/>
  <c r="I36" i="2"/>
  <c r="AX32" i="234"/>
  <c r="E27" i="135"/>
  <c r="F109" i="192"/>
  <c r="F95" i="2"/>
  <c r="E12" i="135" s="1"/>
  <c r="I27" i="2"/>
  <c r="AX23" i="234"/>
  <c r="AV22" i="234"/>
  <c r="H26" i="2"/>
  <c r="X104" i="192"/>
  <c r="AV7" i="234"/>
  <c r="H5" i="2"/>
  <c r="I6" i="2"/>
  <c r="AX8" i="234"/>
  <c r="C492" i="45"/>
  <c r="G95" i="2"/>
  <c r="F12" i="135" s="1"/>
  <c r="F27" i="135"/>
  <c r="G148" i="223"/>
  <c r="G109" i="223"/>
  <c r="G148" i="219"/>
  <c r="G109" i="219"/>
  <c r="G187" i="219"/>
  <c r="O148" i="217"/>
  <c r="I179" i="217" s="1"/>
  <c r="O109" i="217"/>
  <c r="I140" i="217" s="1"/>
  <c r="I101" i="217"/>
  <c r="O51" i="217"/>
  <c r="G148" i="214"/>
  <c r="G109" i="214"/>
  <c r="O148" i="210"/>
  <c r="I179" i="210" s="1"/>
  <c r="O109" i="210"/>
  <c r="I140" i="210" s="1"/>
  <c r="I101" i="210"/>
  <c r="O51" i="210"/>
  <c r="O187" i="205"/>
  <c r="I218" i="205" s="1"/>
  <c r="O109" i="205"/>
  <c r="I140" i="205" s="1"/>
  <c r="I101" i="205"/>
  <c r="O148" i="205"/>
  <c r="I179" i="205" s="1"/>
  <c r="O51" i="205"/>
  <c r="G148" i="202"/>
  <c r="G109" i="202"/>
  <c r="O265" i="204"/>
  <c r="I296" i="204" s="1"/>
  <c r="O187" i="204"/>
  <c r="I218" i="204" s="1"/>
  <c r="O148" i="204"/>
  <c r="I179" i="204" s="1"/>
  <c r="I101" i="204"/>
  <c r="O226" i="204"/>
  <c r="I257" i="204" s="1"/>
  <c r="O109" i="204"/>
  <c r="I140" i="204" s="1"/>
  <c r="O51" i="204"/>
  <c r="O109" i="200"/>
  <c r="I140" i="200" s="1"/>
  <c r="O148" i="200"/>
  <c r="I179" i="200" s="1"/>
  <c r="I101" i="200"/>
  <c r="O51" i="200"/>
  <c r="N265" i="203"/>
  <c r="I294" i="203" s="1"/>
  <c r="I138" i="203"/>
  <c r="I101" i="216"/>
  <c r="O51" i="216"/>
  <c r="O148" i="216"/>
  <c r="I179" i="216" s="1"/>
  <c r="O109" i="216"/>
  <c r="I140" i="216" s="1"/>
  <c r="G148" i="222"/>
  <c r="G109" i="222"/>
  <c r="O148" i="225"/>
  <c r="I179" i="225" s="1"/>
  <c r="I101" i="225"/>
  <c r="O51" i="225"/>
  <c r="O109" i="225"/>
  <c r="I140" i="225" s="1"/>
  <c r="O187" i="218"/>
  <c r="I218" i="218" s="1"/>
  <c r="O109" i="218"/>
  <c r="I140" i="218" s="1"/>
  <c r="I101" i="218"/>
  <c r="O148" i="218"/>
  <c r="I179" i="218" s="1"/>
  <c r="O51" i="218"/>
  <c r="O148" i="215"/>
  <c r="I179" i="215" s="1"/>
  <c r="I101" i="215"/>
  <c r="O51" i="215"/>
  <c r="O109" i="215"/>
  <c r="I140" i="215" s="1"/>
  <c r="O109" i="213"/>
  <c r="I140" i="213" s="1"/>
  <c r="O148" i="213"/>
  <c r="I179" i="213" s="1"/>
  <c r="I101" i="213"/>
  <c r="O51" i="213"/>
  <c r="G148" i="209"/>
  <c r="G109" i="209"/>
  <c r="O187" i="203"/>
  <c r="I218" i="203" s="1"/>
  <c r="I101" i="203"/>
  <c r="O226" i="203"/>
  <c r="I257" i="203" s="1"/>
  <c r="O148" i="203"/>
  <c r="I179" i="203" s="1"/>
  <c r="O109" i="203"/>
  <c r="O51" i="203"/>
  <c r="O148" i="208"/>
  <c r="I179" i="208" s="1"/>
  <c r="O109" i="208"/>
  <c r="I140" i="208" s="1"/>
  <c r="I101" i="208"/>
  <c r="O51" i="208"/>
  <c r="O148" i="201"/>
  <c r="I179" i="201" s="1"/>
  <c r="O109" i="201"/>
  <c r="I140" i="201" s="1"/>
  <c r="I101" i="201"/>
  <c r="O51" i="201"/>
  <c r="O148" i="199"/>
  <c r="I179" i="199" s="1"/>
  <c r="I101" i="199"/>
  <c r="O51" i="199"/>
  <c r="O187" i="199"/>
  <c r="I218" i="199" s="1"/>
  <c r="O109" i="199"/>
  <c r="G109" i="224"/>
  <c r="G148" i="224"/>
  <c r="O148" i="223"/>
  <c r="I179" i="223" s="1"/>
  <c r="I101" i="223"/>
  <c r="O51" i="223"/>
  <c r="O109" i="223"/>
  <c r="I140" i="223" s="1"/>
  <c r="O148" i="219"/>
  <c r="I179" i="219" s="1"/>
  <c r="O109" i="219"/>
  <c r="I140" i="219" s="1"/>
  <c r="I101" i="219"/>
  <c r="O51" i="219"/>
  <c r="O187" i="219"/>
  <c r="I218" i="219" s="1"/>
  <c r="G148" i="217"/>
  <c r="G109" i="217"/>
  <c r="O51" i="212"/>
  <c r="O148" i="212"/>
  <c r="I179" i="212" s="1"/>
  <c r="O109" i="212"/>
  <c r="I140" i="212" s="1"/>
  <c r="I101" i="212"/>
  <c r="O148" i="214"/>
  <c r="I179" i="214" s="1"/>
  <c r="O109" i="214"/>
  <c r="I140" i="214" s="1"/>
  <c r="I101" i="214"/>
  <c r="O51" i="214"/>
  <c r="G148" i="210"/>
  <c r="G109" i="210"/>
  <c r="G187" i="205"/>
  <c r="G109" i="205"/>
  <c r="G148" i="205"/>
  <c r="O148" i="202"/>
  <c r="I179" i="202" s="1"/>
  <c r="I101" i="202"/>
  <c r="O51" i="202"/>
  <c r="O109" i="202"/>
  <c r="I140" i="202" s="1"/>
  <c r="I3" i="2"/>
  <c r="Y29" i="192"/>
  <c r="Y75" i="192" s="1"/>
  <c r="H7" i="164"/>
  <c r="M26" i="122"/>
  <c r="M11" i="122"/>
  <c r="M17" i="122" s="1"/>
  <c r="G109" i="207"/>
  <c r="G148" i="207"/>
  <c r="G265" i="204"/>
  <c r="G187" i="204"/>
  <c r="G148" i="204"/>
  <c r="G226" i="204"/>
  <c r="G109" i="204"/>
  <c r="G109" i="200"/>
  <c r="G148" i="200"/>
  <c r="G148" i="198"/>
  <c r="G226" i="198"/>
  <c r="G187" i="198"/>
  <c r="G109" i="198"/>
  <c r="G265" i="198" s="1"/>
  <c r="G148" i="216"/>
  <c r="G109" i="216"/>
  <c r="O51" i="222"/>
  <c r="O148" i="222"/>
  <c r="I179" i="222" s="1"/>
  <c r="O109" i="222"/>
  <c r="I140" i="222" s="1"/>
  <c r="I101" i="222"/>
  <c r="G148" i="225"/>
  <c r="G109" i="225"/>
  <c r="O148" i="220"/>
  <c r="I179" i="220" s="1"/>
  <c r="O51" i="220"/>
  <c r="O187" i="220"/>
  <c r="I218" i="220" s="1"/>
  <c r="O109" i="220"/>
  <c r="I140" i="220" s="1"/>
  <c r="I101" i="220"/>
  <c r="G187" i="218"/>
  <c r="G109" i="218"/>
  <c r="G148" i="218"/>
  <c r="G148" i="215"/>
  <c r="G109" i="215"/>
  <c r="O148" i="211"/>
  <c r="I179" i="211" s="1"/>
  <c r="O109" i="211"/>
  <c r="I140" i="211" s="1"/>
  <c r="I101" i="211"/>
  <c r="O51" i="211"/>
  <c r="G109" i="213"/>
  <c r="G148" i="213"/>
  <c r="O148" i="209"/>
  <c r="I179" i="209" s="1"/>
  <c r="O109" i="209"/>
  <c r="I140" i="209" s="1"/>
  <c r="I101" i="209"/>
  <c r="O51" i="209"/>
  <c r="G187" i="203"/>
  <c r="G226" i="203"/>
  <c r="G148" i="203"/>
  <c r="G109" i="203"/>
  <c r="G265" i="203" s="1"/>
  <c r="G148" i="208"/>
  <c r="G109" i="208"/>
  <c r="G187" i="206"/>
  <c r="G109" i="206"/>
  <c r="G148" i="206"/>
  <c r="G148" i="201"/>
  <c r="G109" i="201"/>
  <c r="G148" i="199"/>
  <c r="G187" i="199"/>
  <c r="G109" i="199"/>
  <c r="G226" i="199" s="1"/>
  <c r="O109" i="224"/>
  <c r="I140" i="224" s="1"/>
  <c r="I101" i="224"/>
  <c r="O51" i="224"/>
  <c r="O148" i="224"/>
  <c r="I179" i="224" s="1"/>
  <c r="G148" i="212"/>
  <c r="G109" i="212"/>
  <c r="O109" i="207"/>
  <c r="I140" i="207" s="1"/>
  <c r="I101" i="207"/>
  <c r="O51" i="207"/>
  <c r="O148" i="207"/>
  <c r="I179" i="207" s="1"/>
  <c r="O148" i="198"/>
  <c r="I179" i="198" s="1"/>
  <c r="O226" i="198"/>
  <c r="I257" i="198" s="1"/>
  <c r="O187" i="198"/>
  <c r="O109" i="198"/>
  <c r="I101" i="198"/>
  <c r="I218" i="198" s="1"/>
  <c r="O51" i="198"/>
  <c r="G148" i="220"/>
  <c r="G187" i="220"/>
  <c r="G109" i="220"/>
  <c r="G148" i="211"/>
  <c r="G109" i="211"/>
  <c r="O187" i="206"/>
  <c r="I218" i="206" s="1"/>
  <c r="O109" i="206"/>
  <c r="I140" i="206" s="1"/>
  <c r="O148" i="206"/>
  <c r="I179" i="206" s="1"/>
  <c r="I101" i="206"/>
  <c r="O51" i="206"/>
  <c r="I138" i="198"/>
  <c r="N265" i="198"/>
  <c r="I294" i="198" s="1"/>
  <c r="G40" i="164"/>
  <c r="L33" i="122"/>
  <c r="L40" i="122" s="1"/>
  <c r="N226" i="199"/>
  <c r="I255" i="199" s="1"/>
  <c r="I138" i="199"/>
  <c r="D6" i="135"/>
  <c r="G30" i="183"/>
  <c r="G32" i="183" s="1"/>
  <c r="G10" i="230"/>
  <c r="Z58" i="123"/>
  <c r="K30" i="183"/>
  <c r="K32" i="183" s="1"/>
  <c r="H10" i="230"/>
  <c r="R58" i="123"/>
  <c r="O30" i="183"/>
  <c r="O32" i="183" s="1"/>
  <c r="I10" i="230"/>
  <c r="V42" i="123" l="1"/>
  <c r="K34" i="210"/>
  <c r="Z52" i="123"/>
  <c r="I19" i="163" s="1"/>
  <c r="K34" i="206"/>
  <c r="O41" i="183"/>
  <c r="J34" i="224"/>
  <c r="V74" i="123"/>
  <c r="V53" i="123"/>
  <c r="R35" i="123"/>
  <c r="G41" i="183"/>
  <c r="O34" i="199"/>
  <c r="Z81" i="123"/>
  <c r="Z56" i="123"/>
  <c r="I21" i="163" s="1"/>
  <c r="M34" i="203"/>
  <c r="K34" i="213"/>
  <c r="K34" i="208"/>
  <c r="L34" i="202"/>
  <c r="J34" i="208"/>
  <c r="L34" i="213"/>
  <c r="R47" i="123"/>
  <c r="L34" i="212"/>
  <c r="K34" i="201"/>
  <c r="J34" i="206"/>
  <c r="L34" i="208"/>
  <c r="L34" i="210"/>
  <c r="N34" i="203"/>
  <c r="J34" i="211"/>
  <c r="J34" i="223"/>
  <c r="L34" i="211"/>
  <c r="L34" i="205"/>
  <c r="L34" i="209"/>
  <c r="L34" i="214"/>
  <c r="O34" i="203"/>
  <c r="Y82" i="123"/>
  <c r="U82" i="123"/>
  <c r="J34" i="214"/>
  <c r="L34" i="225"/>
  <c r="K34" i="222"/>
  <c r="K34" i="199"/>
  <c r="N34" i="198"/>
  <c r="L34" i="215"/>
  <c r="K34" i="225"/>
  <c r="L34" i="220"/>
  <c r="K34" i="217"/>
  <c r="J34" i="215"/>
  <c r="J34" i="209"/>
  <c r="J34" i="213"/>
  <c r="L34" i="223"/>
  <c r="J34" i="207"/>
  <c r="J34" i="199"/>
  <c r="J34" i="222"/>
  <c r="J34" i="219"/>
  <c r="L34" i="216"/>
  <c r="L34" i="207"/>
  <c r="K34" i="202"/>
  <c r="L34" i="224"/>
  <c r="L34" i="199"/>
  <c r="L34" i="217"/>
  <c r="K34" i="209"/>
  <c r="J34" i="202"/>
  <c r="C6" i="135"/>
  <c r="K34" i="212"/>
  <c r="L34" i="219"/>
  <c r="H30" i="122"/>
  <c r="C44" i="164" s="1"/>
  <c r="K34" i="198"/>
  <c r="J34" i="218"/>
  <c r="L34" i="218"/>
  <c r="Q82" i="123"/>
  <c r="M26" i="228"/>
  <c r="J8" i="122"/>
  <c r="E10" i="164" s="1"/>
  <c r="O26" i="228"/>
  <c r="N26" i="228"/>
  <c r="C8" i="164"/>
  <c r="L34" i="222"/>
  <c r="L34" i="203"/>
  <c r="H12" i="122"/>
  <c r="H14" i="122" s="1"/>
  <c r="I34" i="122"/>
  <c r="I41" i="122" s="1"/>
  <c r="C17" i="183"/>
  <c r="D6" i="230" s="1"/>
  <c r="D17" i="183"/>
  <c r="E6" i="230" s="1"/>
  <c r="J34" i="205"/>
  <c r="D32" i="183"/>
  <c r="E10" i="230" s="1"/>
  <c r="E8" i="183"/>
  <c r="F4" i="230" s="1"/>
  <c r="K34" i="218"/>
  <c r="I36" i="122"/>
  <c r="I43" i="122" s="1"/>
  <c r="J12" i="122"/>
  <c r="J14" i="122" s="1"/>
  <c r="I30" i="122"/>
  <c r="D44" i="164" s="1"/>
  <c r="J30" i="122"/>
  <c r="E44" i="164" s="1"/>
  <c r="J42" i="122"/>
  <c r="D22" i="183"/>
  <c r="E7" i="230" s="1"/>
  <c r="C12" i="183"/>
  <c r="D5" i="230" s="1"/>
  <c r="H36" i="122"/>
  <c r="H43" i="122" s="1"/>
  <c r="L28" i="228"/>
  <c r="J34" i="122"/>
  <c r="J41" i="122" s="1"/>
  <c r="I12" i="122"/>
  <c r="I18" i="122" s="1"/>
  <c r="I20" i="122" s="1"/>
  <c r="H34" i="122"/>
  <c r="H41" i="122" s="1"/>
  <c r="E12" i="183"/>
  <c r="F5" i="230" s="1"/>
  <c r="D33" i="126"/>
  <c r="E33" i="126"/>
  <c r="E17" i="183"/>
  <c r="F6" i="230" s="1"/>
  <c r="K34" i="207"/>
  <c r="H42" i="122"/>
  <c r="K34" i="204"/>
  <c r="K34" i="224"/>
  <c r="F33" i="126"/>
  <c r="J34" i="220"/>
  <c r="J34" i="210"/>
  <c r="J34" i="203"/>
  <c r="E41" i="183"/>
  <c r="F12" i="230" s="1"/>
  <c r="K34" i="203"/>
  <c r="D12" i="183"/>
  <c r="E5" i="230" s="1"/>
  <c r="K28" i="228"/>
  <c r="C48" i="228"/>
  <c r="C80" i="228" s="1"/>
  <c r="L34" i="198"/>
  <c r="J28" i="228"/>
  <c r="B48" i="228"/>
  <c r="B80" i="228" s="1"/>
  <c r="J34" i="204"/>
  <c r="D48" i="228"/>
  <c r="D80" i="228" s="1"/>
  <c r="C35" i="183"/>
  <c r="D11" i="230" s="1"/>
  <c r="AF192" i="122"/>
  <c r="N29" i="218"/>
  <c r="N88" i="218"/>
  <c r="N34" i="218" s="1"/>
  <c r="AE171" i="122"/>
  <c r="M29" i="214"/>
  <c r="M88" i="214"/>
  <c r="M34" i="214" s="1"/>
  <c r="AG220" i="122"/>
  <c r="O88" i="222"/>
  <c r="O34" i="222" s="1"/>
  <c r="O29" i="222"/>
  <c r="AF122" i="122"/>
  <c r="N29" i="207"/>
  <c r="N88" i="207"/>
  <c r="N34" i="207" s="1"/>
  <c r="O88" i="207"/>
  <c r="O34" i="207" s="1"/>
  <c r="O29" i="207"/>
  <c r="AG122" i="122"/>
  <c r="AF171" i="122"/>
  <c r="N29" i="214"/>
  <c r="N88" i="214"/>
  <c r="N34" i="214" s="1"/>
  <c r="AG171" i="122"/>
  <c r="O88" i="214"/>
  <c r="O34" i="214" s="1"/>
  <c r="O29" i="214"/>
  <c r="AG227" i="122"/>
  <c r="O88" i="223"/>
  <c r="O34" i="223" s="1"/>
  <c r="O29" i="223"/>
  <c r="AF115" i="122"/>
  <c r="N88" i="206"/>
  <c r="N34" i="206" s="1"/>
  <c r="N29" i="206"/>
  <c r="AG164" i="122"/>
  <c r="O88" i="213"/>
  <c r="O34" i="213" s="1"/>
  <c r="O29" i="213"/>
  <c r="AE136" i="122"/>
  <c r="M88" i="209"/>
  <c r="M34" i="209" s="1"/>
  <c r="M29" i="209"/>
  <c r="AF248" i="122"/>
  <c r="N88" i="225"/>
  <c r="N34" i="225" s="1"/>
  <c r="N29" i="225"/>
  <c r="AE227" i="122"/>
  <c r="M88" i="223"/>
  <c r="M34" i="223" s="1"/>
  <c r="M29" i="223"/>
  <c r="AE108" i="122"/>
  <c r="M88" i="205"/>
  <c r="M34" i="205" s="1"/>
  <c r="M29" i="205"/>
  <c r="AG234" i="122"/>
  <c r="M35" i="122" s="1"/>
  <c r="M42" i="122" s="1"/>
  <c r="O29" i="224"/>
  <c r="O88" i="224"/>
  <c r="O34" i="224" s="1"/>
  <c r="AE164" i="122"/>
  <c r="M88" i="213"/>
  <c r="M34" i="213" s="1"/>
  <c r="M29" i="213"/>
  <c r="AG150" i="122"/>
  <c r="O29" i="211"/>
  <c r="O88" i="211"/>
  <c r="O34" i="211" s="1"/>
  <c r="AF150" i="122"/>
  <c r="N88" i="211"/>
  <c r="N34" i="211" s="1"/>
  <c r="N29" i="211"/>
  <c r="AF178" i="122"/>
  <c r="N29" i="215"/>
  <c r="N88" i="215"/>
  <c r="N34" i="215" s="1"/>
  <c r="AE178" i="122"/>
  <c r="M88" i="215"/>
  <c r="M34" i="215" s="1"/>
  <c r="M29" i="215"/>
  <c r="M29" i="220"/>
  <c r="AE206" i="122"/>
  <c r="M88" i="220"/>
  <c r="M34" i="220" s="1"/>
  <c r="M88" i="207"/>
  <c r="M34" i="207" s="1"/>
  <c r="M29" i="207"/>
  <c r="AE122" i="122"/>
  <c r="AG143" i="122"/>
  <c r="O88" i="210"/>
  <c r="O34" i="210" s="1"/>
  <c r="O29" i="210"/>
  <c r="AE241" i="122"/>
  <c r="M88" i="216"/>
  <c r="M34" i="216" s="1"/>
  <c r="M29" i="216"/>
  <c r="AF220" i="122"/>
  <c r="N88" i="222"/>
  <c r="N34" i="222" s="1"/>
  <c r="N29" i="222"/>
  <c r="AF143" i="122"/>
  <c r="N88" i="210"/>
  <c r="N34" i="210" s="1"/>
  <c r="N29" i="210"/>
  <c r="AG241" i="122"/>
  <c r="O88" i="216"/>
  <c r="O34" i="216" s="1"/>
  <c r="O29" i="216"/>
  <c r="M88" i="218"/>
  <c r="M34" i="218" s="1"/>
  <c r="M29" i="218"/>
  <c r="AE192" i="122"/>
  <c r="AE220" i="122"/>
  <c r="M88" i="222"/>
  <c r="M34" i="222" s="1"/>
  <c r="M29" i="222"/>
  <c r="AE234" i="122"/>
  <c r="M29" i="224"/>
  <c r="M88" i="224"/>
  <c r="M34" i="224" s="1"/>
  <c r="AG248" i="122"/>
  <c r="O29" i="225"/>
  <c r="O88" i="225"/>
  <c r="O34" i="225" s="1"/>
  <c r="AF87" i="122"/>
  <c r="N88" i="202"/>
  <c r="N34" i="202" s="1"/>
  <c r="N29" i="202"/>
  <c r="AE115" i="122"/>
  <c r="M88" i="206"/>
  <c r="M34" i="206" s="1"/>
  <c r="M29" i="206"/>
  <c r="AE248" i="122"/>
  <c r="M29" i="225"/>
  <c r="M88" i="225"/>
  <c r="M34" i="225" s="1"/>
  <c r="AF185" i="122"/>
  <c r="N29" i="217"/>
  <c r="N88" i="217"/>
  <c r="N34" i="217" s="1"/>
  <c r="AF129" i="122"/>
  <c r="N29" i="208"/>
  <c r="N88" i="208"/>
  <c r="N34" i="208" s="1"/>
  <c r="AE129" i="122"/>
  <c r="M88" i="208"/>
  <c r="M34" i="208" s="1"/>
  <c r="M29" i="208"/>
  <c r="J34" i="212"/>
  <c r="C22" i="183"/>
  <c r="D7" i="230" s="1"/>
  <c r="C27" i="183"/>
  <c r="D8" i="230" s="1"/>
  <c r="K34" i="220"/>
  <c r="K34" i="211"/>
  <c r="J34" i="198"/>
  <c r="E27" i="183"/>
  <c r="F8" i="230" s="1"/>
  <c r="J36" i="122"/>
  <c r="J43" i="122" s="1"/>
  <c r="C41" i="183"/>
  <c r="D12" i="230" s="1"/>
  <c r="I42" i="122"/>
  <c r="AF241" i="122"/>
  <c r="N88" i="216"/>
  <c r="N34" i="216" s="1"/>
  <c r="N29" i="216"/>
  <c r="AF101" i="122"/>
  <c r="N88" i="204"/>
  <c r="N34" i="204" s="1"/>
  <c r="N29" i="204"/>
  <c r="AG206" i="122"/>
  <c r="O88" i="220"/>
  <c r="O34" i="220" s="1"/>
  <c r="O29" i="220"/>
  <c r="AE143" i="122"/>
  <c r="M88" i="210"/>
  <c r="M34" i="210" s="1"/>
  <c r="M29" i="210"/>
  <c r="AG101" i="122"/>
  <c r="O88" i="204"/>
  <c r="O34" i="204" s="1"/>
  <c r="O29" i="204"/>
  <c r="AE87" i="122"/>
  <c r="M88" i="202"/>
  <c r="M34" i="202" s="1"/>
  <c r="M29" i="202"/>
  <c r="AG108" i="122"/>
  <c r="O88" i="205"/>
  <c r="O34" i="205" s="1"/>
  <c r="O29" i="205"/>
  <c r="AF80" i="122"/>
  <c r="N29" i="201"/>
  <c r="N88" i="201"/>
  <c r="N34" i="201" s="1"/>
  <c r="AE157" i="122"/>
  <c r="M88" i="212"/>
  <c r="M34" i="212" s="1"/>
  <c r="M29" i="212"/>
  <c r="AE150" i="122"/>
  <c r="M29" i="211"/>
  <c r="M88" i="211"/>
  <c r="M34" i="211" s="1"/>
  <c r="AG87" i="122"/>
  <c r="O88" i="202"/>
  <c r="O34" i="202" s="1"/>
  <c r="O29" i="202"/>
  <c r="AF227" i="122"/>
  <c r="N29" i="223"/>
  <c r="N88" i="223"/>
  <c r="N34" i="223" s="1"/>
  <c r="AF108" i="122"/>
  <c r="N29" i="205"/>
  <c r="N88" i="205"/>
  <c r="N34" i="205" s="1"/>
  <c r="AF164" i="122"/>
  <c r="N29" i="213"/>
  <c r="N88" i="213"/>
  <c r="N34" i="213" s="1"/>
  <c r="AF136" i="122"/>
  <c r="N88" i="209"/>
  <c r="N34" i="209" s="1"/>
  <c r="N29" i="209"/>
  <c r="N29" i="220"/>
  <c r="AF206" i="122"/>
  <c r="N88" i="220"/>
  <c r="N34" i="220" s="1"/>
  <c r="O88" i="218"/>
  <c r="O34" i="218" s="1"/>
  <c r="O29" i="218"/>
  <c r="AG192" i="122"/>
  <c r="AE101" i="122"/>
  <c r="M88" i="204"/>
  <c r="M34" i="204" s="1"/>
  <c r="M29" i="204"/>
  <c r="AE73" i="122"/>
  <c r="M88" i="200"/>
  <c r="M34" i="200" s="1"/>
  <c r="M29" i="200"/>
  <c r="AG199" i="122"/>
  <c r="O29" i="219"/>
  <c r="O88" i="219"/>
  <c r="O34" i="219" s="1"/>
  <c r="AG115" i="122"/>
  <c r="O88" i="206"/>
  <c r="O34" i="206" s="1"/>
  <c r="O29" i="206"/>
  <c r="AG80" i="122"/>
  <c r="O29" i="201"/>
  <c r="O88" i="201"/>
  <c r="O34" i="201" s="1"/>
  <c r="AG185" i="122"/>
  <c r="O88" i="217"/>
  <c r="O34" i="217" s="1"/>
  <c r="O29" i="217"/>
  <c r="AG178" i="122"/>
  <c r="O88" i="215"/>
  <c r="O34" i="215" s="1"/>
  <c r="O29" i="215"/>
  <c r="AG129" i="122"/>
  <c r="O88" i="208"/>
  <c r="O34" i="208" s="1"/>
  <c r="O29" i="208"/>
  <c r="AE199" i="122"/>
  <c r="M29" i="219"/>
  <c r="M88" i="219"/>
  <c r="M34" i="219" s="1"/>
  <c r="AF199" i="122"/>
  <c r="N29" i="219"/>
  <c r="N88" i="219"/>
  <c r="N34" i="219" s="1"/>
  <c r="AE80" i="122"/>
  <c r="M29" i="201"/>
  <c r="M88" i="201"/>
  <c r="M34" i="201" s="1"/>
  <c r="N29" i="224"/>
  <c r="AF234" i="122"/>
  <c r="L35" i="122" s="1"/>
  <c r="L42" i="122" s="1"/>
  <c r="N88" i="224"/>
  <c r="N34" i="224" s="1"/>
  <c r="AG157" i="122"/>
  <c r="O88" i="212"/>
  <c r="O29" i="212"/>
  <c r="AF157" i="122"/>
  <c r="N88" i="212"/>
  <c r="N29" i="212"/>
  <c r="AG136" i="122"/>
  <c r="M12" i="122" s="1"/>
  <c r="O88" i="209"/>
  <c r="O34" i="209" s="1"/>
  <c r="O29" i="209"/>
  <c r="AE185" i="122"/>
  <c r="M88" i="217"/>
  <c r="M34" i="217" s="1"/>
  <c r="M29" i="217"/>
  <c r="L34" i="206"/>
  <c r="O34" i="212"/>
  <c r="K35" i="122"/>
  <c r="K42" i="122" s="1"/>
  <c r="D41" i="183"/>
  <c r="E12" i="230" s="1"/>
  <c r="D35" i="183"/>
  <c r="E11" i="230" s="1"/>
  <c r="K34" i="214"/>
  <c r="K34" i="205"/>
  <c r="L34" i="204"/>
  <c r="K34" i="215"/>
  <c r="E22" i="183"/>
  <c r="F7" i="230" s="1"/>
  <c r="D27" i="183"/>
  <c r="E8" i="230" s="1"/>
  <c r="O34" i="198"/>
  <c r="M34" i="199"/>
  <c r="C32" i="183"/>
  <c r="D10" i="230" s="1"/>
  <c r="E35" i="183"/>
  <c r="F11" i="230" s="1"/>
  <c r="E32" i="183"/>
  <c r="F10" i="230" s="1"/>
  <c r="M34" i="198"/>
  <c r="I11" i="126"/>
  <c r="I33" i="126" s="1"/>
  <c r="Q13" i="183"/>
  <c r="Q17" i="183" s="1"/>
  <c r="I6" i="230" s="1"/>
  <c r="I13" i="230" s="1"/>
  <c r="W20" i="123"/>
  <c r="O20" i="113"/>
  <c r="J20" i="123"/>
  <c r="G82" i="123"/>
  <c r="F20" i="123"/>
  <c r="C82" i="123"/>
  <c r="G11" i="126"/>
  <c r="G33" i="126" s="1"/>
  <c r="I13" i="183"/>
  <c r="I17" i="183" s="1"/>
  <c r="G6" i="230" s="1"/>
  <c r="G13" i="230" s="1"/>
  <c r="O20" i="123"/>
  <c r="G20" i="113"/>
  <c r="K20" i="113"/>
  <c r="H11" i="126"/>
  <c r="S20" i="123"/>
  <c r="M13" i="183"/>
  <c r="M17" i="183" s="1"/>
  <c r="H6" i="230" s="1"/>
  <c r="N20" i="123"/>
  <c r="K82" i="123"/>
  <c r="E9" i="135"/>
  <c r="E24" i="135"/>
  <c r="E30" i="135"/>
  <c r="D5" i="131"/>
  <c r="I26" i="2"/>
  <c r="AX22" i="234"/>
  <c r="G27" i="135"/>
  <c r="D492" i="45"/>
  <c r="H95" i="2"/>
  <c r="D490" i="45"/>
  <c r="C494" i="45"/>
  <c r="E5" i="131"/>
  <c r="F24" i="135"/>
  <c r="F30" i="135"/>
  <c r="F9" i="135"/>
  <c r="AG104" i="192"/>
  <c r="I5" i="2"/>
  <c r="AX7" i="234"/>
  <c r="O265" i="198"/>
  <c r="I296" i="198" s="1"/>
  <c r="I140" i="198"/>
  <c r="H40" i="164"/>
  <c r="M33" i="122"/>
  <c r="M40" i="122" s="1"/>
  <c r="O226" i="199"/>
  <c r="I257" i="199" s="1"/>
  <c r="I140" i="199"/>
  <c r="O265" i="203"/>
  <c r="I296" i="203" s="1"/>
  <c r="I140" i="203"/>
  <c r="G22" i="163"/>
  <c r="I22" i="163"/>
  <c r="H22" i="163"/>
  <c r="C487" i="45" l="1"/>
  <c r="L34" i="122"/>
  <c r="K34" i="122"/>
  <c r="M34" i="122"/>
  <c r="M41" i="122" s="1"/>
  <c r="K12" i="122"/>
  <c r="K18" i="122" s="1"/>
  <c r="K20" i="122" s="1"/>
  <c r="K36" i="122"/>
  <c r="K43" i="122" s="1"/>
  <c r="J18" i="122"/>
  <c r="J20" i="122" s="1"/>
  <c r="M36" i="122"/>
  <c r="M43" i="122" s="1"/>
  <c r="N28" i="228"/>
  <c r="O34" i="228"/>
  <c r="L12" i="122"/>
  <c r="L14" i="122" s="1"/>
  <c r="O28" i="228"/>
  <c r="M28" i="228"/>
  <c r="H18" i="122"/>
  <c r="H20" i="122" s="1"/>
  <c r="I14" i="122"/>
  <c r="L34" i="228"/>
  <c r="H37" i="122"/>
  <c r="I37" i="122"/>
  <c r="I44" i="122"/>
  <c r="H44" i="122"/>
  <c r="D13" i="230"/>
  <c r="J34" i="228"/>
  <c r="J44" i="122"/>
  <c r="E13" i="230"/>
  <c r="F13" i="230"/>
  <c r="D43" i="183"/>
  <c r="D33" i="135" s="1"/>
  <c r="C43" i="183"/>
  <c r="C33" i="135" s="1"/>
  <c r="E43" i="183"/>
  <c r="E33" i="135" s="1"/>
  <c r="J37" i="122"/>
  <c r="K34" i="228"/>
  <c r="M34" i="228"/>
  <c r="L36" i="122"/>
  <c r="L43" i="122" s="1"/>
  <c r="G13" i="183"/>
  <c r="G17" i="183" s="1"/>
  <c r="G43" i="183" s="1"/>
  <c r="G83" i="113"/>
  <c r="M18" i="122"/>
  <c r="M20" i="122" s="1"/>
  <c r="M14" i="122"/>
  <c r="E9" i="163"/>
  <c r="E31" i="163" s="1"/>
  <c r="J82" i="123"/>
  <c r="Z20" i="123"/>
  <c r="W82" i="123"/>
  <c r="F9" i="163"/>
  <c r="F31" i="163" s="1"/>
  <c r="N82" i="123"/>
  <c r="V20" i="123"/>
  <c r="K13" i="183"/>
  <c r="K17" i="183" s="1"/>
  <c r="R20" i="123"/>
  <c r="O82" i="123"/>
  <c r="D9" i="163"/>
  <c r="D31" i="163" s="1"/>
  <c r="F82" i="123"/>
  <c r="O13" i="183"/>
  <c r="O17" i="183" s="1"/>
  <c r="O43" i="183" s="1"/>
  <c r="O83" i="113"/>
  <c r="D494" i="45"/>
  <c r="E6" i="135"/>
  <c r="D12" i="131"/>
  <c r="D13" i="131" s="1"/>
  <c r="E492" i="45"/>
  <c r="E490" i="45"/>
  <c r="I95" i="2"/>
  <c r="H12" i="135" s="1"/>
  <c r="G24" i="135"/>
  <c r="F5" i="131"/>
  <c r="G30" i="135"/>
  <c r="G9" i="135"/>
  <c r="H27" i="135"/>
  <c r="I82" i="113"/>
  <c r="I83" i="113" s="1"/>
  <c r="I42" i="183"/>
  <c r="I43" i="183" s="1"/>
  <c r="F33" i="135" s="1"/>
  <c r="E9" i="131"/>
  <c r="F6" i="135" s="1"/>
  <c r="G12" i="135"/>
  <c r="K37" i="122" l="1"/>
  <c r="M37" i="122"/>
  <c r="K14" i="122"/>
  <c r="F9" i="131"/>
  <c r="K41" i="122"/>
  <c r="K44" i="122" s="1"/>
  <c r="M44" i="122"/>
  <c r="L37" i="122"/>
  <c r="G9" i="163"/>
  <c r="G31" i="163" s="1"/>
  <c r="R82" i="123"/>
  <c r="H9" i="163"/>
  <c r="I9" i="163"/>
  <c r="I31" i="163" s="1"/>
  <c r="Z82" i="123"/>
  <c r="E12" i="131"/>
  <c r="E13" i="131" s="1"/>
  <c r="D487" i="45"/>
  <c r="M42" i="183"/>
  <c r="M82" i="113"/>
  <c r="E494" i="45"/>
  <c r="G5" i="131"/>
  <c r="H24" i="135"/>
  <c r="H30" i="135"/>
  <c r="H9" i="135"/>
  <c r="E487" i="45" l="1"/>
  <c r="S485" i="45"/>
  <c r="Q82" i="113"/>
  <c r="Q83" i="113" s="1"/>
  <c r="T485" i="45"/>
  <c r="G9" i="131"/>
  <c r="G12" i="131" s="1"/>
  <c r="G13" i="131" s="1"/>
  <c r="Q42" i="183"/>
  <c r="Q43" i="183" s="1"/>
  <c r="H33" i="135" s="1"/>
  <c r="H6" i="135" l="1"/>
  <c r="F275" i="45"/>
  <c r="I275" i="45" s="1"/>
  <c r="L275" i="45" s="1"/>
  <c r="O275" i="45" s="1"/>
  <c r="R275" i="45" s="1"/>
  <c r="F276" i="45"/>
  <c r="I276" i="45" s="1"/>
  <c r="L276" i="45" s="1"/>
  <c r="O276" i="45" s="1"/>
  <c r="R276" i="45" s="1"/>
  <c r="F274" i="45"/>
  <c r="I274" i="45" s="1"/>
  <c r="L274" i="45" s="1"/>
  <c r="O274" i="45" s="1"/>
  <c r="R274" i="45" s="1"/>
  <c r="C263" i="45"/>
  <c r="F263" i="45" s="1"/>
  <c r="I263" i="45" s="1"/>
  <c r="L263" i="45" s="1"/>
  <c r="O263" i="45" s="1"/>
  <c r="R263" i="45" s="1"/>
  <c r="C262" i="45" l="1"/>
  <c r="F262" i="45" s="1"/>
  <c r="I262" i="45" s="1"/>
  <c r="L262" i="45" s="1"/>
  <c r="O262" i="45" s="1"/>
  <c r="R262" i="45" s="1"/>
  <c r="F264" i="45"/>
  <c r="I264" i="45" s="1"/>
  <c r="L264" i="45" s="1"/>
  <c r="O264" i="45" s="1"/>
  <c r="R264" i="45" s="1"/>
  <c r="P259" i="45"/>
  <c r="M61" i="212" s="1"/>
  <c r="G259" i="45"/>
  <c r="M52" i="212" s="1"/>
  <c r="AR31" i="234"/>
  <c r="AR37" i="234"/>
  <c r="AQ43" i="234"/>
  <c r="BB35" i="234"/>
  <c r="AQ42" i="234"/>
  <c r="AS9" i="234"/>
  <c r="AS20" i="234"/>
  <c r="AZ54" i="234"/>
  <c r="AS19" i="234"/>
  <c r="AR54" i="234"/>
  <c r="AZ56" i="234"/>
  <c r="BB20" i="234"/>
  <c r="AQ15" i="234"/>
  <c r="AQ46" i="234"/>
  <c r="AQ17" i="234"/>
  <c r="AR32" i="234"/>
  <c r="AS31" i="234"/>
  <c r="BA42" i="234"/>
  <c r="AQ55" i="234"/>
  <c r="BA31" i="234"/>
  <c r="BB50" i="234"/>
  <c r="AZ52" i="234"/>
  <c r="AR52" i="234"/>
  <c r="BA49" i="234"/>
  <c r="AS37" i="234"/>
  <c r="AZ60" i="234"/>
  <c r="AR23" i="234"/>
  <c r="BA43" i="234"/>
  <c r="BA46" i="234"/>
  <c r="BB14" i="234"/>
  <c r="AS34" i="234"/>
  <c r="AQ53" i="234"/>
  <c r="BA41" i="234"/>
  <c r="BB17" i="234"/>
  <c r="AQ34" i="234"/>
  <c r="AS11" i="234"/>
  <c r="BA33" i="234"/>
  <c r="BB46" i="234"/>
  <c r="BA35" i="234"/>
  <c r="AS24" i="234"/>
  <c r="AR26" i="234"/>
  <c r="AS16" i="234"/>
  <c r="BB25" i="234"/>
  <c r="AZ53" i="234"/>
  <c r="AQ27" i="234"/>
  <c r="AR14" i="234"/>
  <c r="BB44" i="234"/>
  <c r="AS44" i="234"/>
  <c r="BB42" i="234"/>
  <c r="AZ38" i="234"/>
  <c r="AR28" i="234"/>
  <c r="AS27" i="234"/>
  <c r="AZ50" i="234"/>
  <c r="BB26" i="234"/>
  <c r="BA22" i="234"/>
  <c r="BB53" i="234"/>
  <c r="AZ45" i="234"/>
  <c r="AR51" i="234"/>
  <c r="AR29" i="234"/>
  <c r="AQ21" i="234"/>
  <c r="BB34" i="234"/>
  <c r="BA26" i="234"/>
  <c r="BB29" i="234"/>
  <c r="BA7" i="234"/>
  <c r="AR12" i="234"/>
  <c r="AR18" i="234"/>
  <c r="AR59" i="234"/>
  <c r="AS41" i="234"/>
  <c r="AS15" i="234"/>
  <c r="AR40" i="234"/>
  <c r="AQ8" i="234"/>
  <c r="AZ20" i="234"/>
  <c r="BA13" i="234"/>
  <c r="AS47" i="234"/>
  <c r="BB7" i="234"/>
  <c r="BA19" i="234"/>
  <c r="AZ18" i="234"/>
  <c r="AS59" i="234"/>
  <c r="BB30" i="234"/>
  <c r="BA18" i="234"/>
  <c r="AR30" i="234"/>
  <c r="AS22" i="234"/>
  <c r="AR41" i="234"/>
  <c r="AR55" i="234"/>
  <c r="BA53" i="234"/>
  <c r="AR19" i="234"/>
  <c r="AQ57" i="234"/>
  <c r="BB45" i="234"/>
  <c r="AZ17" i="234"/>
  <c r="AQ11" i="234"/>
  <c r="AR16" i="234"/>
  <c r="AS13" i="234"/>
  <c r="BB23" i="234"/>
  <c r="AR48" i="234"/>
  <c r="AS38" i="234"/>
  <c r="AZ14" i="234"/>
  <c r="BB62" i="234"/>
  <c r="AQ29" i="234"/>
  <c r="AZ31" i="234"/>
  <c r="AQ61" i="234"/>
  <c r="BB28" i="234"/>
  <c r="AR10" i="234"/>
  <c r="BA52" i="234"/>
  <c r="AS51" i="234"/>
  <c r="AR20" i="234"/>
  <c r="BB41" i="234"/>
  <c r="AS8" i="234"/>
  <c r="AR44" i="234"/>
  <c r="AZ12" i="234"/>
  <c r="AQ37" i="234"/>
  <c r="AS46" i="234"/>
  <c r="AQ16" i="234"/>
  <c r="AR11" i="234"/>
  <c r="AZ58" i="234"/>
  <c r="AQ26" i="234"/>
  <c r="AR62" i="234"/>
  <c r="AQ22" i="234"/>
  <c r="AS32" i="234"/>
  <c r="AZ9" i="234"/>
  <c r="BA8" i="234"/>
  <c r="AR17" i="234"/>
  <c r="AQ13" i="234"/>
  <c r="AS53" i="234"/>
  <c r="AZ15" i="234"/>
  <c r="AS42" i="234"/>
  <c r="AQ32" i="234"/>
  <c r="AQ28" i="234"/>
  <c r="AQ52" i="234"/>
  <c r="AS21" i="234"/>
  <c r="AZ30" i="234"/>
  <c r="BA10" i="234"/>
  <c r="AQ40" i="234"/>
  <c r="AZ33" i="234"/>
  <c r="BA15" i="234"/>
  <c r="AR22" i="234"/>
  <c r="BB38" i="234"/>
  <c r="AS33" i="234"/>
  <c r="BB52" i="234"/>
  <c r="AQ23" i="234"/>
  <c r="BA62" i="234"/>
  <c r="AR58" i="234"/>
  <c r="AS57" i="234"/>
  <c r="AS49" i="234"/>
  <c r="BB33" i="234"/>
  <c r="AS40" i="234"/>
  <c r="AR13" i="234"/>
  <c r="AQ14" i="234"/>
  <c r="AR60" i="234"/>
  <c r="BA21" i="234"/>
  <c r="AQ7" i="234"/>
  <c r="AR53" i="234"/>
  <c r="AS58" i="234"/>
  <c r="AR24" i="234"/>
  <c r="AZ34" i="234"/>
  <c r="AZ16" i="234"/>
  <c r="BB8" i="234"/>
  <c r="AS36" i="234"/>
  <c r="BA54" i="234"/>
  <c r="AZ57" i="234"/>
  <c r="AR34" i="234"/>
  <c r="AS23" i="234"/>
  <c r="AZ29" i="234"/>
  <c r="BA58" i="234"/>
  <c r="AZ46" i="234"/>
  <c r="BA14" i="234"/>
  <c r="AZ39" i="234"/>
  <c r="AQ58" i="234"/>
  <c r="BB47" i="234"/>
  <c r="AS63" i="234"/>
  <c r="BB56" i="234"/>
  <c r="AS18" i="234"/>
  <c r="BA29" i="234"/>
  <c r="AS28" i="234"/>
  <c r="AS10" i="234"/>
  <c r="BA56" i="234"/>
  <c r="AZ26" i="234"/>
  <c r="BB10" i="234"/>
  <c r="AQ48" i="234"/>
  <c r="AZ40" i="234"/>
  <c r="AZ7" i="234"/>
  <c r="BA51" i="234"/>
  <c r="BA30" i="234"/>
  <c r="BB48" i="234"/>
  <c r="AZ22" i="234"/>
  <c r="BB36" i="234"/>
  <c r="AZ63" i="234"/>
  <c r="BA17" i="234"/>
  <c r="AR57" i="234"/>
  <c r="BA37" i="234"/>
  <c r="AQ35" i="234"/>
  <c r="AZ32" i="234"/>
  <c r="BA12" i="234"/>
  <c r="BA39" i="234"/>
  <c r="AS43" i="234"/>
  <c r="BA60" i="234"/>
  <c r="BB12" i="234"/>
  <c r="BA40" i="234"/>
  <c r="AQ38" i="234"/>
  <c r="BB54" i="234"/>
  <c r="BA9" i="234"/>
  <c r="BA11" i="234"/>
  <c r="AR27" i="234"/>
  <c r="AZ37" i="234"/>
  <c r="AR7" i="234"/>
  <c r="BA47" i="234"/>
  <c r="AQ49" i="234"/>
  <c r="AS60" i="234"/>
  <c r="AZ23" i="234"/>
  <c r="BB58" i="234"/>
  <c r="BB32" i="234"/>
  <c r="BA32" i="234"/>
  <c r="AS7" i="234"/>
  <c r="AS50" i="234"/>
  <c r="BA44" i="234"/>
  <c r="BB13" i="234"/>
  <c r="AZ21" i="234"/>
  <c r="AR42" i="234"/>
  <c r="AS25" i="234"/>
  <c r="AQ19" i="234"/>
  <c r="AZ27" i="234"/>
  <c r="AS14" i="234"/>
  <c r="AR61" i="234"/>
  <c r="AS54" i="234"/>
  <c r="AQ12" i="234"/>
  <c r="AR25" i="234"/>
  <c r="AQ60" i="234"/>
  <c r="BB43" i="234"/>
  <c r="AR43" i="234"/>
  <c r="AZ59" i="234"/>
  <c r="AZ13" i="234"/>
  <c r="AS17" i="234"/>
  <c r="AQ24" i="234"/>
  <c r="BB11" i="234"/>
  <c r="BB22" i="234"/>
  <c r="BA50" i="234"/>
  <c r="BA63" i="234"/>
  <c r="AR39" i="234"/>
  <c r="AZ51" i="234"/>
  <c r="AZ48" i="234"/>
  <c r="BA27" i="234"/>
  <c r="AS39" i="234"/>
  <c r="AZ43" i="234"/>
  <c r="BB27" i="234"/>
  <c r="AQ39" i="234"/>
  <c r="AS56" i="234"/>
  <c r="BA59" i="234"/>
  <c r="BA25" i="234"/>
  <c r="AZ36" i="234"/>
  <c r="AR47" i="234"/>
  <c r="AZ47" i="234"/>
  <c r="BB39" i="234"/>
  <c r="BB24" i="234"/>
  <c r="AZ28" i="234"/>
  <c r="AR50" i="234"/>
  <c r="BB55" i="234"/>
  <c r="AZ42" i="234"/>
  <c r="AQ54" i="234"/>
  <c r="AQ47" i="234"/>
  <c r="BB18" i="234"/>
  <c r="AZ11" i="234"/>
  <c r="BA28" i="234"/>
  <c r="AS12" i="234"/>
  <c r="AZ61" i="234"/>
  <c r="BB59" i="234"/>
  <c r="AR35" i="234"/>
  <c r="AZ49" i="234"/>
  <c r="AR45" i="234"/>
  <c r="AR8" i="234"/>
  <c r="BB63" i="234"/>
  <c r="BB31" i="234"/>
  <c r="AR15" i="234"/>
  <c r="AR38" i="234"/>
  <c r="AZ62" i="234"/>
  <c r="BB40" i="234"/>
  <c r="AQ31" i="234"/>
  <c r="AR33" i="234"/>
  <c r="BA38" i="234"/>
  <c r="AS45" i="234"/>
  <c r="AS30" i="234"/>
  <c r="BA16" i="234"/>
  <c r="AR21" i="234"/>
  <c r="AQ25" i="234"/>
  <c r="AQ51" i="234"/>
  <c r="AQ41" i="234"/>
  <c r="AS29" i="234"/>
  <c r="BA23" i="234"/>
  <c r="AS48" i="234"/>
  <c r="AS62" i="234"/>
  <c r="AZ35" i="234"/>
  <c r="AR63" i="234"/>
  <c r="AQ62" i="234"/>
  <c r="BA24" i="234"/>
  <c r="AS55" i="234"/>
  <c r="AZ24" i="234"/>
  <c r="AZ41" i="234"/>
  <c r="AR49" i="234"/>
  <c r="BB19" i="234"/>
  <c r="AQ63" i="234"/>
  <c r="AZ55" i="234"/>
  <c r="AS26" i="234"/>
  <c r="AQ33" i="234"/>
  <c r="AR56" i="234"/>
  <c r="AQ30" i="234"/>
  <c r="BA55" i="234"/>
  <c r="BA20" i="234"/>
  <c r="BA45" i="234"/>
  <c r="AR46" i="234"/>
  <c r="BB21" i="234"/>
  <c r="AR9" i="234"/>
  <c r="BB60" i="234"/>
  <c r="AQ59" i="234"/>
  <c r="AS61" i="234"/>
  <c r="BA36" i="234"/>
  <c r="BA57" i="234"/>
  <c r="AQ56" i="234"/>
  <c r="BA48" i="234"/>
  <c r="AZ10" i="234"/>
  <c r="AZ44" i="234"/>
  <c r="BB57" i="234"/>
  <c r="AQ50" i="234"/>
  <c r="BB15" i="234"/>
  <c r="AZ25" i="234"/>
  <c r="AZ19" i="234"/>
  <c r="AS52" i="234"/>
  <c r="BB61" i="234"/>
  <c r="AQ45" i="234"/>
  <c r="AS35" i="234"/>
  <c r="BB51" i="234"/>
  <c r="AQ44" i="234"/>
  <c r="AQ20" i="234"/>
  <c r="BB37" i="234"/>
  <c r="AR36" i="234"/>
  <c r="BB16" i="234"/>
  <c r="AZ8" i="234"/>
  <c r="AQ9" i="234"/>
  <c r="AQ36" i="234"/>
  <c r="BB9" i="234"/>
  <c r="AQ10" i="234"/>
  <c r="BA61" i="234"/>
  <c r="BA34" i="234"/>
  <c r="AQ18" i="234"/>
  <c r="BB49" i="234"/>
  <c r="AW53" i="234" l="1"/>
  <c r="AU8" i="234"/>
  <c r="AW9" i="234"/>
  <c r="AW7" i="234"/>
  <c r="AU27" i="234"/>
  <c r="AY18" i="234"/>
  <c r="AU23" i="234"/>
  <c r="AU57" i="234"/>
  <c r="AY53" i="234"/>
  <c r="AW58" i="234"/>
  <c r="AY8" i="234"/>
  <c r="AY13" i="234"/>
  <c r="AY57" i="234"/>
  <c r="AW26" i="234"/>
  <c r="AW44" i="234"/>
  <c r="AU32" i="234"/>
  <c r="AW24" i="234"/>
  <c r="AY37" i="234"/>
  <c r="AU47" i="234"/>
  <c r="AU33" i="234"/>
  <c r="AU22" i="234"/>
  <c r="AU10" i="234"/>
  <c r="AY62" i="234"/>
  <c r="AU13" i="234"/>
  <c r="AU26" i="234"/>
  <c r="AW37" i="234"/>
  <c r="AU31" i="234"/>
  <c r="AY50" i="234"/>
  <c r="AU43" i="234"/>
  <c r="AU62" i="234"/>
  <c r="AY36" i="234"/>
  <c r="AY23" i="234"/>
  <c r="AY48" i="234"/>
  <c r="AW10" i="234"/>
  <c r="AU34" i="234"/>
  <c r="AW63" i="234"/>
  <c r="AW60" i="234"/>
  <c r="AU24" i="234"/>
  <c r="AY41" i="234"/>
  <c r="AU58" i="234"/>
  <c r="AU39" i="234"/>
  <c r="AU38" i="234"/>
  <c r="AU56" i="234"/>
  <c r="AU36" i="234"/>
  <c r="AW33" i="234"/>
  <c r="AW21" i="234"/>
  <c r="AW29" i="234"/>
  <c r="AY43" i="234"/>
  <c r="AY11" i="234"/>
  <c r="AY33" i="234"/>
  <c r="AW36" i="234"/>
  <c r="AU41" i="234"/>
  <c r="AU16" i="234"/>
  <c r="AU28" i="234"/>
  <c r="AW27" i="234"/>
  <c r="AY61" i="234"/>
  <c r="AU35" i="234"/>
  <c r="AY29" i="234"/>
  <c r="AW48" i="234"/>
  <c r="AU25" i="234"/>
  <c r="AY59" i="234"/>
  <c r="AY20" i="234"/>
  <c r="AW14" i="234"/>
  <c r="AY22" i="234"/>
  <c r="AW43" i="234"/>
  <c r="AU7" i="234"/>
  <c r="AW34" i="234"/>
  <c r="AU9" i="234"/>
  <c r="AU51" i="234"/>
  <c r="AW54" i="234"/>
  <c r="AU14" i="234"/>
  <c r="AW56" i="234"/>
  <c r="AW38" i="234"/>
  <c r="AW8" i="234"/>
  <c r="AY51" i="234"/>
  <c r="AY56" i="234"/>
  <c r="AW31" i="234"/>
  <c r="AY7" i="234"/>
  <c r="AY58" i="234"/>
  <c r="AU40" i="234"/>
  <c r="AY26" i="234"/>
  <c r="AW23" i="234"/>
  <c r="AY16" i="234"/>
  <c r="AU54" i="234"/>
  <c r="AU29" i="234"/>
  <c r="AY47" i="234"/>
  <c r="AW61" i="234"/>
  <c r="AY9" i="234"/>
  <c r="AW18" i="234"/>
  <c r="AU50" i="234"/>
  <c r="AY28" i="234"/>
  <c r="AY31" i="234"/>
  <c r="AU19" i="234"/>
  <c r="AU42" i="234"/>
  <c r="AY49" i="234"/>
  <c r="AU18" i="234"/>
  <c r="AU30" i="234"/>
  <c r="AU20" i="234"/>
  <c r="AU45" i="234"/>
  <c r="AU60" i="234"/>
  <c r="AW20" i="234"/>
  <c r="AU11" i="234"/>
  <c r="AU48" i="234"/>
  <c r="AY12" i="234"/>
  <c r="AW45" i="234"/>
  <c r="AU53" i="234"/>
  <c r="AY54" i="234"/>
  <c r="AW17" i="234"/>
  <c r="AW55" i="234"/>
  <c r="AW16" i="234"/>
  <c r="AY24" i="234"/>
  <c r="AW13" i="234"/>
  <c r="AY35" i="234"/>
  <c r="AY39" i="234"/>
  <c r="AY38" i="234"/>
  <c r="AW25" i="234"/>
  <c r="AW46" i="234"/>
  <c r="AW59" i="234"/>
  <c r="AW15" i="234"/>
  <c r="AU15" i="234"/>
  <c r="AU49" i="234"/>
  <c r="AW30" i="234"/>
  <c r="AY46" i="234"/>
  <c r="AU37" i="234"/>
  <c r="AU63" i="234"/>
  <c r="AY30" i="234"/>
  <c r="AW40" i="234"/>
  <c r="AY42" i="234"/>
  <c r="AY44" i="234"/>
  <c r="AW11" i="234"/>
  <c r="AW62" i="234"/>
  <c r="AY14" i="234"/>
  <c r="AY55" i="234"/>
  <c r="AY17" i="234"/>
  <c r="AW52" i="234"/>
  <c r="AW19" i="234"/>
  <c r="AW32" i="234"/>
  <c r="AW41" i="234"/>
  <c r="AY63" i="234"/>
  <c r="AY19" i="234"/>
  <c r="AW22" i="234"/>
  <c r="AW28" i="234"/>
  <c r="AW35" i="234"/>
  <c r="AU21" i="234"/>
  <c r="AU59" i="234"/>
  <c r="AY60" i="234"/>
  <c r="AU46" i="234"/>
  <c r="AY45" i="234"/>
  <c r="AW47" i="234"/>
  <c r="AW42" i="234"/>
  <c r="AW49" i="234"/>
  <c r="AU12" i="234"/>
  <c r="AW57" i="234"/>
  <c r="AW39" i="234"/>
  <c r="AY21" i="234"/>
  <c r="AY52" i="234"/>
  <c r="AU55" i="234"/>
  <c r="AY32" i="234"/>
  <c r="AU61" i="234"/>
  <c r="AU52" i="234"/>
  <c r="AW51" i="234"/>
  <c r="AY15" i="234"/>
  <c r="AY27" i="234"/>
  <c r="AW50" i="234"/>
  <c r="AU17" i="234"/>
  <c r="AW12" i="234"/>
  <c r="AY10" i="234"/>
  <c r="AY40" i="234"/>
  <c r="AY34" i="234"/>
  <c r="AY25" i="234"/>
  <c r="AU44" i="234"/>
  <c r="M63" i="212"/>
  <c r="M54" i="212"/>
  <c r="L63" i="212" l="1"/>
  <c r="F29" i="45"/>
  <c r="I29" i="45" s="1"/>
  <c r="L29" i="45" s="1"/>
  <c r="O29" i="45" s="1"/>
  <c r="R29" i="45" s="1"/>
  <c r="F30" i="45"/>
  <c r="I30" i="45" s="1"/>
  <c r="L30" i="45" s="1"/>
  <c r="O30" i="45" s="1"/>
  <c r="R30" i="45" s="1"/>
  <c r="C28" i="45"/>
  <c r="F28" i="45" s="1"/>
  <c r="I28" i="45" s="1"/>
  <c r="L28" i="45" s="1"/>
  <c r="O28" i="45" s="1"/>
  <c r="R28" i="45" s="1"/>
  <c r="F12" i="45"/>
  <c r="I12" i="45" s="1"/>
  <c r="L12" i="45" s="1"/>
  <c r="O12" i="45" s="1"/>
  <c r="R12" i="45" s="1"/>
  <c r="F11" i="45" l="1"/>
  <c r="I11" i="45" s="1"/>
  <c r="L11" i="45" s="1"/>
  <c r="O11" i="45" s="1"/>
  <c r="R11" i="45" s="1"/>
  <c r="G7" i="45"/>
  <c r="M52" i="198" s="1"/>
  <c r="M54" i="198" l="1"/>
  <c r="F10" i="45"/>
  <c r="I10" i="45" s="1"/>
  <c r="L10" i="45" s="1"/>
  <c r="O10" i="45" s="1"/>
  <c r="R10" i="45" s="1"/>
  <c r="P7" i="45"/>
  <c r="M61" i="198" s="1"/>
  <c r="M63" i="198" l="1"/>
  <c r="L54" i="198"/>
  <c r="L63" i="198" l="1"/>
  <c r="F155" i="45"/>
  <c r="I155" i="45" s="1"/>
  <c r="L155" i="45" s="1"/>
  <c r="O155" i="45" s="1"/>
  <c r="R155" i="45" s="1"/>
  <c r="F156" i="45"/>
  <c r="I156" i="45" s="1"/>
  <c r="L156" i="45" s="1"/>
  <c r="O156" i="45" s="1"/>
  <c r="R156" i="45" s="1"/>
  <c r="F154" i="45"/>
  <c r="I154" i="45" s="1"/>
  <c r="L154" i="45" s="1"/>
  <c r="O154" i="45" s="1"/>
  <c r="R154" i="45" s="1"/>
  <c r="C149" i="45"/>
  <c r="C485" i="45" s="1"/>
  <c r="F485" i="45" l="1"/>
  <c r="I485" i="45" s="1"/>
  <c r="L485" i="45" s="1"/>
  <c r="O485" i="45" s="1"/>
  <c r="R485" i="45" s="1"/>
  <c r="C148" i="45"/>
  <c r="G145" i="45"/>
  <c r="M52" i="205" s="1"/>
  <c r="F150" i="45"/>
  <c r="I150" i="45" s="1"/>
  <c r="L150" i="45" s="1"/>
  <c r="O150" i="45" s="1"/>
  <c r="R150" i="45" s="1"/>
  <c r="F149" i="45"/>
  <c r="I149" i="45" s="1"/>
  <c r="L149" i="45" s="1"/>
  <c r="O149" i="45" s="1"/>
  <c r="R149" i="45" s="1"/>
  <c r="M52" i="228" l="1"/>
  <c r="M54" i="205"/>
  <c r="F148" i="45"/>
  <c r="I148" i="45" s="1"/>
  <c r="L148" i="45" s="1"/>
  <c r="O148" i="45" s="1"/>
  <c r="R148" i="45" s="1"/>
  <c r="C484" i="45"/>
  <c r="P145" i="45"/>
  <c r="M61" i="205" s="1"/>
  <c r="M61" i="228" l="1"/>
  <c r="M63" i="205"/>
  <c r="L63" i="205" s="1"/>
  <c r="L54" i="205"/>
  <c r="M54" i="228"/>
  <c r="M63" i="228" l="1"/>
  <c r="L63" i="228" s="1"/>
  <c r="F35" i="212"/>
  <c r="F36" i="212"/>
  <c r="F36" i="228" s="1"/>
  <c r="F69" i="228" s="1"/>
  <c r="D5" i="229" s="1"/>
  <c r="J49" i="113" l="1"/>
  <c r="F111" i="212"/>
  <c r="F35" i="228"/>
  <c r="F68" i="228" s="1"/>
  <c r="J51" i="113"/>
  <c r="N56" i="212"/>
  <c r="N56" i="228" l="1"/>
  <c r="N57" i="212"/>
  <c r="J83" i="113"/>
  <c r="J24" i="183"/>
  <c r="J27" i="183" s="1"/>
  <c r="J43" i="183" s="1"/>
  <c r="D4" i="229"/>
  <c r="F138" i="212"/>
  <c r="F18" i="212"/>
  <c r="N127" i="212"/>
  <c r="N34" i="212" s="1"/>
  <c r="N34" i="228" s="1"/>
  <c r="Y158" i="122"/>
  <c r="L27" i="122" l="1"/>
  <c r="L6" i="122"/>
  <c r="F18" i="228"/>
  <c r="F7" i="131" s="1"/>
  <c r="N53" i="212"/>
  <c r="D138" i="212"/>
  <c r="F45" i="212"/>
  <c r="F139" i="212"/>
  <c r="N57" i="228"/>
  <c r="L57" i="228" s="1"/>
  <c r="L57" i="212"/>
  <c r="G6" i="135" l="1"/>
  <c r="F12" i="131"/>
  <c r="F13" i="131" s="1"/>
  <c r="G41" i="164"/>
  <c r="L41" i="122"/>
  <c r="L44" i="122" s="1"/>
  <c r="L30" i="122"/>
  <c r="G44" i="164" s="1"/>
  <c r="F46" i="212"/>
  <c r="F46" i="228" s="1"/>
  <c r="F80" i="228" s="1"/>
  <c r="F141" i="212"/>
  <c r="D45" i="212"/>
  <c r="F45" i="228"/>
  <c r="F78" i="228" s="1"/>
  <c r="D14" i="229" s="1"/>
  <c r="N54" i="212"/>
  <c r="N53" i="228"/>
  <c r="N59" i="212"/>
  <c r="L18" i="122"/>
  <c r="L20" i="122" s="1"/>
  <c r="G8" i="164"/>
  <c r="L8" i="122"/>
  <c r="G10" i="164" s="1"/>
  <c r="N59" i="228" l="1"/>
  <c r="N60" i="212"/>
  <c r="N54" i="228"/>
  <c r="L54" i="228" s="1"/>
  <c r="L54" i="212"/>
  <c r="M51" i="113"/>
  <c r="F48" i="212"/>
  <c r="G15" i="135"/>
  <c r="G21" i="135"/>
  <c r="G18" i="135"/>
  <c r="K51" i="113" l="1"/>
  <c r="S51" i="123"/>
  <c r="V51" i="123" s="1"/>
  <c r="F48" i="228"/>
  <c r="M49" i="113"/>
  <c r="L60" i="212"/>
  <c r="N60" i="228"/>
  <c r="L60" i="228" s="1"/>
  <c r="M83" i="113" l="1"/>
  <c r="K49" i="113"/>
  <c r="M24" i="183"/>
  <c r="M27" i="183" s="1"/>
  <c r="H20" i="126"/>
  <c r="H33" i="126" s="1"/>
  <c r="S49" i="123"/>
  <c r="K24" i="183" l="1"/>
  <c r="K27" i="183" s="1"/>
  <c r="K43" i="183" s="1"/>
  <c r="K83" i="113"/>
  <c r="V49" i="123"/>
  <c r="S82" i="123"/>
  <c r="H8" i="230"/>
  <c r="H13" i="230" s="1"/>
  <c r="M43" i="183"/>
  <c r="G33" i="135" s="1"/>
  <c r="V82" i="123" l="1"/>
  <c r="H18" i="163"/>
  <c r="H31" i="163" s="1"/>
</calcChain>
</file>

<file path=xl/sharedStrings.xml><?xml version="1.0" encoding="utf-8"?>
<sst xmlns="http://schemas.openxmlformats.org/spreadsheetml/2006/main" count="3357" uniqueCount="2664">
  <si>
    <t>Total</t>
  </si>
  <si>
    <t>NET REVENUES</t>
  </si>
  <si>
    <t>t+2</t>
  </si>
  <si>
    <t>t+3</t>
  </si>
  <si>
    <t>sharesd functions</t>
  </si>
  <si>
    <t>delegated functions</t>
  </si>
  <si>
    <t>1 general administration</t>
  </si>
  <si>
    <t>2 cleaning and greening</t>
  </si>
  <si>
    <t>3 water sewage</t>
  </si>
  <si>
    <t>4 road management</t>
  </si>
  <si>
    <t>5 public transport</t>
  </si>
  <si>
    <t>6 tourism development</t>
  </si>
  <si>
    <t>7 urban planning and housing</t>
  </si>
  <si>
    <t>8 public lighting</t>
  </si>
  <si>
    <t>9 economic development</t>
  </si>
  <si>
    <t>10 local forests</t>
  </si>
  <si>
    <t>11 environment</t>
  </si>
  <si>
    <t>12 sport development</t>
  </si>
  <si>
    <t>13 culture programs</t>
  </si>
  <si>
    <t>14 social care</t>
  </si>
  <si>
    <t>15 education</t>
  </si>
  <si>
    <t>16 healthcare</t>
  </si>
  <si>
    <t>17 civil emergencies</t>
  </si>
  <si>
    <t>18 short term debt service</t>
  </si>
  <si>
    <t>19 long term debt service</t>
  </si>
  <si>
    <t>20 other public service</t>
  </si>
  <si>
    <t>exclusive functions</t>
  </si>
  <si>
    <t>functional classification II (albanian functions)</t>
  </si>
  <si>
    <t>type of functions / main functions (law)</t>
  </si>
  <si>
    <t>type of program (main program)</t>
  </si>
  <si>
    <t xml:space="preserve"> </t>
  </si>
  <si>
    <t>Ring-fenced rev.</t>
  </si>
  <si>
    <t>Last year</t>
  </si>
  <si>
    <t>Current year (budget)</t>
  </si>
  <si>
    <t>Name</t>
  </si>
  <si>
    <t>fine per unit, start value</t>
  </si>
  <si>
    <t>Estim. fees</t>
  </si>
  <si>
    <t>Version</t>
  </si>
  <si>
    <t>Nature</t>
  </si>
  <si>
    <t>Type of function</t>
  </si>
  <si>
    <t>Capital investments</t>
  </si>
  <si>
    <t xml:space="preserve">Expenditure net </t>
  </si>
  <si>
    <t>Expenditure</t>
  </si>
  <si>
    <t>Salaries</t>
  </si>
  <si>
    <t>Overall expendirure</t>
  </si>
  <si>
    <t>STATEMENT BY ACTIVITY / PROJECT</t>
  </si>
  <si>
    <t>Program 1</t>
  </si>
  <si>
    <t>Program 2</t>
  </si>
  <si>
    <t>Program 3</t>
  </si>
  <si>
    <t>Program 4</t>
  </si>
  <si>
    <t>Program 5</t>
  </si>
  <si>
    <t>Program 6</t>
  </si>
  <si>
    <t>Program 7</t>
  </si>
  <si>
    <t>Program 8</t>
  </si>
  <si>
    <t>Program 9</t>
  </si>
  <si>
    <t>Program 10</t>
  </si>
  <si>
    <t>Program 11</t>
  </si>
  <si>
    <t>Program 12</t>
  </si>
  <si>
    <t>Program 13</t>
  </si>
  <si>
    <t>Program 14</t>
  </si>
  <si>
    <t>Program 15</t>
  </si>
  <si>
    <t>Total activity</t>
  </si>
  <si>
    <t>Total project</t>
  </si>
  <si>
    <t>P1</t>
  </si>
  <si>
    <t>P2</t>
  </si>
  <si>
    <t>P3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</si>
  <si>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</si>
  <si>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</si>
  <si>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</si>
  <si>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</si>
  <si>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</si>
  <si>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</si>
  <si>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</si>
  <si>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</si>
  <si>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</si>
  <si>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</si>
  <si>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</si>
  <si>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Program 16</t>
  </si>
  <si>
    <t>overall profit / total income</t>
  </si>
  <si>
    <t>PERIOD OF TIME</t>
  </si>
  <si>
    <t>Commune / Municipality (name)</t>
  </si>
  <si>
    <t>Head of department of finance</t>
  </si>
  <si>
    <t>Street</t>
  </si>
  <si>
    <t>Zip code</t>
  </si>
  <si>
    <t>City</t>
  </si>
  <si>
    <t>Date of actualisation (year, month, day)</t>
  </si>
  <si>
    <t>Number</t>
  </si>
  <si>
    <t xml:space="preserve">Program responsible </t>
  </si>
  <si>
    <t>Yellow = to fill in by department fo finance</t>
  </si>
  <si>
    <t>Public transport</t>
  </si>
  <si>
    <t>Urban planning and housing</t>
  </si>
  <si>
    <t>Other public services</t>
  </si>
  <si>
    <t>Short term debt service</t>
  </si>
  <si>
    <t>Long term debt service</t>
  </si>
  <si>
    <t>Corresponding program</t>
  </si>
  <si>
    <t>Head of program</t>
  </si>
  <si>
    <t>Name of program</t>
  </si>
  <si>
    <t>Fees</t>
  </si>
  <si>
    <t>Other services fee</t>
  </si>
  <si>
    <t>Overall fee revenue</t>
  </si>
  <si>
    <t>LOANS (BORROWING)</t>
  </si>
  <si>
    <t>Overall of fines</t>
  </si>
  <si>
    <t xml:space="preserve">Overall of revenues from assets </t>
  </si>
  <si>
    <t>Overall of enterprises</t>
  </si>
  <si>
    <t xml:space="preserve">Building sale </t>
  </si>
  <si>
    <t>Land sale</t>
  </si>
  <si>
    <t>Sale of other properties</t>
  </si>
  <si>
    <t xml:space="preserve">Land lease </t>
  </si>
  <si>
    <t>Building lease</t>
  </si>
  <si>
    <t>Revenue from enterprise 1</t>
  </si>
  <si>
    <t>Revenue from enterprise 2</t>
  </si>
  <si>
    <t>Revenue from other enerprises</t>
  </si>
  <si>
    <t xml:space="preserve">Estimated growth  
in % </t>
  </si>
  <si>
    <t>Increase of fine per unit in %</t>
  </si>
  <si>
    <t>Base value of new fine</t>
  </si>
  <si>
    <t>Introduction of fine</t>
  </si>
  <si>
    <t>Expected volume increase of activity in %</t>
  </si>
  <si>
    <t>Improved use of fee potential in %</t>
  </si>
  <si>
    <t xml:space="preserve">Estimated impact of legal adjustments  in % </t>
  </si>
  <si>
    <t>Increase of fee per unit in %</t>
  </si>
  <si>
    <t>Base value of new fee</t>
  </si>
  <si>
    <t>Introduction of fee</t>
  </si>
  <si>
    <t>Impact of inflation in %</t>
  </si>
  <si>
    <t>Impact of real economic growth in %</t>
  </si>
  <si>
    <t>Impact of population growth in %</t>
  </si>
  <si>
    <t>Tax rate change 
in %</t>
  </si>
  <si>
    <t>Overall ceiling</t>
  </si>
  <si>
    <t>Inflation rate</t>
  </si>
  <si>
    <t>Real economic growth rate</t>
  </si>
  <si>
    <t>Wage growth rate (nominal)</t>
  </si>
  <si>
    <t>Interest rate (3 months)</t>
  </si>
  <si>
    <t>Interest rate (5 years)</t>
  </si>
  <si>
    <t>Salaries and social incurance</t>
  </si>
  <si>
    <t>Difference of overall ceiling (has to be &lt; 0)</t>
  </si>
  <si>
    <t>Ceiling on salaries and social insurence</t>
  </si>
  <si>
    <t>Difference of ceiling on salaries and social incurance (has to be &lt; 0)</t>
  </si>
  <si>
    <t>Inflation</t>
  </si>
  <si>
    <t xml:space="preserve">Expected structural changes </t>
  </si>
  <si>
    <t>Expenditure for activity, first year</t>
  </si>
  <si>
    <t>Fee per unit</t>
  </si>
  <si>
    <t>NET AMOUNT REQUESTED</t>
  </si>
  <si>
    <t xml:space="preserve">Overall ceiling </t>
  </si>
  <si>
    <t>Ongoing activity</t>
  </si>
  <si>
    <t>New activity</t>
  </si>
  <si>
    <t>Delegated function</t>
  </si>
  <si>
    <t>Exclusive function</t>
  </si>
  <si>
    <t>Shared function</t>
  </si>
  <si>
    <t>Minimum of capital investments</t>
  </si>
  <si>
    <t>Expected efficiency gains</t>
  </si>
  <si>
    <t>EXPECTED EXPENDITURES</t>
  </si>
  <si>
    <t>ESTIMATED REVENUE FROM FEE</t>
  </si>
  <si>
    <t>Volume increase of activity in %</t>
  </si>
  <si>
    <t xml:space="preserve">Impact of legal adjustments  in % </t>
  </si>
  <si>
    <t>Impact of other influe. factors in %</t>
  </si>
  <si>
    <t>Conditional grants</t>
  </si>
  <si>
    <t>Contributions</t>
  </si>
  <si>
    <t>Further sources 
(incl. fines)</t>
  </si>
  <si>
    <t>Social insurance</t>
  </si>
  <si>
    <t>Operation/maintenance</t>
  </si>
  <si>
    <t>Other current expenditures</t>
  </si>
  <si>
    <t>Interests</t>
  </si>
  <si>
    <t>Other</t>
  </si>
  <si>
    <t>RECURRENT COSTS</t>
  </si>
  <si>
    <t>230 / 231</t>
  </si>
  <si>
    <t>ESTIM. REVENUE FROM FEE</t>
  </si>
  <si>
    <t xml:space="preserve"> COMPLIANCE WITH CEILINGS</t>
  </si>
  <si>
    <t>OVERVIEW OF BUDGET REQUEST</t>
  </si>
  <si>
    <t>Transfers</t>
  </si>
  <si>
    <t>EXPECTED REVENUES</t>
  </si>
  <si>
    <t>Capital Investments</t>
  </si>
  <si>
    <t>Consumption (excl. salaries and social assurance)</t>
  </si>
  <si>
    <t>Salaries and social insurance</t>
  </si>
  <si>
    <t>Markets</t>
  </si>
  <si>
    <t>Estimated impact of other factors in %</t>
  </si>
  <si>
    <t xml:space="preserve">Estim. impact of other factors in % </t>
  </si>
  <si>
    <t>TOTAL EXPENDITURES</t>
  </si>
  <si>
    <t>TOTAL REVENUES</t>
  </si>
  <si>
    <t>OVERALL PROFIT / LOSS</t>
  </si>
  <si>
    <t>Overall revenues</t>
  </si>
  <si>
    <t>Overall expenditures</t>
  </si>
  <si>
    <t>ESTIMATES OF LINE DEPARTMENTS</t>
  </si>
  <si>
    <t>ESTIMATES DEPARTMENT OF FINANCE</t>
  </si>
  <si>
    <t>DISCREPANCY (has to be = 0)</t>
  </si>
  <si>
    <t>Discrepancy (has to be = 0)</t>
  </si>
  <si>
    <t>Overall revenues from fees and ring-fenced</t>
  </si>
  <si>
    <t>Fee revenues / overall revenues</t>
  </si>
  <si>
    <t>Tax revenues / overall revenues</t>
  </si>
  <si>
    <t>Tax revenues per inhabitant</t>
  </si>
  <si>
    <t>Fee revenues per inhabitant</t>
  </si>
  <si>
    <t>Capital investments per inhabitant</t>
  </si>
  <si>
    <t>Unconditional grants and transfers / overall revenues</t>
  </si>
  <si>
    <t>Interests / overall expenditures</t>
  </si>
  <si>
    <t>Capital investments / overall expenditures</t>
  </si>
  <si>
    <t>Overall direct costs</t>
  </si>
  <si>
    <t>Overall recurrents costs</t>
  </si>
  <si>
    <t>Overall costs</t>
  </si>
  <si>
    <t>OVERALL COSTS</t>
  </si>
  <si>
    <t>Program name</t>
  </si>
  <si>
    <t>Program number</t>
  </si>
  <si>
    <t>REVENUES FROM LAST YEAR</t>
  </si>
  <si>
    <t>TOTAL OF OVERALL CEILING</t>
  </si>
  <si>
    <t>DIRECT COSTS FOR PROJECTS &amp; CAP. INVESTMENTS</t>
  </si>
  <si>
    <t>Expenditure by economic classification (aggregated)</t>
  </si>
  <si>
    <t>Own revenues (municipality) / overall revenues</t>
  </si>
  <si>
    <t>Overall unconditional grants and transfers</t>
  </si>
  <si>
    <t>Overall conditional grants</t>
  </si>
  <si>
    <t>Overall competitive grants</t>
  </si>
  <si>
    <t>Overall loans</t>
  </si>
  <si>
    <t>Overall contributions</t>
  </si>
  <si>
    <t>Expenditure by economic classification (disaggregated)</t>
  </si>
  <si>
    <t>ENGLISH</t>
  </si>
  <si>
    <t>SHQIPTAR</t>
  </si>
  <si>
    <t>(D1) CEILINGS</t>
  </si>
  <si>
    <t>(D2) MACROECONOMIC ASSUMPTIONS</t>
  </si>
  <si>
    <t>BRF (BUDGET REQUEST FORMS)</t>
  </si>
  <si>
    <t>(F6) EXPENDITURE BY PROGRAMM - GROSS AMOUNT</t>
  </si>
  <si>
    <t>(F7) GRAPH EXPENDITURE BY PROGRAMM - GROSS AMOUNT</t>
  </si>
  <si>
    <t>(F9) GRAPH EXPENDITURE BY PROGRAM - NET AMOUNT</t>
  </si>
  <si>
    <t>(F16) OVERALL DISCREPENCY OF FEES AND RINGFENCED REVENUES</t>
  </si>
  <si>
    <t>Difference of ceiling on consuption (has to be &lt; 0)</t>
  </si>
  <si>
    <t>Activity</t>
  </si>
  <si>
    <t>P4</t>
  </si>
  <si>
    <t>P16</t>
  </si>
  <si>
    <t>(F13) GRAPH - EXPENDITURE BY ECONOMIC CLASSIFICATION (GROSS)</t>
  </si>
  <si>
    <t>Carry overs from the last year</t>
  </si>
  <si>
    <t>Carry overs from last year</t>
  </si>
  <si>
    <t>External revenues / overall revenues</t>
  </si>
  <si>
    <t>Fine, asset, enterprise and last year carry overs / overall revenues</t>
  </si>
  <si>
    <t>Overall carry overs from last year</t>
  </si>
  <si>
    <t>Number of staff (end of last year)</t>
  </si>
  <si>
    <t>Program 17</t>
  </si>
  <si>
    <t>Program 18</t>
  </si>
  <si>
    <t>Program 19</t>
  </si>
  <si>
    <t>Program 20</t>
  </si>
  <si>
    <t>Program 21</t>
  </si>
  <si>
    <t>Program 22</t>
  </si>
  <si>
    <t>Program 23</t>
  </si>
  <si>
    <t>Program 24</t>
  </si>
  <si>
    <t>Program 25</t>
  </si>
  <si>
    <t>Program 26</t>
  </si>
  <si>
    <t>Program 27</t>
  </si>
  <si>
    <t>Program 29</t>
  </si>
  <si>
    <t>031 Police services</t>
  </si>
  <si>
    <t>032 Fire-protection services</t>
  </si>
  <si>
    <t>041 General economic, commercial and labour affairs</t>
  </si>
  <si>
    <t>042 Agriculture, forestry, fishing and hunting</t>
  </si>
  <si>
    <t>045 Transport</t>
  </si>
  <si>
    <t>047 Other industries</t>
  </si>
  <si>
    <t>051 Waste management</t>
  </si>
  <si>
    <t>052 Waste water management</t>
  </si>
  <si>
    <t>053 Pollution reduction</t>
  </si>
  <si>
    <t>056 Environmental protection (n.e.c)</t>
  </si>
  <si>
    <t>061 Housing development</t>
  </si>
  <si>
    <t>062 Community development</t>
  </si>
  <si>
    <t>063 Water supply</t>
  </si>
  <si>
    <t>064 Street lighting</t>
  </si>
  <si>
    <t>081 Recreational and sporting services</t>
  </si>
  <si>
    <t>082 Cultural services</t>
  </si>
  <si>
    <t>092 Secondary education</t>
  </si>
  <si>
    <t>091 Basic and preschool education</t>
  </si>
  <si>
    <t>096 Subsidiary services to education</t>
  </si>
  <si>
    <t>101 Sickness and disability</t>
  </si>
  <si>
    <t>102 Old age</t>
  </si>
  <si>
    <t>104 Family and children</t>
  </si>
  <si>
    <t>105 Unemployment</t>
  </si>
  <si>
    <t>106 Housing</t>
  </si>
  <si>
    <t>107 Social assistance</t>
  </si>
  <si>
    <t>Planning, Management and administration</t>
  </si>
  <si>
    <t>Financial and fiscal affairs</t>
  </si>
  <si>
    <t>General public services</t>
  </si>
  <si>
    <t>Territorial planning</t>
  </si>
  <si>
    <t>Cemeteries  and funerals</t>
  </si>
  <si>
    <t>Payment for Domestic debt service</t>
  </si>
  <si>
    <t>State police services</t>
  </si>
  <si>
    <t>Fire-fighting and civil protection</t>
  </si>
  <si>
    <t>Community relations</t>
  </si>
  <si>
    <t>Local administrative supervision</t>
  </si>
  <si>
    <t>Economic development plans</t>
  </si>
  <si>
    <t>Local business promotion</t>
  </si>
  <si>
    <t>Support to regional development</t>
  </si>
  <si>
    <t>Cadastre</t>
  </si>
  <si>
    <t>Agro advice</t>
  </si>
  <si>
    <t>Veterinary</t>
  </si>
  <si>
    <t>Management of irrigation and drainage</t>
  </si>
  <si>
    <t>Forestry and pasture management</t>
  </si>
  <si>
    <t>Road construction and maintenance</t>
  </si>
  <si>
    <t>Road studies</t>
  </si>
  <si>
    <t>Tourism Development</t>
  </si>
  <si>
    <t>Flood protection</t>
  </si>
  <si>
    <t>Beautification</t>
  </si>
  <si>
    <t xml:space="preserve">Municipality waste mangement services </t>
  </si>
  <si>
    <t>Sanitation services from WWS utilities</t>
  </si>
  <si>
    <t>Environmental protection programs</t>
  </si>
  <si>
    <t>Environmental awareness building</t>
  </si>
  <si>
    <t>Water resources administration</t>
  </si>
  <si>
    <t>Local housing and urbanistic</t>
  </si>
  <si>
    <t>Development programs</t>
  </si>
  <si>
    <t>Local public services</t>
  </si>
  <si>
    <t>Provision of potable water from WWS utilities</t>
  </si>
  <si>
    <t>Street lighting</t>
  </si>
  <si>
    <t>Primery health services</t>
  </si>
  <si>
    <t>Parks</t>
  </si>
  <si>
    <t>Sport and amusement</t>
  </si>
  <si>
    <t>Cultural heritage, monuments, museums and libraries</t>
  </si>
  <si>
    <t>Art and culture</t>
  </si>
  <si>
    <t>Museums, theatres cultural events</t>
  </si>
  <si>
    <t>Construction and maintenance</t>
  </si>
  <si>
    <t>Kindergarten teachers and support staff salaries</t>
  </si>
  <si>
    <t>Kindergarten food</t>
  </si>
  <si>
    <t>Support staff salaries</t>
  </si>
  <si>
    <t>Vocational education</t>
  </si>
  <si>
    <t>Educational programs and training of educators / teachers</t>
  </si>
  <si>
    <t>Social care for sick and disabled persons</t>
  </si>
  <si>
    <t>Social care for families and children</t>
  </si>
  <si>
    <t>Social inclusion</t>
  </si>
  <si>
    <t>Unemployment, education and vocational training</t>
  </si>
  <si>
    <t>Social housing</t>
  </si>
  <si>
    <t>Social assistance (Ndihma economike)</t>
  </si>
  <si>
    <t>own function</t>
  </si>
  <si>
    <t>delegated function a</t>
  </si>
  <si>
    <t>delegated function b</t>
  </si>
  <si>
    <t>(C1) EXPENDITURES: LAST YEARS AND CURRENT YEAR</t>
  </si>
  <si>
    <t>11 OTHER OWN FUNDS</t>
  </si>
  <si>
    <t>16 BORROWING / BORROWED CAPITAL</t>
  </si>
  <si>
    <t>12 OPERATIVE RESULT FROM PREVIOUS PERIOD</t>
  </si>
  <si>
    <t>70 TAX &amp; OBLIGATORY CONTRIBUTIONS</t>
  </si>
  <si>
    <t>71 OTHER OWN REVENUES</t>
  </si>
  <si>
    <t>72 TRANSFERS</t>
  </si>
  <si>
    <t>(E1) REVENUE ESTIMATION OTHER OWN FUNDS</t>
  </si>
  <si>
    <t>(E4) REVENUE ESTIMATION FROM TAXES &amp; OBLIGATORY CONTRIBUTIONS</t>
  </si>
  <si>
    <t>(E2) CARRY OVERS FROM PREVIOUS PERIOD</t>
  </si>
  <si>
    <t>(E3) REVENUE ESTIMATION FROM BORROWING / BORROWED CAPITAL</t>
  </si>
  <si>
    <t>1210100 NOT-EARMARKED CARRY-OVERS</t>
  </si>
  <si>
    <t>1210200 EARMARKED CARRY-OVERS</t>
  </si>
  <si>
    <t>(E5) REVENUE ESTIMATION FROM OTHER OWN REVENUES</t>
  </si>
  <si>
    <t>(E6) REVENUE ESTIMATION FROM TRANSFERS</t>
  </si>
  <si>
    <t>Population (census data, end of the last year)</t>
  </si>
  <si>
    <t>Earmarked revenues</t>
  </si>
  <si>
    <t>Saleries and social insurence</t>
  </si>
  <si>
    <t xml:space="preserve">Estim. impact of regulation  % </t>
  </si>
  <si>
    <t>Improved use of tax potential in %</t>
  </si>
  <si>
    <t xml:space="preserve">ESTIMATED EARMARKED REVENUES </t>
  </si>
  <si>
    <t>ESTIM. EARMARKED REV.</t>
  </si>
  <si>
    <t>compulsory</t>
  </si>
  <si>
    <t>additional</t>
  </si>
  <si>
    <t>P17</t>
  </si>
  <si>
    <t>P18</t>
  </si>
  <si>
    <t>P19</t>
  </si>
  <si>
    <t>P20</t>
  </si>
  <si>
    <t>P21</t>
  </si>
  <si>
    <t>P22</t>
  </si>
  <si>
    <t>P24</t>
  </si>
  <si>
    <t>P25</t>
  </si>
  <si>
    <t>P26</t>
  </si>
  <si>
    <t>P27</t>
  </si>
  <si>
    <t>P28</t>
  </si>
  <si>
    <t>(F3) GRAPH EXPENDITURE BY PROGRAM - GROSS AMOUNT</t>
  </si>
  <si>
    <t>(F2) EXPENDITURE BY PROGRAM - GROSS AMOUNT</t>
  </si>
  <si>
    <t>(F4) EXPENDITURE BY PROGRAM - NET AMOUNT</t>
  </si>
  <si>
    <t>(F5) GRAPH EXPENDITURE BY PROGRAM - NET AMOUNT</t>
  </si>
  <si>
    <t>Activity 1a</t>
  </si>
  <si>
    <t>Activity 1b</t>
  </si>
  <si>
    <t>Activity 1c</t>
  </si>
  <si>
    <t>Activity 1d</t>
  </si>
  <si>
    <t>Activity 2a</t>
  </si>
  <si>
    <t>Activity 2b</t>
  </si>
  <si>
    <t>Activity 2d</t>
  </si>
  <si>
    <t>Activity 3a</t>
  </si>
  <si>
    <t>Activity 4b</t>
  </si>
  <si>
    <t>Activity 5c</t>
  </si>
  <si>
    <t>Activity 3b</t>
  </si>
  <si>
    <t>Activity 3c</t>
  </si>
  <si>
    <t>Activity 5a</t>
  </si>
  <si>
    <t>Activity 5b</t>
  </si>
  <si>
    <t>Activity 6a</t>
  </si>
  <si>
    <t>Activity 6b</t>
  </si>
  <si>
    <t>Activity 6c</t>
  </si>
  <si>
    <t>Activity 6d</t>
  </si>
  <si>
    <t>Activity 7a</t>
  </si>
  <si>
    <t>Activity 4a</t>
  </si>
  <si>
    <t>Activity 7b</t>
  </si>
  <si>
    <t>Activity 7c</t>
  </si>
  <si>
    <t>Activity 7d</t>
  </si>
  <si>
    <t>Activity 8a</t>
  </si>
  <si>
    <t>Activity 8b</t>
  </si>
  <si>
    <t>Activity 8c</t>
  </si>
  <si>
    <t>Activity 8d</t>
  </si>
  <si>
    <t>Activity 9a</t>
  </si>
  <si>
    <t>Activity 9d</t>
  </si>
  <si>
    <t>Activity 10a</t>
  </si>
  <si>
    <t>Activity 10b</t>
  </si>
  <si>
    <t>Activity 10c</t>
  </si>
  <si>
    <t>Activity 11a</t>
  </si>
  <si>
    <t>Activity 11b</t>
  </si>
  <si>
    <t>Activity 11c</t>
  </si>
  <si>
    <t>Activity 12a</t>
  </si>
  <si>
    <t>Activity 12b</t>
  </si>
  <si>
    <t>Activity 12c</t>
  </si>
  <si>
    <t>Activity 13a</t>
  </si>
  <si>
    <t>Activity 13b</t>
  </si>
  <si>
    <t>Activity 13c</t>
  </si>
  <si>
    <t>Activity 14a</t>
  </si>
  <si>
    <t>Activity 14b</t>
  </si>
  <si>
    <t>Activity 14c</t>
  </si>
  <si>
    <t>Activity 15a</t>
  </si>
  <si>
    <t>Activity 15b</t>
  </si>
  <si>
    <t>Activity 15c</t>
  </si>
  <si>
    <t>Activity 16a</t>
  </si>
  <si>
    <t>Activity 16b</t>
  </si>
  <si>
    <t>Activity 16c</t>
  </si>
  <si>
    <t>Activity 17a</t>
  </si>
  <si>
    <t>Activity 17b</t>
  </si>
  <si>
    <t>Activity 17c</t>
  </si>
  <si>
    <t>Activity 18a</t>
  </si>
  <si>
    <t>Activity 18b</t>
  </si>
  <si>
    <t>Activity 18c</t>
  </si>
  <si>
    <t>Activity 19a</t>
  </si>
  <si>
    <t>Activity 19b</t>
  </si>
  <si>
    <t>Activity 19c</t>
  </si>
  <si>
    <t>Activity 20a</t>
  </si>
  <si>
    <t>Activity 20b</t>
  </si>
  <si>
    <t>Activity 20c</t>
  </si>
  <si>
    <t>Activity 20d</t>
  </si>
  <si>
    <t>Activity 21a</t>
  </si>
  <si>
    <t>Activity 21b</t>
  </si>
  <si>
    <t>Activity 21c</t>
  </si>
  <si>
    <t>Activity 21d</t>
  </si>
  <si>
    <t>Activity 22a</t>
  </si>
  <si>
    <t>Activity 22b</t>
  </si>
  <si>
    <t>Activity 22c</t>
  </si>
  <si>
    <t>Activity 22d</t>
  </si>
  <si>
    <t>Activity 23a</t>
  </si>
  <si>
    <t>Activity 23b</t>
  </si>
  <si>
    <t>Activity 23c</t>
  </si>
  <si>
    <t>Activity 24a</t>
  </si>
  <si>
    <t>Activity 24b</t>
  </si>
  <si>
    <t>Activity 24c</t>
  </si>
  <si>
    <t>Activity 25a</t>
  </si>
  <si>
    <t>Activity 25b</t>
  </si>
  <si>
    <t>Activity 25c</t>
  </si>
  <si>
    <t>Activity 26a</t>
  </si>
  <si>
    <t>Activity 26b</t>
  </si>
  <si>
    <t>Activity 26c</t>
  </si>
  <si>
    <t>Activity 27a</t>
  </si>
  <si>
    <t>Activity 27b</t>
  </si>
  <si>
    <t>Activity 27c</t>
  </si>
  <si>
    <t>Activity 28a</t>
  </si>
  <si>
    <t>Activity 28b</t>
  </si>
  <si>
    <t>Activity 28c</t>
  </si>
  <si>
    <t>Activity 29a</t>
  </si>
  <si>
    <t>Activity 29b</t>
  </si>
  <si>
    <t>Activity 29c</t>
  </si>
  <si>
    <t>Activity 2c</t>
  </si>
  <si>
    <t>Activity 4c</t>
  </si>
  <si>
    <t>Activity 9b</t>
  </si>
  <si>
    <t>Activity 9c</t>
  </si>
  <si>
    <t>Activity 6e</t>
  </si>
  <si>
    <t>Activity 7e</t>
  </si>
  <si>
    <t>Activity 7f</t>
  </si>
  <si>
    <t>Withdrawal from reserves</t>
  </si>
  <si>
    <t>Income from sales - land, plots and terrains</t>
  </si>
  <si>
    <t>Income from sale from financial assets</t>
  </si>
  <si>
    <t>Income from sales - forests, pastures and plantations</t>
  </si>
  <si>
    <t>Income from sales - buildings</t>
  </si>
  <si>
    <t>Income from sales - tecnical installations, machinery and equipment, instruments, tools</t>
  </si>
  <si>
    <t>Income from sales - vehicles</t>
  </si>
  <si>
    <t>Not-earmarked carry overs</t>
  </si>
  <si>
    <t>Earmarked carry-overs</t>
  </si>
  <si>
    <t>Short-term loans from other levels of government</t>
  </si>
  <si>
    <t>Short-term loans from the national banking system</t>
  </si>
  <si>
    <t>Long-term loans from other levels of government</t>
  </si>
  <si>
    <t>Long-term loans from the national banking system</t>
  </si>
  <si>
    <t>Borrowing by issuing bonds</t>
  </si>
  <si>
    <t>Borrowing by loans</t>
  </si>
  <si>
    <t>Using Areas For Camping, Setting Up Tents Or Other Facilities For Temporary Use</t>
  </si>
  <si>
    <t>Using Public Space To House Road Motor Vehicle And Trailers Excluding Agricultural Vehicles</t>
  </si>
  <si>
    <t/>
  </si>
  <si>
    <t>Income From Rent Of Agricultural Land</t>
  </si>
  <si>
    <t>Sales Of Agricultural And Forest Products</t>
  </si>
  <si>
    <t>Sale Of Printing</t>
  </si>
  <si>
    <t>Revenues From Tickets - Museum</t>
  </si>
  <si>
    <t>Fines From Contruction Police</t>
  </si>
  <si>
    <t>Unconditional Transfers From Cg</t>
  </si>
  <si>
    <t>Shared Taxes From Cg</t>
  </si>
  <si>
    <t>Donditional Transfers From Cg/Lm</t>
  </si>
  <si>
    <t>Specific Transfer From Cg/Lm</t>
  </si>
  <si>
    <t>Transfers From Other Lgus</t>
  </si>
  <si>
    <t>Sponsorships From Non-Governmental Organizations</t>
  </si>
  <si>
    <t>Tax On Personal Income From Rent</t>
  </si>
  <si>
    <t>Taxes On Personal Revenues Derived From Donations, InheritancesTestaments And Local Lotteries</t>
  </si>
  <si>
    <t>Tax On Urban Land</t>
  </si>
  <si>
    <t>Tax On Agriculture Land</t>
  </si>
  <si>
    <t>Tax On Buildings</t>
  </si>
  <si>
    <t>Tax From Re-Evaluation OfThe Property OfThe Juridical Person (3%)</t>
  </si>
  <si>
    <t>Tax From Re-Evaluation OfThe Property OfThe Juridical Person (5%)</t>
  </si>
  <si>
    <t>Tax From Re-Evaluation OfThe Property OfThe Individuals (1%)</t>
  </si>
  <si>
    <t>Tax On Infrastructure Impact Of New Buildings</t>
  </si>
  <si>
    <t>Tax On Hotel Accomodation</t>
  </si>
  <si>
    <t>TemporaryTaxes</t>
  </si>
  <si>
    <t>Tax On Billboards</t>
  </si>
  <si>
    <t>Tax On Sale Of Real Estate / Imovable Property</t>
  </si>
  <si>
    <t>Fee For Waste Collection And Disposal</t>
  </si>
  <si>
    <t>Fee For Water Supply And Sewerage</t>
  </si>
  <si>
    <t>Fee For Irrigation And Drainage</t>
  </si>
  <si>
    <t>Other Taxes On The Sale Of Movable Property</t>
  </si>
  <si>
    <t>IncomeFrom Kindergartens</t>
  </si>
  <si>
    <t>TuititionFee</t>
  </si>
  <si>
    <t>TemporaryFees</t>
  </si>
  <si>
    <t>OtherFees, Approved By Concil</t>
  </si>
  <si>
    <t>OtherFees, Prescribed In Law</t>
  </si>
  <si>
    <t>Utilisation Of Space In Public Areas Or In Front Of Business Premises For Business Purposes</t>
  </si>
  <si>
    <t>Using Advertising Billboards</t>
  </si>
  <si>
    <t>Using Parking Spaces For Road Motor Vehicles</t>
  </si>
  <si>
    <t>Commercial Singboards Placed Outside The Business Premises Or Facilitites And Areas</t>
  </si>
  <si>
    <t>Keeping And Using Navigable Equipment And Vessels, And Other Facilities In River And Lakes</t>
  </si>
  <si>
    <t>Using Public Space For Keeping Constuction Material</t>
  </si>
  <si>
    <t>Fees For Administrative Acts</t>
  </si>
  <si>
    <t>Fees For Transportation License</t>
  </si>
  <si>
    <t>Fee For Registering A New Residence</t>
  </si>
  <si>
    <t>Fee For The Property Registration</t>
  </si>
  <si>
    <t>Fee For The Transfer Of The Right Of Ownership Of Real Estate</t>
  </si>
  <si>
    <t>Interests From Financial Assets</t>
  </si>
  <si>
    <t>Income From Rent Of Lands</t>
  </si>
  <si>
    <t>Income From Royality Or Quarry</t>
  </si>
  <si>
    <t>Income From Rent Of Buildings</t>
  </si>
  <si>
    <t>Income From Rental Of The Equipment</t>
  </si>
  <si>
    <t>Income From Kindergartens</t>
  </si>
  <si>
    <t>Income From Mencia</t>
  </si>
  <si>
    <t>Income From Ticekt Seasoned Road Transport</t>
  </si>
  <si>
    <t>Income From Tickets - Cultural Centers</t>
  </si>
  <si>
    <t>Income From Tickets - Stadiums</t>
  </si>
  <si>
    <t>Income From Tickts - Historical Centers</t>
  </si>
  <si>
    <t>OtherIncome From Tickets</t>
  </si>
  <si>
    <t>Grants FromInternational Organizations</t>
  </si>
  <si>
    <t>Other Penalties</t>
  </si>
  <si>
    <t>Sale Of Cultural Products And Tourism</t>
  </si>
  <si>
    <t>Selling Products To Elderly Nursing Home</t>
  </si>
  <si>
    <t>Sponsorships From Private Sector Entities</t>
  </si>
  <si>
    <t>Sponsorships FromIndividuals</t>
  </si>
  <si>
    <t>Grants From Foreign Governments</t>
  </si>
  <si>
    <t>LocalTax OnThe Economic Activity Of Small Business</t>
  </si>
  <si>
    <t>Restaurants And Other Catering And Entertainment Facilities On River And Lake</t>
  </si>
  <si>
    <t>Revenues From Lgu Owned Enterprisies</t>
  </si>
  <si>
    <t>Findes From Late Payments</t>
  </si>
  <si>
    <t>Tax Fines AndInspections Controls</t>
  </si>
  <si>
    <t>Dividends From Financial Assets</t>
  </si>
  <si>
    <t>(B2) ORGANISATION STRUCTURE</t>
  </si>
  <si>
    <t>Tax On Income From Interests</t>
  </si>
  <si>
    <t>Revenue item</t>
  </si>
  <si>
    <t>4th Level</t>
  </si>
  <si>
    <t>Reserve funds</t>
  </si>
  <si>
    <t>Income from sales of assets</t>
  </si>
  <si>
    <t>Carry-over from previous period</t>
  </si>
  <si>
    <t>Revenue from domestic short-term borrowings</t>
  </si>
  <si>
    <t>Revenue from internal long-term borrowing</t>
  </si>
  <si>
    <t>Revenue from bonds issued in the national financial market</t>
  </si>
  <si>
    <t>Revenue from international loans</t>
  </si>
  <si>
    <t>Revenue from international bonds</t>
  </si>
  <si>
    <t>Tax on personal income</t>
  </si>
  <si>
    <t>Tax on small businesses</t>
  </si>
  <si>
    <t>Tax on imovable property</t>
  </si>
  <si>
    <t>Tax on infrastructure impact</t>
  </si>
  <si>
    <t>Tax on infrastructure impact of new buildings</t>
  </si>
  <si>
    <t>Tax on hotel accomodation</t>
  </si>
  <si>
    <t>Temporary taxes</t>
  </si>
  <si>
    <t>Tax on billboards</t>
  </si>
  <si>
    <t>Tax on sale of real estate</t>
  </si>
  <si>
    <t>Other taxes</t>
  </si>
  <si>
    <t>Local fees on the use of goods or permitting activities</t>
  </si>
  <si>
    <t>Fee for waste collection and disposal</t>
  </si>
  <si>
    <t>Fees for the ocupation of public spaces</t>
  </si>
  <si>
    <t>Administrative fees</t>
  </si>
  <si>
    <t>Property income</t>
  </si>
  <si>
    <t>Revenue from sale of goods and services</t>
  </si>
  <si>
    <t>Income from tickets</t>
  </si>
  <si>
    <t>Penalties, fines from late payments and seizures</t>
  </si>
  <si>
    <t>Transfers from the state budget</t>
  </si>
  <si>
    <t>Transfers and aid from other LGUs</t>
  </si>
  <si>
    <t>Sponsorship from domestic third parties</t>
  </si>
  <si>
    <t>Grant from foreign governments</t>
  </si>
  <si>
    <t>Grant from international organizations</t>
  </si>
  <si>
    <t>Other recurrent expenditure</t>
  </si>
  <si>
    <t>Ceiling on other recurrent expenditure</t>
  </si>
  <si>
    <t>Difference to minimum of capital investments (has to be &gt; 0)</t>
  </si>
  <si>
    <t>011 Executive and legislative organs, financial, fiscal, external affairs</t>
  </si>
  <si>
    <t>Name of Activity</t>
  </si>
  <si>
    <t>Ratio of capital expenditure to total expenditure</t>
  </si>
  <si>
    <t>Ratio of personnel expenditure to total expenditure</t>
  </si>
  <si>
    <t>Ratio of long-term borrowing to own revenues.</t>
  </si>
  <si>
    <t>Ratio of expenditures on social care policies to total expenditures</t>
  </si>
  <si>
    <t>Change in borrowed capital (vs. previous year)</t>
  </si>
  <si>
    <t>01 General public services</t>
  </si>
  <si>
    <t>03 Public order and safety</t>
  </si>
  <si>
    <t>04 Economic affairs</t>
  </si>
  <si>
    <t>05 Environmental protection</t>
  </si>
  <si>
    <t>06 Housing and community amenities</t>
  </si>
  <si>
    <t>07 Health</t>
  </si>
  <si>
    <t>08 Recreation, culture and religion</t>
  </si>
  <si>
    <t>09 Education</t>
  </si>
  <si>
    <t>10 Social Protection</t>
  </si>
  <si>
    <t>Arrears at year end</t>
  </si>
  <si>
    <t>01</t>
  </si>
  <si>
    <t>011</t>
  </si>
  <si>
    <t>Executive and legislative organs, financial and fiscal affairs, external affairs</t>
  </si>
  <si>
    <t>03</t>
  </si>
  <si>
    <t>Public order and safety</t>
  </si>
  <si>
    <t xml:space="preserve">Municipality police services </t>
  </si>
  <si>
    <t>03602</t>
  </si>
  <si>
    <t>04131</t>
  </si>
  <si>
    <t>04132</t>
  </si>
  <si>
    <t>04222</t>
  </si>
  <si>
    <t>04223</t>
  </si>
  <si>
    <t>04742</t>
  </si>
  <si>
    <t>09122</t>
  </si>
  <si>
    <t>09123</t>
  </si>
  <si>
    <t>031</t>
  </si>
  <si>
    <t>Police services</t>
  </si>
  <si>
    <t>032</t>
  </si>
  <si>
    <t>Fire-protection services</t>
  </si>
  <si>
    <t>036</t>
  </si>
  <si>
    <t>04</t>
  </si>
  <si>
    <t>Economic affairs</t>
  </si>
  <si>
    <t>041</t>
  </si>
  <si>
    <t>General economic, commercial and labour affairs</t>
  </si>
  <si>
    <t>042</t>
  </si>
  <si>
    <t>Agriculture, forestry, fishing and hunting</t>
  </si>
  <si>
    <t>045</t>
  </si>
  <si>
    <t>Transport</t>
  </si>
  <si>
    <t>047</t>
  </si>
  <si>
    <t>Other industries</t>
  </si>
  <si>
    <t>05</t>
  </si>
  <si>
    <t>Environmental protection</t>
  </si>
  <si>
    <t>Waste management</t>
  </si>
  <si>
    <t>052</t>
  </si>
  <si>
    <t>Waste water management</t>
  </si>
  <si>
    <t>053</t>
  </si>
  <si>
    <t>Pollution reduction</t>
  </si>
  <si>
    <t>056</t>
  </si>
  <si>
    <t>Environmental protection (n.e.c)</t>
  </si>
  <si>
    <t>06</t>
  </si>
  <si>
    <t>Housing and community amenities</t>
  </si>
  <si>
    <t>061</t>
  </si>
  <si>
    <t>Housing development</t>
  </si>
  <si>
    <t>062</t>
  </si>
  <si>
    <t>Community development</t>
  </si>
  <si>
    <t>063</t>
  </si>
  <si>
    <t>Water supply</t>
  </si>
  <si>
    <t>064</t>
  </si>
  <si>
    <t>07</t>
  </si>
  <si>
    <t>Health</t>
  </si>
  <si>
    <t>072</t>
  </si>
  <si>
    <t>08</t>
  </si>
  <si>
    <t>Recreation, culture and religion</t>
  </si>
  <si>
    <t>081</t>
  </si>
  <si>
    <t>Recreational and sporting services</t>
  </si>
  <si>
    <t>082</t>
  </si>
  <si>
    <t>Cultural services</t>
  </si>
  <si>
    <t>09</t>
  </si>
  <si>
    <t>Education</t>
  </si>
  <si>
    <t>091</t>
  </si>
  <si>
    <t>Basic and preschool education</t>
  </si>
  <si>
    <t>092</t>
  </si>
  <si>
    <t>Secondary education</t>
  </si>
  <si>
    <t>Social protection</t>
  </si>
  <si>
    <t>101</t>
  </si>
  <si>
    <t>Sickeness and disability</t>
  </si>
  <si>
    <t>102</t>
  </si>
  <si>
    <t>Old age</t>
  </si>
  <si>
    <t>104</t>
  </si>
  <si>
    <t>Family and children</t>
  </si>
  <si>
    <t>105</t>
  </si>
  <si>
    <t>Unemployment</t>
  </si>
  <si>
    <t>106</t>
  </si>
  <si>
    <t>107</t>
  </si>
  <si>
    <t>Social assistance</t>
  </si>
  <si>
    <t>096</t>
  </si>
  <si>
    <t>Subsidiary services to education</t>
  </si>
  <si>
    <t>Activity 1e</t>
  </si>
  <si>
    <t>obligatory</t>
  </si>
  <si>
    <t xml:space="preserve">(C3) ARREARS </t>
  </si>
  <si>
    <t>Goods &amp; other services</t>
  </si>
  <si>
    <t>Subsidies</t>
  </si>
  <si>
    <t>Current domestic transfers</t>
  </si>
  <si>
    <t>Current international transfers</t>
  </si>
  <si>
    <t>Interests for direct loans or bonds</t>
  </si>
  <si>
    <t>Earmarked carry overs</t>
  </si>
  <si>
    <t>earmarked carry overs</t>
  </si>
  <si>
    <t>(C4) EARMARKED CARRY OVERS</t>
  </si>
  <si>
    <t>EXPENDITUR ESTIMATION (DETAILS)</t>
  </si>
  <si>
    <t>FEE &amp; EARMARKED REVENUE ESTIMATION</t>
  </si>
  <si>
    <t>OVERVIEW OF ACTIVITIES</t>
  </si>
  <si>
    <t>Activity:  obligatory / additonal</t>
  </si>
  <si>
    <t>Creditor</t>
  </si>
  <si>
    <t>Amortisation of arrears until end of year</t>
  </si>
  <si>
    <t>Debt stock, 31 of October</t>
  </si>
  <si>
    <t>Debt stock, 31 of December</t>
  </si>
  <si>
    <t>Amortisation of arrears during the year</t>
  </si>
  <si>
    <t>69 / ?</t>
  </si>
  <si>
    <t>Reserves</t>
  </si>
  <si>
    <t>Due date</t>
  </si>
  <si>
    <t>Arrears amortisation plan</t>
  </si>
  <si>
    <t>Purpose</t>
  </si>
  <si>
    <t>Further purposes</t>
  </si>
  <si>
    <t>code number</t>
  </si>
  <si>
    <t>Amortisation of arrers</t>
  </si>
  <si>
    <t>(A1) MEDIUM TERM BUDGET PROGRAM</t>
  </si>
  <si>
    <t>Total Amount per Activity</t>
  </si>
  <si>
    <t>Technical explanations</t>
  </si>
  <si>
    <t>Transfers to individuals &amp; families</t>
  </si>
  <si>
    <t>(F10) EXPENDITURE BY ECONOMIC CLASSIFICATION (GROSS)</t>
  </si>
  <si>
    <t>own</t>
  </si>
  <si>
    <t>delegated</t>
  </si>
  <si>
    <t>Exp.</t>
  </si>
  <si>
    <t>Rev.</t>
  </si>
  <si>
    <t>Capital expenditure / overall expenditure</t>
  </si>
  <si>
    <t>Personell expenditure / overall expenditure</t>
  </si>
  <si>
    <t>(B3) ACTIVITIES PER PROGRAM AND PER FUNCTION</t>
  </si>
  <si>
    <t>B3</t>
  </si>
  <si>
    <t>B2</t>
  </si>
  <si>
    <t>B1</t>
  </si>
  <si>
    <t>A1</t>
  </si>
  <si>
    <t>C2</t>
  </si>
  <si>
    <t>C1</t>
  </si>
  <si>
    <t>C3</t>
  </si>
  <si>
    <t>C4</t>
  </si>
  <si>
    <t>C5</t>
  </si>
  <si>
    <t>D1</t>
  </si>
  <si>
    <t>D2</t>
  </si>
  <si>
    <t>E1</t>
  </si>
  <si>
    <t>(E1) REVENUE ESTIMATION</t>
  </si>
  <si>
    <t>BRF</t>
  </si>
  <si>
    <t>F1</t>
  </si>
  <si>
    <t>F2</t>
  </si>
  <si>
    <t>F3</t>
  </si>
  <si>
    <t>F4</t>
  </si>
  <si>
    <t>F5</t>
  </si>
  <si>
    <t>F6</t>
  </si>
  <si>
    <t>(F6) EXPENDITURE BY SECTOR - GROSS AMOUNT</t>
  </si>
  <si>
    <t>Other recurrent expenditures</t>
  </si>
  <si>
    <t>F7</t>
  </si>
  <si>
    <t>F8</t>
  </si>
  <si>
    <t>F9</t>
  </si>
  <si>
    <t>F10</t>
  </si>
  <si>
    <t>F11</t>
  </si>
  <si>
    <t>F12</t>
  </si>
  <si>
    <t>F13</t>
  </si>
  <si>
    <t>Number of full time staff (end of last year)</t>
  </si>
  <si>
    <t>Number of part time staff (end of last year)</t>
  </si>
  <si>
    <t>Number of employees</t>
  </si>
  <si>
    <t>TOTAL SALARIES AND SOCIAL INSURENCE</t>
  </si>
  <si>
    <t>TOTAL OTHER CURRENT EXPENDITURES</t>
  </si>
  <si>
    <t>TOTAL CAPITAL INVESTMENTS</t>
  </si>
  <si>
    <t>TOTAL</t>
  </si>
  <si>
    <t>Directorate / Department</t>
  </si>
  <si>
    <t xml:space="preserve">REVENUES FROM OWN SOURCES  </t>
  </si>
  <si>
    <t>REVENUES FROM LOCAL TAXES</t>
  </si>
  <si>
    <t>Local tax on small business</t>
  </si>
  <si>
    <t xml:space="preserve">Tax on immovable properties </t>
  </si>
  <si>
    <t xml:space="preserve">Tax on buildings </t>
  </si>
  <si>
    <t xml:space="preserve">Tax on agricultural land </t>
  </si>
  <si>
    <t xml:space="preserve">Tax on urban land </t>
  </si>
  <si>
    <t xml:space="preserve">Tax on property transactions </t>
  </si>
  <si>
    <t xml:space="preserve">Local taxes on hotel service </t>
  </si>
  <si>
    <t>Tax on tables</t>
  </si>
  <si>
    <t xml:space="preserve">Local Taxes on revenues derived from donations, inheritances, testaments and local lotteries </t>
  </si>
  <si>
    <t xml:space="preserve">Temporary taxes </t>
  </si>
  <si>
    <t>Temporary tax 1</t>
  </si>
  <si>
    <t>Temporary tax 2</t>
  </si>
  <si>
    <t>Tax on sale of real estate / immovable property</t>
  </si>
  <si>
    <t xml:space="preserve">Annual tax on circulation of used vehicles </t>
  </si>
  <si>
    <t xml:space="preserve">Tax from mine rent </t>
  </si>
  <si>
    <t xml:space="preserve">Personal income tax </t>
  </si>
  <si>
    <t xml:space="preserve">Other taxes </t>
  </si>
  <si>
    <t>Fee on waste management</t>
  </si>
  <si>
    <t xml:space="preserve">Fee on cleaning for families </t>
  </si>
  <si>
    <t xml:space="preserve">Fee on cleaning for institutions </t>
  </si>
  <si>
    <t>Fee on cleaning for businesses</t>
  </si>
  <si>
    <t xml:space="preserve">Fee on public lighting </t>
  </si>
  <si>
    <t xml:space="preserve">Fee on public lighting for families </t>
  </si>
  <si>
    <t xml:space="preserve">Fee on public lighting for institutions </t>
  </si>
  <si>
    <t>Fee on public lighting for businesses</t>
  </si>
  <si>
    <t xml:space="preserve">Fee on greenery </t>
  </si>
  <si>
    <r>
      <t>Fee on greenery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for families </t>
    </r>
  </si>
  <si>
    <t xml:space="preserve">Fee on greenery for institutions </t>
  </si>
  <si>
    <t>Fee on greenery for businesses</t>
  </si>
  <si>
    <t xml:space="preserve">Fees on municipal administrative services </t>
  </si>
  <si>
    <r>
      <t>Fee on municipal administrative services</t>
    </r>
    <r>
      <rPr>
        <b/>
        <sz val="8"/>
        <color theme="1"/>
        <rFont val="Arial"/>
        <family val="2"/>
      </rPr>
      <t xml:space="preserve"> </t>
    </r>
  </si>
  <si>
    <t xml:space="preserve">Fee on licenses, permits and authorizations  </t>
  </si>
  <si>
    <t xml:space="preserve">Fee on territory development and control </t>
  </si>
  <si>
    <t xml:space="preserve">Fee on slaughterhouse/ veterinary stamps </t>
  </si>
  <si>
    <t xml:space="preserve">Fee on transport license </t>
  </si>
  <si>
    <t xml:space="preserve">Fee on parking for licensed vehicles and public parking </t>
  </si>
  <si>
    <t xml:space="preserve">Fee on oil and oil products license </t>
  </si>
  <si>
    <t xml:space="preserve">Fee on forest and pastures </t>
  </si>
  <si>
    <t xml:space="preserve">Fee on extra services of fire protection team </t>
  </si>
  <si>
    <t xml:space="preserve">Fee on utilization of public space facades </t>
  </si>
  <si>
    <t xml:space="preserve">Fee on solid waste treatment in landfills </t>
  </si>
  <si>
    <t>Fee on areal and terrestrial communication lines (telephone, energy, cable tv, internet)</t>
  </si>
  <si>
    <t>Fee on tender documentation, auctions, etc.</t>
  </si>
  <si>
    <t xml:space="preserve">Fees from institutions of education, culture, sport, etc.  </t>
  </si>
  <si>
    <t xml:space="preserve">Library </t>
  </si>
  <si>
    <t xml:space="preserve">Museums </t>
  </si>
  <si>
    <t>Theatre</t>
  </si>
  <si>
    <t xml:space="preserve">Cultural center of kids  </t>
  </si>
  <si>
    <t xml:space="preserve">Sport palace </t>
  </si>
  <si>
    <t>Community centers</t>
  </si>
  <si>
    <t>Cafeteria (dormitories)</t>
  </si>
  <si>
    <t xml:space="preserve">Kindergartens </t>
  </si>
  <si>
    <t xml:space="preserve">Fee on water and sewerage </t>
  </si>
  <si>
    <t xml:space="preserve">Fee on irrigation and drainage service </t>
  </si>
  <si>
    <t xml:space="preserve">Temporary fees </t>
  </si>
  <si>
    <t xml:space="preserve">Other fees </t>
  </si>
  <si>
    <t xml:space="preserve">Rent of municipal assets </t>
  </si>
  <si>
    <t xml:space="preserve">Income from municipal enterprises </t>
  </si>
  <si>
    <t xml:space="preserve">REVENUES FROM CENTRAL GOVERNMENT </t>
  </si>
  <si>
    <t xml:space="preserve">Unconditional transfer </t>
  </si>
  <si>
    <t>Conditional transfer</t>
  </si>
  <si>
    <t xml:space="preserve">For delegated functions </t>
  </si>
  <si>
    <t xml:space="preserve">For special projects (RDF and others) </t>
  </si>
  <si>
    <t>Specific transfer</t>
  </si>
  <si>
    <t>BORROWING</t>
  </si>
  <si>
    <t xml:space="preserve">CARRY OVERS FROM THE LAST YEAR </t>
  </si>
  <si>
    <t>TOTAL OF INCOMES (A+B+C+D)</t>
  </si>
  <si>
    <t>Long term borrowing</t>
  </si>
  <si>
    <t>Short term borrowing</t>
  </si>
  <si>
    <t>Non earmarked carry overs</t>
  </si>
  <si>
    <t>REVENUES FROM SHARED TAXES (GRANTS)</t>
  </si>
  <si>
    <t>(F8) EXPENDITURE BY TYPE OF ACTIVITY - GROSS AMOUNT</t>
  </si>
  <si>
    <t>(F9) GRAPH EXPENDITURE BY TYPE OF ACTIVITY - GROSS AMOUNT</t>
  </si>
  <si>
    <t>(F11) EXPENDITURE BY ECONOMIC CLASSIFICATION (GROSS)</t>
  </si>
  <si>
    <t>(F12) ARREARS AT YEAR END</t>
  </si>
  <si>
    <t>(F13) OVERALL FINANCIAL STATISTICS</t>
  </si>
  <si>
    <t>F14</t>
  </si>
  <si>
    <t>(F14) INDICATORS</t>
  </si>
  <si>
    <t>F15</t>
  </si>
  <si>
    <t>(F15) CAPITAL INVESTMENTS</t>
  </si>
  <si>
    <t>(F7) GRAPH EXPENDITURE BY SECTOR - GROSS AMOUNT</t>
  </si>
  <si>
    <t>A</t>
  </si>
  <si>
    <t>B</t>
  </si>
  <si>
    <t>C</t>
  </si>
  <si>
    <t>D</t>
  </si>
  <si>
    <t>A.1</t>
  </si>
  <si>
    <t>A.2</t>
  </si>
  <si>
    <t>A.3</t>
  </si>
  <si>
    <t>A.4</t>
  </si>
  <si>
    <t>B.1</t>
  </si>
  <si>
    <t>B.3</t>
  </si>
  <si>
    <t>B.2</t>
  </si>
  <si>
    <t>C.1</t>
  </si>
  <si>
    <t>C.2</t>
  </si>
  <si>
    <t>D.1</t>
  </si>
  <si>
    <t>D.2</t>
  </si>
  <si>
    <t>A.1.1</t>
  </si>
  <si>
    <t>A.1.2</t>
  </si>
  <si>
    <t>A.1.3</t>
  </si>
  <si>
    <t>A.1.4</t>
  </si>
  <si>
    <t>A.1.5</t>
  </si>
  <si>
    <t>A.1.6</t>
  </si>
  <si>
    <t>A.1.7</t>
  </si>
  <si>
    <t>A.1.8</t>
  </si>
  <si>
    <t>A.1.9</t>
  </si>
  <si>
    <t>A.1.2.1</t>
  </si>
  <si>
    <t>A.1.2.2</t>
  </si>
  <si>
    <t>A.1.2.3</t>
  </si>
  <si>
    <t>A.1.2.4</t>
  </si>
  <si>
    <t>A.2.1</t>
  </si>
  <si>
    <t>A.2.2</t>
  </si>
  <si>
    <t>A.2.3</t>
  </si>
  <si>
    <t>A.2.4</t>
  </si>
  <si>
    <t>A.2.5</t>
  </si>
  <si>
    <t>A.3.1</t>
  </si>
  <si>
    <t>A.3.2</t>
  </si>
  <si>
    <t>A.3.3</t>
  </si>
  <si>
    <t>A.3.4</t>
  </si>
  <si>
    <t>A.3.5</t>
  </si>
  <si>
    <t>A.3.6</t>
  </si>
  <si>
    <t>A.3.7</t>
  </si>
  <si>
    <t>A.3.5.1</t>
  </si>
  <si>
    <t>A.3.5.2</t>
  </si>
  <si>
    <t>A.3.5.3</t>
  </si>
  <si>
    <t>A.3.5.4</t>
  </si>
  <si>
    <t>A.3.5.5</t>
  </si>
  <si>
    <t>A.3.5.6</t>
  </si>
  <si>
    <t>A.3.5.7</t>
  </si>
  <si>
    <t>A.3.5.8</t>
  </si>
  <si>
    <t>A.3.5.9</t>
  </si>
  <si>
    <t>A.3.5.10</t>
  </si>
  <si>
    <t>A.3.5.11</t>
  </si>
  <si>
    <t>A.3.5.12</t>
  </si>
  <si>
    <t>A.3.5.13</t>
  </si>
  <si>
    <t>A.3.6.1</t>
  </si>
  <si>
    <t>A.3.6.2</t>
  </si>
  <si>
    <t>A.3.6.3</t>
  </si>
  <si>
    <t>A.3.6.4</t>
  </si>
  <si>
    <t>A.3.6.5</t>
  </si>
  <si>
    <t>A.3.6.6</t>
  </si>
  <si>
    <t>A.3.6.7</t>
  </si>
  <si>
    <t>A.3.6.8</t>
  </si>
  <si>
    <t>A.3.6.9</t>
  </si>
  <si>
    <t>A.3.8</t>
  </si>
  <si>
    <t>A.3.9</t>
  </si>
  <si>
    <t>A.3.10</t>
  </si>
  <si>
    <t>A.3.1.1</t>
  </si>
  <si>
    <t>A.3.1.2</t>
  </si>
  <si>
    <t>A.3.1.3</t>
  </si>
  <si>
    <t>A.3.3.1</t>
  </si>
  <si>
    <t>A.3.3.2</t>
  </si>
  <si>
    <t>A.3.3.3</t>
  </si>
  <si>
    <t>A.3.4.1</t>
  </si>
  <si>
    <t>A.3.4.2</t>
  </si>
  <si>
    <t>A.3.4.3</t>
  </si>
  <si>
    <t>A.4.1</t>
  </si>
  <si>
    <t>A.4.2</t>
  </si>
  <si>
    <t>A.4.3</t>
  </si>
  <si>
    <t>A.4.4</t>
  </si>
  <si>
    <t>A.4.5</t>
  </si>
  <si>
    <t>A.4.6</t>
  </si>
  <si>
    <t>A.4.7</t>
  </si>
  <si>
    <t>A.4.8</t>
  </si>
  <si>
    <t>A.4.9</t>
  </si>
  <si>
    <t>A.4.10</t>
  </si>
  <si>
    <t>A.4.11</t>
  </si>
  <si>
    <t>A.4.12</t>
  </si>
  <si>
    <t>A.4.13</t>
  </si>
  <si>
    <t>A.4.14</t>
  </si>
  <si>
    <t>B.2.1</t>
  </si>
  <si>
    <t>B.2.2</t>
  </si>
  <si>
    <t>Nursery schools</t>
  </si>
  <si>
    <t xml:space="preserve">All figures are in </t>
  </si>
  <si>
    <t>1'000 LEK</t>
  </si>
  <si>
    <t>100'000 LEK</t>
  </si>
  <si>
    <t>1'000'000 LEK</t>
  </si>
  <si>
    <t>LEK</t>
  </si>
  <si>
    <t xml:space="preserve">(F11) EXPENDITURE BY ECONOMIC CLASSIFICATION (GROSS) </t>
  </si>
  <si>
    <t>C1b</t>
  </si>
  <si>
    <t>(C1b) INVESTMENTS: LAST YEARS AND CURRENT YEAR</t>
  </si>
  <si>
    <t xml:space="preserve">Investment  </t>
  </si>
  <si>
    <t>Expend-itures (incl. investments)</t>
  </si>
  <si>
    <t>Commitments</t>
  </si>
  <si>
    <t>(C5) COMMITMENTS</t>
  </si>
  <si>
    <t>newly transferred</t>
  </si>
  <si>
    <t>Current year 
(expected end of year outturn)</t>
  </si>
  <si>
    <t>Last year 
(actuals)</t>
  </si>
  <si>
    <t>Year t-2 
(actuals)</t>
  </si>
  <si>
    <t>Current year (expected)</t>
  </si>
  <si>
    <t>Year t+1 (expected)</t>
  </si>
  <si>
    <t>Year t+2 (expected)</t>
  </si>
  <si>
    <t>Year t+3 (expected)</t>
  </si>
  <si>
    <t>Exchange rate (end of year) amount of lek for 1 euro</t>
  </si>
  <si>
    <t>REVENUES FROM LOCAL FEES</t>
  </si>
  <si>
    <t>TOTAL OF BUDGET RESOURCES</t>
  </si>
  <si>
    <t>OTHER REVENUE AND INCOME</t>
  </si>
  <si>
    <t>Return from capital investments</t>
  </si>
  <si>
    <t>Return from public private partnerships</t>
  </si>
  <si>
    <t>Selling of goods and services</t>
  </si>
  <si>
    <t>Administrative violiation (fines)</t>
  </si>
  <si>
    <t>Seizures and reparations</t>
  </si>
  <si>
    <t>Membership fee of municipalities</t>
  </si>
  <si>
    <t>Grants from international aid</t>
  </si>
  <si>
    <t>Selling of financial assets</t>
  </si>
  <si>
    <t>Selling of tangible / intangible fixed assets</t>
  </si>
  <si>
    <t>Transfers from other municipalities</t>
  </si>
  <si>
    <t>Program code</t>
  </si>
  <si>
    <t>(C2) ESTIMATION OF BUDGET RESOURCES</t>
  </si>
  <si>
    <t>aaa</t>
  </si>
  <si>
    <t>bbb</t>
  </si>
  <si>
    <t>ccc</t>
  </si>
  <si>
    <t>(F1) BUDGET RESOURCES</t>
  </si>
  <si>
    <t>Overall surplus (+)/ loss (-)</t>
  </si>
  <si>
    <t>Withdrawals of income from utilities</t>
  </si>
  <si>
    <t>Revenue Estimation</t>
  </si>
  <si>
    <t>(E1) ESTIMATION OF BUDGET RESOURCES</t>
  </si>
  <si>
    <t>Estim. Impact of legal adjustments in %</t>
  </si>
  <si>
    <t>Overall expenditures / overall budget resources</t>
  </si>
  <si>
    <t>Local tax and fees / overall budget resources</t>
  </si>
  <si>
    <t>Own source revenues / overall budget resources</t>
  </si>
  <si>
    <t>Ratio of total expenditure to overall budget resources</t>
  </si>
  <si>
    <t>Ratio of local tax and fee revenues to overall budget resources</t>
  </si>
  <si>
    <t>Ratio of own source revenues to overall budget resources</t>
  </si>
  <si>
    <t>Ratio of long-term borrowing to overall budget resources</t>
  </si>
  <si>
    <t>Ratio of overdue payment liabilities to overall overall budget resources</t>
  </si>
  <si>
    <t>(B1) GENERAL INFORMATION</t>
  </si>
  <si>
    <t>Activity 2e</t>
  </si>
  <si>
    <t>Civil registry</t>
  </si>
  <si>
    <t>01110</t>
  </si>
  <si>
    <t>01120</t>
  </si>
  <si>
    <t>01710</t>
  </si>
  <si>
    <t>03140</t>
  </si>
  <si>
    <t>04240</t>
  </si>
  <si>
    <t>04260</t>
  </si>
  <si>
    <t>04530</t>
  </si>
  <si>
    <t>04570</t>
  </si>
  <si>
    <t>05320</t>
  </si>
  <si>
    <t>05630</t>
  </si>
  <si>
    <t>05640</t>
  </si>
  <si>
    <t>06140</t>
  </si>
  <si>
    <t>06180</t>
  </si>
  <si>
    <t>06210</t>
  </si>
  <si>
    <t>06260</t>
  </si>
  <si>
    <t>06440</t>
  </si>
  <si>
    <t>07220</t>
  </si>
  <si>
    <t>08120</t>
  </si>
  <si>
    <t>08220</t>
  </si>
  <si>
    <t>08230</t>
  </si>
  <si>
    <t>08280</t>
  </si>
  <si>
    <t>09240</t>
  </si>
  <si>
    <t>09660</t>
  </si>
  <si>
    <t>10140</t>
  </si>
  <si>
    <t>10220</t>
  </si>
  <si>
    <t>10430</t>
  </si>
  <si>
    <t>10460</t>
  </si>
  <si>
    <t>10550</t>
  </si>
  <si>
    <t>10770</t>
  </si>
  <si>
    <t>01312</t>
  </si>
  <si>
    <t>04130</t>
  </si>
  <si>
    <t>Activity 6f</t>
  </si>
  <si>
    <t>Activity 1f</t>
  </si>
  <si>
    <t>Reserves and Contingency Fund</t>
  </si>
  <si>
    <t>Activity: own / delegated / newly transferred</t>
  </si>
  <si>
    <t>RESERVE FUND: 04910</t>
  </si>
  <si>
    <t>TOTAL FUNDS</t>
  </si>
  <si>
    <t>RESERVE FUND IN PERCENT (%)</t>
  </si>
  <si>
    <t>CONTINGENCY FUND IN PERCENT (%)</t>
  </si>
  <si>
    <t>TOTAL FUNDS IN PERCENT (%)</t>
  </si>
  <si>
    <t>MAXIMUM OF CEILING</t>
  </si>
  <si>
    <t>Ratio of current expenditure to total expenditure</t>
  </si>
  <si>
    <t>Current expenditure / overall expenditure</t>
  </si>
  <si>
    <t>Total of conditional transfers + specific transfers + earmarked carry overs from C2</t>
  </si>
  <si>
    <t>Commitment pro memoria</t>
  </si>
  <si>
    <t>Overall budget resources</t>
  </si>
  <si>
    <t>Attention</t>
  </si>
  <si>
    <t>Upper Confidence Interval</t>
  </si>
  <si>
    <t>Lower Confidence Interval</t>
  </si>
  <si>
    <t>Best Trend Estimation</t>
  </si>
  <si>
    <t>Past Year Outturns</t>
  </si>
  <si>
    <t>Budget Estimations</t>
  </si>
  <si>
    <t>E2</t>
  </si>
  <si>
    <t>(E2) PLAUSIBILITY CHECK FOR OWN REVENUE ESTIMATIONS</t>
  </si>
  <si>
    <t>Periudha kohore</t>
  </si>
  <si>
    <t>Viti t-2</t>
  </si>
  <si>
    <t>Viti i shkuar</t>
  </si>
  <si>
    <t>Viti aktual</t>
  </si>
  <si>
    <t>Viti t+1 (I pritur)</t>
  </si>
  <si>
    <t>Viti t+2 (I pritur)</t>
  </si>
  <si>
    <t>Viti t+3 (I pritur)</t>
  </si>
  <si>
    <t>(A1) PROGRAMI BUXHETOR AFATMESEM</t>
  </si>
  <si>
    <t>Verdhë = Per tu plotësuar nga Departamenti i Financës</t>
  </si>
  <si>
    <t>(B1) Informacion i Përgjithshëm</t>
  </si>
  <si>
    <t>Bashkia (Emri)</t>
  </si>
  <si>
    <t>Shefi i Departamentit të Financës</t>
  </si>
  <si>
    <t>Rruga</t>
  </si>
  <si>
    <t>Kodi Postar</t>
  </si>
  <si>
    <t>Qyteti</t>
  </si>
  <si>
    <t>Data e Aktualizimit (Vit, Muaj, Ditë)</t>
  </si>
  <si>
    <t>Popullsia (Të dhënat sipas CENSUS, dhe e vitit të fundit)</t>
  </si>
  <si>
    <t>Numri i punonjësve (Në fund të vitit të kaluar)</t>
  </si>
  <si>
    <t>Numri i punonjësve me kohë të plotë (Në fund të vitit të kaluar)</t>
  </si>
  <si>
    <t>Numri i punonjësve me kohë të pjesshme (Në fund të vitit të kaluar)</t>
  </si>
  <si>
    <t>Të gjitha shifrat janë në</t>
  </si>
  <si>
    <t>(B2) STRUKTURA ORGANIZATIVE</t>
  </si>
  <si>
    <t>Numër</t>
  </si>
  <si>
    <t>Drejtoria / Departamenti</t>
  </si>
  <si>
    <t>Kryetari i programit</t>
  </si>
  <si>
    <t>Programi përkatës</t>
  </si>
  <si>
    <t>Emri i programit</t>
  </si>
  <si>
    <t>Numri i punonjësve</t>
  </si>
  <si>
    <t>041 Çështjet e përgjithshme ekonomike, tregtare dhe të punës</t>
  </si>
  <si>
    <t>042 Bujqësia, pyjet, peshkimi dhe gjuetia</t>
  </si>
  <si>
    <t>045 Trasporti</t>
  </si>
  <si>
    <t>047 Industri të tjera</t>
  </si>
  <si>
    <t>052 Menaxhimi i ujrave të zeza</t>
  </si>
  <si>
    <t>062 Zhvillimi i komunitetit</t>
  </si>
  <si>
    <t>063 Furnizimi me ujë</t>
  </si>
  <si>
    <t>064 Ndriçimi i rrugëve</t>
  </si>
  <si>
    <t>081 Shërbimet rekreative dhe sportive</t>
  </si>
  <si>
    <t>082 Shërbimet kulturore</t>
  </si>
  <si>
    <t>091 Arsimi bazë dhe parashkollor</t>
  </si>
  <si>
    <t>096 Shërbime plotësuese në arsim</t>
  </si>
  <si>
    <t>101 Sëmundje dhe paaftësi</t>
  </si>
  <si>
    <t>102 Të moshuarit</t>
  </si>
  <si>
    <t>104 Familje dhe fëmijë</t>
  </si>
  <si>
    <t>105 Papunësia</t>
  </si>
  <si>
    <t>107 Ndihma Ekonomike</t>
  </si>
  <si>
    <t>Programi 1</t>
  </si>
  <si>
    <t>Programi 2</t>
  </si>
  <si>
    <t>Programi 3</t>
  </si>
  <si>
    <t>Programi 4</t>
  </si>
  <si>
    <t>Programi 5</t>
  </si>
  <si>
    <t>Programi 6</t>
  </si>
  <si>
    <t>Programi 7</t>
  </si>
  <si>
    <t>Programi 8</t>
  </si>
  <si>
    <t>Programi 9</t>
  </si>
  <si>
    <t>Programi 10</t>
  </si>
  <si>
    <t>Programi 11</t>
  </si>
  <si>
    <t>Programi 12</t>
  </si>
  <si>
    <t>Programi 13</t>
  </si>
  <si>
    <t>Programi 14</t>
  </si>
  <si>
    <t>Programi 15</t>
  </si>
  <si>
    <t>Programi 16</t>
  </si>
  <si>
    <t>I veti</t>
  </si>
  <si>
    <t>I deleguar</t>
  </si>
  <si>
    <t>Transferuar</t>
  </si>
  <si>
    <t>(C1) SHPENZIMET: VITET E KALUARA DHE VITI AKTUAL</t>
  </si>
  <si>
    <t>Shpenzimet (Përfshirë Investimet)</t>
  </si>
  <si>
    <t>Tarifa</t>
  </si>
  <si>
    <t xml:space="preserve">Totali </t>
  </si>
  <si>
    <t>(C1b) INVESTIMET: VITET E KALUARA DHE VITI AKTUAL</t>
  </si>
  <si>
    <t>Investimet</t>
  </si>
  <si>
    <t>(C2) VLERËSIMI I BURIMEVE BUXHETORE</t>
  </si>
  <si>
    <t xml:space="preserve">Kodi </t>
  </si>
  <si>
    <t>Lloji i të ardhurava</t>
  </si>
  <si>
    <t>TË ARDHURA NGA BURIMET E VETA</t>
  </si>
  <si>
    <t>TË ARDHURA NGA TAKSAT LOKALE</t>
  </si>
  <si>
    <t>Taksa vendore mbi biznesin e vogël</t>
  </si>
  <si>
    <t>Taksa mbi pasurinë e paluajtshme</t>
  </si>
  <si>
    <t>Taksa mbi ndërtesën</t>
  </si>
  <si>
    <t>Taksa mbi tokën bujqësore</t>
  </si>
  <si>
    <t>Taksa mbi truallin</t>
  </si>
  <si>
    <t>Taksa mbi transaksionet e pasurisë</t>
  </si>
  <si>
    <t>Taksa vendore në shërbimin hotelier</t>
  </si>
  <si>
    <t>Taksa e ndikimit në infrastrukturë nga ndërtimet e reja</t>
  </si>
  <si>
    <t>Taksa e tabelës</t>
  </si>
  <si>
    <t>Taksa vendore mbi të ardhurat e krijuara nga dhuratat, trashëgimi, testament dhe llotaritë vendore</t>
  </si>
  <si>
    <t>Taksa e përkohëshme</t>
  </si>
  <si>
    <t>Taksa e përkohëshme 1</t>
  </si>
  <si>
    <t>Taksa e përkohëshme 2</t>
  </si>
  <si>
    <t>TË ARDHURA NGA TAKSAT E NDARA (GRANTE)</t>
  </si>
  <si>
    <t>Taksa mbi kalimin e të drejtës së pronësisë / pasuritë e paluajtshme</t>
  </si>
  <si>
    <t>Taksa vjetore për qarkullimin e mjeteve të përdorura</t>
  </si>
  <si>
    <t>Taksa e rentës minerare</t>
  </si>
  <si>
    <t>Taksa mbi të ardhurat personale</t>
  </si>
  <si>
    <t xml:space="preserve">Taksa të tjera </t>
  </si>
  <si>
    <t>TË ARDHURA NGA TARIFA VENDORE</t>
  </si>
  <si>
    <t>Tarifa me menaxhimit te mbetjeve</t>
  </si>
  <si>
    <t>Tarifa e pastrimit për familjet</t>
  </si>
  <si>
    <t>Tarifa e pastrimit për institucionet</t>
  </si>
  <si>
    <t>Tarifa e pastrimit për biznesin</t>
  </si>
  <si>
    <t>Tarifa për mbledhjen dhe largimin e mbetjeve</t>
  </si>
  <si>
    <t>Tarifa për ndriçimin publik</t>
  </si>
  <si>
    <t>Tarifa për ndriçimin publik nga familjet</t>
  </si>
  <si>
    <t>Tarifa për ndriçimin publik nga institucionet</t>
  </si>
  <si>
    <t>Tarifa për ndriçimin publik nga biznesi</t>
  </si>
  <si>
    <t>Tarifa për gjelbërimin</t>
  </si>
  <si>
    <t>Tarifa për gjelbërimin nga familjet</t>
  </si>
  <si>
    <t>Tarifa për gjelbërimin nga Institucionet</t>
  </si>
  <si>
    <t>Tarifa për gjelbërimin nga bizneset</t>
  </si>
  <si>
    <t>Tarifa për shërbimet administrative të bashkisë</t>
  </si>
  <si>
    <t>Tarifa për dhënien e liçensave, lejeve e autorizimeve</t>
  </si>
  <si>
    <t>Tarifa të kontrollit të zhvillimit të territorit</t>
  </si>
  <si>
    <t>Tarifa për vulosje veterinarie të bagëtive të therura</t>
  </si>
  <si>
    <t>Tarifa e liçensimit të veprimtarive të transportit</t>
  </si>
  <si>
    <t>Tarifa e parkimit për mjetet e liçensuara dhe vendparkime publike</t>
  </si>
  <si>
    <t>Tarifa për dhënie liçense për tregtimin e naftës bruto dhe nënprodukteve të saj</t>
  </si>
  <si>
    <t>Tarifa për pyejt dhe kullotat</t>
  </si>
  <si>
    <t>Tarifa për shërbimet shtesë nga zjarrëfiksja</t>
  </si>
  <si>
    <t>Tarifa për zënien dhe përdorimin e hapsirës publike dhe fasadave</t>
  </si>
  <si>
    <t xml:space="preserve">Tarifa për trajtimin e mbetjeve inerte në landfille </t>
  </si>
  <si>
    <t>Tarifa për linjat ajrore dhe nëntoksore (Telefoni, Energji, TV Kabllor, Internet)</t>
  </si>
  <si>
    <t>Tarifa nga dokumentat për tender, ankand etj</t>
  </si>
  <si>
    <t>Tarifa të institucioneve të arsimit, kulturës, sportit etj</t>
  </si>
  <si>
    <t>Bibloteka</t>
  </si>
  <si>
    <t>Muzeumet</t>
  </si>
  <si>
    <t>Teatri</t>
  </si>
  <si>
    <t>Qendra kulturore e fëmijëve</t>
  </si>
  <si>
    <t>Pallati i sportit</t>
  </si>
  <si>
    <t>Qendra Komunitare</t>
  </si>
  <si>
    <t>Mensa (Konviktet)</t>
  </si>
  <si>
    <t>Kopshtet</t>
  </si>
  <si>
    <t>Çerdhet</t>
  </si>
  <si>
    <t>Tarifa për furnizimin me ujë dhe kanalizime</t>
  </si>
  <si>
    <t>Tarifa për shërbimin e ujitjes dhe kullimit</t>
  </si>
  <si>
    <t>Tarifa e përkohëshme</t>
  </si>
  <si>
    <t>Tarifa të tjera</t>
  </si>
  <si>
    <t>TË ARDHURAT E TJERA</t>
  </si>
  <si>
    <t>Qeraja nga asetet në pronësi të bashkisë</t>
  </si>
  <si>
    <t>Kthimi nga investimet kapitale</t>
  </si>
  <si>
    <t>Fitimi nga ndërmarrjet publike në varësi të Bashkisë</t>
  </si>
  <si>
    <t>Kthimi nga partneriteti publik privat</t>
  </si>
  <si>
    <t>Tërheqje e të ardhura krijuar nga shërbimet</t>
  </si>
  <si>
    <t>Shitja e mallrave dhe shërbimeve</t>
  </si>
  <si>
    <t>Kundravajtjet administrative (Gjobat)</t>
  </si>
  <si>
    <t>Sekuestrime dhe Zhdëmtime</t>
  </si>
  <si>
    <t>Kuotat e anëtarësisë së bashkive</t>
  </si>
  <si>
    <t>Trasferta dhe ndihma nga njësitë e tjera vendore</t>
  </si>
  <si>
    <t>Grante nga ndihma ndërkombëtare</t>
  </si>
  <si>
    <t>Shitja e aseteve financiare</t>
  </si>
  <si>
    <t>Shitja e aseteve fikse të prekshme / paprekshme</t>
  </si>
  <si>
    <t>Të tjera</t>
  </si>
  <si>
    <t>TË ARDHURA NGA BUXHETI QENDROR</t>
  </si>
  <si>
    <t>Transferta e pakushtëzuar</t>
  </si>
  <si>
    <t>Transferta e kushtëzuar</t>
  </si>
  <si>
    <t>Për funskionet e deleguara</t>
  </si>
  <si>
    <t xml:space="preserve">Për projekte të veçanta (FZHR dhe të tjera) </t>
  </si>
  <si>
    <t>Trasferta specifike</t>
  </si>
  <si>
    <t>HUAMARRJA</t>
  </si>
  <si>
    <t>Huamarrja afatshkurtë</t>
  </si>
  <si>
    <t>Huamarrja afatgjatë</t>
  </si>
  <si>
    <t>TRASHËGIMI NGA VITI I SHKUAR</t>
  </si>
  <si>
    <t>Trashëgimi pa destinacion</t>
  </si>
  <si>
    <t>Trashëgimi me destinacion</t>
  </si>
  <si>
    <t>TOTALI I TË ARDHURAVE (A+B+C+D)</t>
  </si>
  <si>
    <t>(C3) DETYRIMET E PRAPAMBETURA</t>
  </si>
  <si>
    <t>Amortizimi i detyrimeve të prapambetura deri në fund të vitit</t>
  </si>
  <si>
    <t>Amortizimi i detyrimeve të prapambetura gjatë vitit</t>
  </si>
  <si>
    <t>Stoku i borxhit, 31 Dhjetor</t>
  </si>
  <si>
    <t>Kreditor</t>
  </si>
  <si>
    <t>Kodi i Programit</t>
  </si>
  <si>
    <t>Data e Detyrimit</t>
  </si>
  <si>
    <t>Stoku i borxhit, 31 Tetor</t>
  </si>
  <si>
    <t>(C4) TRASHËGIMI ME DESTINACION</t>
  </si>
  <si>
    <t>(C5) ANGAZHIMET</t>
  </si>
  <si>
    <t>Angazhimet</t>
  </si>
  <si>
    <t>(D1) TAVANET</t>
  </si>
  <si>
    <t>Pagat dhe sigurimet shoqërore</t>
  </si>
  <si>
    <t>Të tjera shpenzime korrente</t>
  </si>
  <si>
    <t>Shpenzimet kapitale</t>
  </si>
  <si>
    <t>(D2) LLOGARITJET MAKROEKONOMIKE</t>
  </si>
  <si>
    <t>Vitit aktual (I pritur)</t>
  </si>
  <si>
    <t>Norma e inflacionit</t>
  </si>
  <si>
    <t>Norma reale e rritjes ekonomike</t>
  </si>
  <si>
    <t>Norma e rritjes së pagave (nominale)</t>
  </si>
  <si>
    <t>Norma e Interesit (3 mujor)</t>
  </si>
  <si>
    <t>Norma e Interesit (5 vjeçar)</t>
  </si>
  <si>
    <t>Kursi i këmbimit (në fund të vitit) shuma në LEK për 1 EURO</t>
  </si>
  <si>
    <t>(E1) VLERËSIMI I TË ARDHURAVE</t>
  </si>
  <si>
    <t>Impakti i inflacionit në %</t>
  </si>
  <si>
    <t>Impakti i rritjes reale ekonomike në %</t>
  </si>
  <si>
    <t>Rritja e pritshme e vëllimit të aktiviteteve në %</t>
  </si>
  <si>
    <t>Impakti i rritjes së popullsisë në %</t>
  </si>
  <si>
    <t>Vlerësimi i impaktit nga përmirësimi në %</t>
  </si>
  <si>
    <t>Vlerësimi i impaktit të faktorëve të tjerë në %</t>
  </si>
  <si>
    <t>Përmirësimi i përdorimit të potencialit tatimor në %</t>
  </si>
  <si>
    <t>Ndryshimi i normës së taksës në %</t>
  </si>
  <si>
    <t>Rritja e tarifës për njësi %</t>
  </si>
  <si>
    <t>Vlerësimi i të Ardhurave</t>
  </si>
  <si>
    <t>TOTALI I BURIMEVE BUXHETORE</t>
  </si>
  <si>
    <t>Përmirësimi i përdorimit të potencialit të tarifës në %</t>
  </si>
  <si>
    <t>Vlerësimi i impaktit të ndyshimeve ligjore në %</t>
  </si>
  <si>
    <t>PËRMBLEDHJE E KËRKESËS BUXHETORE</t>
  </si>
  <si>
    <t>Pagat</t>
  </si>
  <si>
    <t>Sigurimet Shoqërore</t>
  </si>
  <si>
    <t>Mallra dhe shërbime</t>
  </si>
  <si>
    <t>Subvencione</t>
  </si>
  <si>
    <t>Të tjera transferta korrente të brendshme</t>
  </si>
  <si>
    <t>Transferta korrente të huaja</t>
  </si>
  <si>
    <t>Transferta për Buxhetet Familiare dhe Individët</t>
  </si>
  <si>
    <t>Rezerva</t>
  </si>
  <si>
    <t>Interesa per kredi direkte ose bono</t>
  </si>
  <si>
    <t>Operative/Mirëmbajtje</t>
  </si>
  <si>
    <t>SHPENZIMET E PRITSHME</t>
  </si>
  <si>
    <t>KOSTO DIREKTE PËR PROJEKTET DHE SHPENZIMET KAPITALE</t>
  </si>
  <si>
    <t>KOSTOT E PËRSËRITURA</t>
  </si>
  <si>
    <t>SHPENZIME TË PRITSHME</t>
  </si>
  <si>
    <t>VLERËSIM I ARDHURAVE NGA TARIFAT</t>
  </si>
  <si>
    <t>VLERËSIMI I TË ARDHURAVE TË TRASHËGUARA</t>
  </si>
  <si>
    <t>SHUMA E KËRKUAR NETO</t>
  </si>
  <si>
    <t>Kontributet</t>
  </si>
  <si>
    <t>Burime të tjera (përfshirë gjobat)</t>
  </si>
  <si>
    <t xml:space="preserve">TË ARDHURAT E PRITSHME </t>
  </si>
  <si>
    <t>PËRPUTHSHMËRIA ME TAVANET</t>
  </si>
  <si>
    <t>Tavani i përgjithshëm</t>
  </si>
  <si>
    <t>Diferenca mes tavaneve të përgjithshme (duhet të jetë &lt;0)</t>
  </si>
  <si>
    <t>Tavani i pagave dhe sigurimeve shoqërore</t>
  </si>
  <si>
    <t>Paga dhe sigurime shoqërore</t>
  </si>
  <si>
    <t>Diferenca e tavaneve në paga dhe sigurime shoqërore (duhet të jetë &lt;0)</t>
  </si>
  <si>
    <t>Tavani për shpenzime e tjera korrente</t>
  </si>
  <si>
    <t>Konsumi (përjashtuar paga dhe sigurimet shoqërore)</t>
  </si>
  <si>
    <t>Diferenca e tavaneve në konsum (duhet të jetë &lt;0)</t>
  </si>
  <si>
    <t>Minimumi i shpenzimeve kapitale</t>
  </si>
  <si>
    <t>Diferenca e minimumit të shpenzimeve kapitale (duhet të jetë &gt;0)</t>
  </si>
  <si>
    <t>Shpenzimet për aktivitet viti i parë</t>
  </si>
  <si>
    <t>Inflacioni</t>
  </si>
  <si>
    <t>Ndryshimet e pritura strukturore</t>
  </si>
  <si>
    <t>Ndryshimet e pritura të përformancës</t>
  </si>
  <si>
    <t>Shpjegimet teknike</t>
  </si>
  <si>
    <t>(F1) BURIMET BUXHETORE</t>
  </si>
  <si>
    <t>Totali</t>
  </si>
  <si>
    <t>(E2) KONTROLLI I BESUESHMERISE NE VLERESIMIN E TE ARDHURAVE TE VETA</t>
  </si>
  <si>
    <t>Shpenzime të tjera korrente</t>
  </si>
  <si>
    <t>01 Shërbimet e Përgjithshme Publike</t>
  </si>
  <si>
    <t>03 Rendi dhe Siguria Publike</t>
  </si>
  <si>
    <t>04 Çeshtjet Ekonomike</t>
  </si>
  <si>
    <t>05 Mbrojtja Mjedisore</t>
  </si>
  <si>
    <t>07 Shëndetësia</t>
  </si>
  <si>
    <t>09 Arsimi</t>
  </si>
  <si>
    <t>10 Mbrojtja Sociale</t>
  </si>
  <si>
    <t>E detyrueshme</t>
  </si>
  <si>
    <t>(F10) SHPENZIMET SIPAS KLASIFIKIMIT EKONOMIK (BRUTO)</t>
  </si>
  <si>
    <t>MOSPËRPUTHJA (Duhet të jetë = 0)</t>
  </si>
  <si>
    <t>Vlera Totale për Aktivitet</t>
  </si>
  <si>
    <t>Qëllime të mëtejshme</t>
  </si>
  <si>
    <t>Qëllime</t>
  </si>
  <si>
    <t>(F11) SHPENZIMET SIPAS KLASIFIKIMIT EKONOMIK (BRUTO)</t>
  </si>
  <si>
    <t>(F12) DETYRIMET E PRAPAMBETURA PËR VITIN E KALUAR</t>
  </si>
  <si>
    <t>(F13) STATISTIKA FINANCIARE TË PËRGJITHSHME</t>
  </si>
  <si>
    <t>TOTALI I TË ARDHURAVE</t>
  </si>
  <si>
    <t>TOTALI I SHPENZIMEVE</t>
  </si>
  <si>
    <t>FITIMI / HUMBJA E PËRGJITHSHME</t>
  </si>
  <si>
    <t>Të ardhurat e përgjithshme</t>
  </si>
  <si>
    <t>Shpenzimet e përgjithshme</t>
  </si>
  <si>
    <t>Përfitimi (+)/ Humbja (-) e përgjithshme</t>
  </si>
  <si>
    <t>(F14) INDIKATORËT</t>
  </si>
  <si>
    <t>Shpenzimet e përgjithshme /Të ardhurat e përgjithshme</t>
  </si>
  <si>
    <t>Norma e totalit të shpenzimeve ndaj totalit të të ardhurave</t>
  </si>
  <si>
    <t>Norma e të ardhurave nga taksat dhe tarifat vendore ndaj totalit të të ardhurave</t>
  </si>
  <si>
    <t>Taksat dhe tarifat lokale / Të ardhurat e përgjithshme</t>
  </si>
  <si>
    <t>Norma e të ardhurave nga burimet e veta ndaj totalit të të ardhurave</t>
  </si>
  <si>
    <t>Të ardhura nga burimet e veta / Të ardhurat e përgjithshme</t>
  </si>
  <si>
    <t>Norma e shpenzimeve kapitale ndaj totalit të shpenzimeve</t>
  </si>
  <si>
    <t>Shpenzimet kapitale / Shpenzimet e përgjithshme</t>
  </si>
  <si>
    <t>Normal e shpenzimeve të personelit ndaj totalit të shpenizmeve</t>
  </si>
  <si>
    <t>Norma e huamarrjes afatgjatë ndaj totalit të të ardhurave</t>
  </si>
  <si>
    <t>Norma e huamarrjes afatgjatë ndaj të ardhurave të veta</t>
  </si>
  <si>
    <t>Norma e shpenzimeve në politikat sociale ndaj totalit të shpenzimeve</t>
  </si>
  <si>
    <t>Ndryshimi në kapitalin e huazuar (krahasuar me vitin paraprak)</t>
  </si>
  <si>
    <t>Norma e shpenzimeve korrente ndaj shpenzimeve totale</t>
  </si>
  <si>
    <t>Shpenzime korrente / Totali shpenzimeve</t>
  </si>
  <si>
    <t>Shpenzimet e personelit / Shpenzimet e përgjithshme</t>
  </si>
  <si>
    <t xml:space="preserve">Burimet e përgjithshme të buxhetit </t>
  </si>
  <si>
    <t>TOTALI I BURIMEVE TË BUXHETIT</t>
  </si>
  <si>
    <t>(F6) SHPENZIMET SIPAS PROGRAMIT - VLERA BRUTO</t>
  </si>
  <si>
    <t>(F7) GRAFIKU U SHPENZIMEVE SIPAS PROGRAMIT - VLERA BRUTO</t>
  </si>
  <si>
    <t>(F9) GRAFIKU I SHPENZIMEVE SIPAS PROGRAMIT - VLERA NETO</t>
  </si>
  <si>
    <t>(F13) GRAFIKU - SHPENZIMET SIPAS KLASIFIKIMIT EKONOMIK  (BRUTO)</t>
  </si>
  <si>
    <t xml:space="preserve">(F16) MOSPËRPUTHJA E TARIFAVE DHE TË ARDHURAVE ME DESTINACION </t>
  </si>
  <si>
    <t>Viti aktual (buxheti)</t>
  </si>
  <si>
    <t>TË ARDHURAT NGA VITI I SHKUAR</t>
  </si>
  <si>
    <t>Trashëgimi nga viti i kaluar</t>
  </si>
  <si>
    <t>(E1) VLERËSIMI I TË ARDHURAVE NGA FONDET E TJERA TË VETA</t>
  </si>
  <si>
    <t>(E2) TRASHËGIMI NGA PERIUDHA TË MËPARSHME</t>
  </si>
  <si>
    <t>(E3) VLERËSIMI I TË ARDHURAVE NGA HUAMARRJA / KAPITALI I MARRË HUA</t>
  </si>
  <si>
    <t>(E4) VLERËSIMI I TË ARDHURAVE NGA TATIMET DHE KONTRIBUTET E DETYRUESHME</t>
  </si>
  <si>
    <t>(E5) VLERËSIMI I TË ARDHURAVE NGA TË ARDHURAT E TJERA TË VETA</t>
  </si>
  <si>
    <t>(E6) VLERËSIMI I TË ARDHURAVE NGA TRASFERTAT</t>
  </si>
  <si>
    <t>VLERËSIMI I TARIFAVE DHE TË ARDHURAVE ME DESTINBACION</t>
  </si>
  <si>
    <t>FKB (FORMATI I KËRKESAVE BUXHETORE)</t>
  </si>
  <si>
    <t>VLERËSIMI I SHPENZIMEVE (I DETAJUAR)</t>
  </si>
  <si>
    <t>Shpenzime të tjera Korrente</t>
  </si>
  <si>
    <t>Diferenca mes tavaneve të përgjithshme (duhet të jetë &lt; 0)</t>
  </si>
  <si>
    <t>Diferenca e tavaneve në paga dhe sigurime shoqërore (duhet të jetë &lt; 0)</t>
  </si>
  <si>
    <t>Tavani për shpenzimet e tjera korrente</t>
  </si>
  <si>
    <t>Diferenca e tavaneve në konsum (duhet të jetë &lt; 0)</t>
  </si>
  <si>
    <t>Diferenca e minimumit të shpenzimeve kapitale (duhet të jetë &gt; 0)</t>
  </si>
  <si>
    <t>Transferta për Buxhetet Familiare dhe Individet</t>
  </si>
  <si>
    <t>Transferta</t>
  </si>
  <si>
    <t>Interesa</t>
  </si>
  <si>
    <t>Vlera bazë e tarifës së re</t>
  </si>
  <si>
    <t>Rritja e volumit të aktivitetit në %</t>
  </si>
  <si>
    <t>Përmirësimi i përdorimit të potencialit të tarifave në %</t>
  </si>
  <si>
    <t>Impakti i rregullimeve ligjore në %</t>
  </si>
  <si>
    <t>Impakti i faktorëve të tjerë influencues në %</t>
  </si>
  <si>
    <t>Rritja e tarifave për njësi në %</t>
  </si>
  <si>
    <t>Tarifa për njësi</t>
  </si>
  <si>
    <t xml:space="preserve">VLERËSIMI I ARDHURAVE NGA TARIFAT </t>
  </si>
  <si>
    <t>TË ARDHURAT E PRITSHME</t>
  </si>
  <si>
    <t>KËRKESA SHTESË NETO</t>
  </si>
  <si>
    <t>PËRMBLEDHJE E AKTIVITETEVE</t>
  </si>
  <si>
    <t>KOSTOT E PËRGJITHSHME</t>
  </si>
  <si>
    <t>VLERËSIMET E DEPARTAMENTEVE TË LINJËS</t>
  </si>
  <si>
    <t>VLERËSIMET E DEPARTAMENTIT TË FINANCËS</t>
  </si>
  <si>
    <t>Emri I programit</t>
  </si>
  <si>
    <t>Kodi I programit</t>
  </si>
  <si>
    <t>Përgjegjës programi</t>
  </si>
  <si>
    <t>11 FONDE TE TJERA TE VETA</t>
  </si>
  <si>
    <t>16 HUAMARRJA / KAPITALI I MARRË HUA</t>
  </si>
  <si>
    <t>12 REZULTATI OPERATIV NGA PERIUDHA TË MËPARSHME</t>
  </si>
  <si>
    <t>70 TAKSA DHE KONTRIBUTE TË DETYRUESHME</t>
  </si>
  <si>
    <t>71 TË ARDHURA TË TJERA TË VETA</t>
  </si>
  <si>
    <t>72 TRANSFERTA</t>
  </si>
  <si>
    <t>KREDI (HUAMARRJE)</t>
  </si>
  <si>
    <t>Tavanet e përgjithshme</t>
  </si>
  <si>
    <t xml:space="preserve">TOTALI </t>
  </si>
  <si>
    <t>TOTALI PAGAVE DHE SIGURIMEVE SHOQËRORE</t>
  </si>
  <si>
    <t>TOTALI I SHPENZIMEVE TË TJERA KORRENTE</t>
  </si>
  <si>
    <t>TOTALI I SHPENZIMEVE KAPITALE</t>
  </si>
  <si>
    <t>TOTALI I TAVANEVE TË PËRGJITHSHME</t>
  </si>
  <si>
    <t>Tërheqja nga rezervat</t>
  </si>
  <si>
    <t>Të ardhura nga shitja e aseteve financiare</t>
  </si>
  <si>
    <t>Të ardhurat nga shitjet - toka, parcela dhe terrenet</t>
  </si>
  <si>
    <t>Të ardhurat nga shitjet - pyjet, kullotat dhe plantacionet</t>
  </si>
  <si>
    <t>Të ardhurat nga shitjet - ndërtesat</t>
  </si>
  <si>
    <t>Të ardhurat nga shitjet - instalimet teknike, makineritë dhe pajisjet, instrumentet, mjetet</t>
  </si>
  <si>
    <t>Të ardhurat nga shitjet - automjetet</t>
  </si>
  <si>
    <t>Vlera bazë e të ardhurave të reja</t>
  </si>
  <si>
    <t>Paraqitja e të ardhurave</t>
  </si>
  <si>
    <t>Amortizimi i detyrimeve të prapambetura</t>
  </si>
  <si>
    <t>FONDI REZERVE NË PËRQINDJE (%)</t>
  </si>
  <si>
    <t>FONDI REZERVE: 04910</t>
  </si>
  <si>
    <t>FONDI KONTINGJENCËS NË PËRQINDJE (%)</t>
  </si>
  <si>
    <t>FONDI KONTINGJENCËS: 04940</t>
  </si>
  <si>
    <t>TOTALI FONDEVE NË PËRQINDJE (%)</t>
  </si>
  <si>
    <t>MAKSIMUMI I TAVANIT</t>
  </si>
  <si>
    <t>Angazhimet kujtesë</t>
  </si>
  <si>
    <t>Kreditë afatshkurtra nga nivele të tjera të qeverisë</t>
  </si>
  <si>
    <t>Kreditë afatshkurtra nga sistemi bankar kombëtar</t>
  </si>
  <si>
    <t>Kreditë afatgjata nga nivele të tjera të qeverisë</t>
  </si>
  <si>
    <t>Kreditë afatgjata nga sistemi bankar kombëtar</t>
  </si>
  <si>
    <t>Huazimi me lëshimin e obligacioneve</t>
  </si>
  <si>
    <t>Huazimi me kredi</t>
  </si>
  <si>
    <t>Huazimi me lëshimin e bonove</t>
  </si>
  <si>
    <t>Tarifa të tjera të shërbimeve</t>
  </si>
  <si>
    <t>Të ardhurat e përgjithshme nga tarifat</t>
  </si>
  <si>
    <t>Prezantimi i tarifës</t>
  </si>
  <si>
    <t>Rritja e pritshme e vëllimit të aktivitetit në%</t>
  </si>
  <si>
    <t>Impakti i faktorëve të tjerë në %</t>
  </si>
  <si>
    <t>Rritja e tarifës pë njësi %</t>
  </si>
  <si>
    <t>Gjobat e përgjithshme</t>
  </si>
  <si>
    <t>Vlerësimi i rritjes në %</t>
  </si>
  <si>
    <t>Rritja e gjobave per njësi në %</t>
  </si>
  <si>
    <t>Vlera bazë e gjobës së re</t>
  </si>
  <si>
    <t>Gjobë për njësi, vlera e fillimit</t>
  </si>
  <si>
    <t>Prezantimi i gjobës</t>
  </si>
  <si>
    <t>Shitja e ndërtesës</t>
  </si>
  <si>
    <t>Shitja e tokës bujqësore</t>
  </si>
  <si>
    <t>Shitja e pronave të tjera</t>
  </si>
  <si>
    <t>Qeraja e tokës</t>
  </si>
  <si>
    <t>Qeraja e ndërtesës</t>
  </si>
  <si>
    <t>Të ardhurat e përgjithshme nga asetet</t>
  </si>
  <si>
    <t>Të ardhura nga ndërmarrja 1</t>
  </si>
  <si>
    <t>Të ardhura nga ndërmarrja 2</t>
  </si>
  <si>
    <t>Të ardhura nga ndërmarrje të tjera</t>
  </si>
  <si>
    <t>Të përgjithshme nga ndërmarrjet</t>
  </si>
  <si>
    <t>Emri</t>
  </si>
  <si>
    <t>Trashëgimi i përgjithshmëm nga viti I kaluar</t>
  </si>
  <si>
    <t>Tatimi mbi të ardhurat nga interesat</t>
  </si>
  <si>
    <t>Tatimi mbi të ardhurat personale nga qiraja</t>
  </si>
  <si>
    <t>Tatimet mbi të ardhurat personale që rrjedhin nga donacionet, trashëgimia, tatimet dhe llotaritë lokale</t>
  </si>
  <si>
    <t>Taksa vendore mbi aktivitetin ekonomik të biznesit të vogël</t>
  </si>
  <si>
    <t>Taksa nga rivlerësimi i pasurisë së personit juridik (3%)</t>
  </si>
  <si>
    <t>Taksa nga rivlerësimi i pasurisë së personit juridik (5%)</t>
  </si>
  <si>
    <t>Taksa nga rivlerësimi i pasurisë së individëve (1%)</t>
  </si>
  <si>
    <t>Taksa vendore e shërbimit hotelier</t>
  </si>
  <si>
    <t>Taksa tër përkohëshme</t>
  </si>
  <si>
    <t>Taksa mbi kalimin e të drejtës së pronësisë</t>
  </si>
  <si>
    <t>Taksa të tjera nga shitja e pasurive të luajtshme</t>
  </si>
  <si>
    <t>Tarifa e regjistrimit në kopshe të femijëve</t>
  </si>
  <si>
    <t>Tarifa për grumbullimin dhe hedhjen e mbeturinave</t>
  </si>
  <si>
    <t>Tarifa për furnizimin me ujë dhe kanalizimet</t>
  </si>
  <si>
    <t>Tarifa për Ujitjen dhe Kullimin</t>
  </si>
  <si>
    <t>Tarifë shkollore</t>
  </si>
  <si>
    <t>Tarifa të përkohëshme</t>
  </si>
  <si>
    <t>Taksa të tjera, të miratuara nga Këshilli</t>
  </si>
  <si>
    <t>Tarifa të tjera, të përcaktuara në ligj</t>
  </si>
  <si>
    <t>Shfrytëzimi i hapësirës në zonat publike ose përballë objekteve për qëllime biznesi</t>
  </si>
  <si>
    <t>Përdorimi i tabelave të reklamave</t>
  </si>
  <si>
    <t>Përdorimi i hapësirave të parkimit për automjetet rrugore</t>
  </si>
  <si>
    <t>Përdorimi i hapësirave për kamping, ngritja e çadrave ose hapësira të tjera për përdorim të përkohshëm</t>
  </si>
  <si>
    <t>Restorante dhe pajisje të tjera për ushqim dhe argëtim në lumenj dhe liqene</t>
  </si>
  <si>
    <t>Përdorimi i hapësirave publike për automjetin rrugor të rrugës së shtëpisë dhe rimorkiot me përjashtim të automjetet bujqësore</t>
  </si>
  <si>
    <t>Përdorimi i hapësirës publike për mbajtjen e materialit ndërtimor</t>
  </si>
  <si>
    <t>Tarifa për aktet administrative</t>
  </si>
  <si>
    <t>Tarifa per liçencat e trasportit</t>
  </si>
  <si>
    <t>Tarifa për regjistrimin e rezidencave tër reja</t>
  </si>
  <si>
    <t>Tarifa për regjitsimin e pronës</t>
  </si>
  <si>
    <t>Tarifa për transferimin e së drejtës së pronësisë së pasurive të paluajtshme</t>
  </si>
  <si>
    <t>Tabela tregtare të vendosura jashtë ambjeteve të biznesit</t>
  </si>
  <si>
    <t xml:space="preserve">Mbajtja dhe përdorimi i mjeteve lundruse në lumenj dhe liqene </t>
  </si>
  <si>
    <t>Të ardhura nga ndërmarrjet në pronësi te NJQV-së</t>
  </si>
  <si>
    <t>Interesat nga asetet financiare</t>
  </si>
  <si>
    <t>Dividentët nga asetet financiare</t>
  </si>
  <si>
    <t>Të ardhura nga qiraja e tokës bujqësore</t>
  </si>
  <si>
    <t>Të ardhura nga qiraja e tokave</t>
  </si>
  <si>
    <t>Të ardhurat nga guroret</t>
  </si>
  <si>
    <t>Të ardhura nga qiraja e ndërtesave</t>
  </si>
  <si>
    <t>Të ardhura nga qiraja e pajisjeve</t>
  </si>
  <si>
    <t>Të ardhurat nga kopshtet</t>
  </si>
  <si>
    <t>Të ardhura nga shitjet e produkteve bujqësore dhe pyjore</t>
  </si>
  <si>
    <t>Të ardhura nga shitja e produkteve kulturore dhe turizmit</t>
  </si>
  <si>
    <t>Të ardhura nga menca</t>
  </si>
  <si>
    <t>Të ardhura nga shitja e produkteve në shtëpinë e të moshuarve</t>
  </si>
  <si>
    <t>Të ardhura nga shitja e printimit</t>
  </si>
  <si>
    <t>Të ardhua nga biletat e transportit rrugor</t>
  </si>
  <si>
    <t>Të ardhura nga biletat - Muzeume</t>
  </si>
  <si>
    <t>Të ardhura nga biletat - Qendra kulturore</t>
  </si>
  <si>
    <t>Të ardhura nga biletat - Stadiume</t>
  </si>
  <si>
    <t>Të ardhura nga biletat - Qendra historike</t>
  </si>
  <si>
    <t>Të ardhura të tjera nga biletat</t>
  </si>
  <si>
    <t xml:space="preserve">Gjobat tatimore dhe Inspektimet </t>
  </si>
  <si>
    <t>Gjobat nga policia për ndërtimit</t>
  </si>
  <si>
    <t>Të ardhura nga dëshkime të tjera</t>
  </si>
  <si>
    <t>Gjetjet nga pagesat e vonuara</t>
  </si>
  <si>
    <t>Transferta e pakushtëzuar nga qeveria qëndrore</t>
  </si>
  <si>
    <t>Taksat e ndara nga qeveria qendrore</t>
  </si>
  <si>
    <t>Trasfertat e kushtëzuara nga qeveria qendrore/ministritë e linjës</t>
  </si>
  <si>
    <t>Trasferta specifike nga qeveria qendrore</t>
  </si>
  <si>
    <t>Trasferta të tjera nga NJQV-të</t>
  </si>
  <si>
    <t>Sponsorizimet nga organizatat joqeveritare</t>
  </si>
  <si>
    <t>Sponsorizime nga subjektet e sektorit privat</t>
  </si>
  <si>
    <t>Sponsorizimet nga Individët</t>
  </si>
  <si>
    <t>Grante nga qeveritë e huaja</t>
  </si>
  <si>
    <t>Grante nga organizatat ndërkombëtare</t>
  </si>
  <si>
    <t>Trashëgimi i vitit të kaluar</t>
  </si>
  <si>
    <t xml:space="preserve">Granti dhe trasferta e përgjithshme e pakushtëzuar </t>
  </si>
  <si>
    <t>Transferta e kushtëzuar e përgjithshme</t>
  </si>
  <si>
    <t>Kontributet e përgjithshme</t>
  </si>
  <si>
    <t>Kredi të përgjithshme</t>
  </si>
  <si>
    <t>I detyrueshëm</t>
  </si>
  <si>
    <t>Plotësuese</t>
  </si>
  <si>
    <t>Kostot e përgjithshme direkte</t>
  </si>
  <si>
    <t>Kostot e përgjithshme</t>
  </si>
  <si>
    <t>Shpenzimet sipas klasifikimit ekonomik (I agreguar)</t>
  </si>
  <si>
    <t xml:space="preserve">Të ardhurat e përgjithshme nga taksat </t>
  </si>
  <si>
    <t>Mospërputhja (duhet të jetë = 0)</t>
  </si>
  <si>
    <t>Të ardhura nga taksat / Të ardhura të përgjithshme</t>
  </si>
  <si>
    <t>Të ardhura nga tarifat / Të ardhura të përgjithshme</t>
  </si>
  <si>
    <t>Gjoba, pasuri, ndërmarrje dhe trashëgimi nga viti I kaluar / Të ardhura të përgjithshme</t>
  </si>
  <si>
    <t>Të ardhurat e veta (Bashkitë) / Të ardhurat e përgjithshme</t>
  </si>
  <si>
    <t>Të ardhurat nga taksat për banor</t>
  </si>
  <si>
    <t>Të ardhurat nga tarifat për banor</t>
  </si>
  <si>
    <t>Shpenzimet kapitale për banor</t>
  </si>
  <si>
    <t>Transferta dhe grante të pakushtëzuara / Të ardhura të përgjithshme</t>
  </si>
  <si>
    <t>Interesat / Të ardhura të përgjithshme</t>
  </si>
  <si>
    <t>Shpenzimet kapitale / Shpenzime të përgjithshme</t>
  </si>
  <si>
    <t>Shpenzimet sipas klasifikimit ekonomik (disaggregated)</t>
  </si>
  <si>
    <t>Shpenzimet sipas klasifikimit ekonomik (aggregated)</t>
  </si>
  <si>
    <t>Të ardhurat e jashtme / Të ardhurat e përgjithshme</t>
  </si>
  <si>
    <t>Aktivitetet</t>
  </si>
  <si>
    <t>Natyra</t>
  </si>
  <si>
    <t>Lloj I funksionit</t>
  </si>
  <si>
    <t>1210100 TË TRASHËGUARA PA DESTINACION</t>
  </si>
  <si>
    <t>1210200 TË TRASHËGUARA ME DESTINACION</t>
  </si>
  <si>
    <t>Shërbimet e tjera publike</t>
  </si>
  <si>
    <t>Shërbimi i borxhit afatshkurtër</t>
  </si>
  <si>
    <t>Shërbimi i borxhit afatgjatë</t>
  </si>
  <si>
    <t>Aktiviteti</t>
  </si>
  <si>
    <t>Lloji i funksionit</t>
  </si>
  <si>
    <t>01110 Planifikimi, Menaxhimi dhe Administrimi</t>
  </si>
  <si>
    <t>01120 Çeshtjet financiare dhe fiskale</t>
  </si>
  <si>
    <t>01130 Shërbimet e përgjithshme publike</t>
  </si>
  <si>
    <t>01321 Varrezat dhe funeralet</t>
  </si>
  <si>
    <t>01710 Pagesa për shërbimin e borxhit të brendshëm</t>
  </si>
  <si>
    <t>03140 Shërbimi i policisë vendore</t>
  </si>
  <si>
    <t>03280 Mbrojtja nga zjarri dhe mbrojtja civile</t>
  </si>
  <si>
    <t>03600 Marrëdhënia me komunitetin</t>
  </si>
  <si>
    <t>03601 Mbikëqyrja administrative lokale</t>
  </si>
  <si>
    <t>04111 Planet e Zhvillimit Ekonomik</t>
  </si>
  <si>
    <t>04131 Promovimi i biznesit lokal</t>
  </si>
  <si>
    <t>04132 Mbështetja e zhvillimit rajonal</t>
  </si>
  <si>
    <t>04161 Tregjet</t>
  </si>
  <si>
    <t>04221 Kadastra</t>
  </si>
  <si>
    <t>04222 Këshillimi Bujqësor</t>
  </si>
  <si>
    <t>04223 Veterinaria</t>
  </si>
  <si>
    <t>04240 Menaxhimi i ujitjes dhe kullimit</t>
  </si>
  <si>
    <t>04260 Menaxhimi i pyjeve dhe kullotave</t>
  </si>
  <si>
    <t>04521 Ndërtimi dhe mirëmbajtja e rrugëve</t>
  </si>
  <si>
    <t>04530 Studimet rrugore</t>
  </si>
  <si>
    <t>04570 Trasporti publik</t>
  </si>
  <si>
    <t>04761 Zhvillimi i Turizimit</t>
  </si>
  <si>
    <t>04741 Mbrojtja nga përmbytja</t>
  </si>
  <si>
    <t>04742 Rekreacioni</t>
  </si>
  <si>
    <t>05101 Shërbimet e menaxhimit të mbetjeve vendore</t>
  </si>
  <si>
    <t>05201 Shërbimet sanitare</t>
  </si>
  <si>
    <t>05320 Programet e mbrojtjes së mjedisit</t>
  </si>
  <si>
    <t>05630 Ndërgjegjësimi mjedisor</t>
  </si>
  <si>
    <t>05640 Administrimi i resurseve ujore</t>
  </si>
  <si>
    <t>06140 Strehimi lokal dhe urbanistika</t>
  </si>
  <si>
    <t>06180 Planifikimi urban dhe strehimi</t>
  </si>
  <si>
    <t>06210 Programet e Zhvillimit</t>
  </si>
  <si>
    <t>06260 Shërbimet publike vendore</t>
  </si>
  <si>
    <t>06331 Furnizimi me ujë të pishëm</t>
  </si>
  <si>
    <t>06440 Ndriçimi i rrugëve</t>
  </si>
  <si>
    <t>07220 Shërbimet e kujdesit parësor</t>
  </si>
  <si>
    <t xml:space="preserve">08120 Parqet </t>
  </si>
  <si>
    <t>08131 Sporti dhe argëtimi</t>
  </si>
  <si>
    <t>08220 Trashëgimia kulturore, monumentet, kopshtet zoologjike e botanike dhe bibliotekat</t>
  </si>
  <si>
    <t>08230 Arti dhe kultura</t>
  </si>
  <si>
    <t>08280 Muzetë, teatrot dhe ngjarjet kulturore</t>
  </si>
  <si>
    <t>09121 Ndërtimi dhe mirëmbajtja</t>
  </si>
  <si>
    <t>09122 Mësuesit e kopshteve dhe pagat e stafit mbështetës</t>
  </si>
  <si>
    <t>09123 Ushqimi i kopshteve</t>
  </si>
  <si>
    <t>09231 Ndërtimi dhe mirëmbjatja</t>
  </si>
  <si>
    <t>09232 Pagat e stafit mbështetës</t>
  </si>
  <si>
    <t>09240 Arsimi profesional</t>
  </si>
  <si>
    <t>09660 Programet arsimore dhe trajnimi i edukatorëve / mësuesve</t>
  </si>
  <si>
    <t>10140 Kujdesi social për personat e sëmurë dhe me aftësi të kufizuara</t>
  </si>
  <si>
    <t>10220 Sigurimi Shoqëror</t>
  </si>
  <si>
    <t>10430 Kujdesi social për familjet dhe fëmijët</t>
  </si>
  <si>
    <t>10460 Përfshirja sociale</t>
  </si>
  <si>
    <t>10550 Papunësia, Arsimi dhe aftësimi profesional</t>
  </si>
  <si>
    <t>10661 Strehimi social</t>
  </si>
  <si>
    <t>10770 Ndihma ekonomike</t>
  </si>
  <si>
    <t>Funksionet e veta</t>
  </si>
  <si>
    <t>Funksionet e deleguara a</t>
  </si>
  <si>
    <t>Funskionet e deleguara b</t>
  </si>
  <si>
    <t>Aktiviteti i ri</t>
  </si>
  <si>
    <t>Aktivitet në vazhdim</t>
  </si>
  <si>
    <t>TË ARDHURA TË TJERA (I)</t>
  </si>
  <si>
    <t>11 Të tjera fonde të vetat</t>
  </si>
  <si>
    <t>12 Rezultati operativ nga periudhat e mëparshme</t>
  </si>
  <si>
    <t>16 Huamarrja / Huamarrja kapitale</t>
  </si>
  <si>
    <t>70 TAKSA DHE KONTRIBUTET E DETYRUESHME (TARIFA)</t>
  </si>
  <si>
    <t>70A TAKSA</t>
  </si>
  <si>
    <t>70B TARIFA (I)</t>
  </si>
  <si>
    <t>70C TARIFA (II)</t>
  </si>
  <si>
    <t>TË ARDHURA TË TJERA (II)</t>
  </si>
  <si>
    <t>71 Të ardhura të tjera të vetat</t>
  </si>
  <si>
    <t>72 Transferta</t>
  </si>
  <si>
    <t>Niveli 4-t</t>
  </si>
  <si>
    <t>Fondi Rezervë</t>
  </si>
  <si>
    <t>Të ardhurat nga shitja e mjeteve financiare</t>
  </si>
  <si>
    <t>Taksa e të ardhurave nga Interesat</t>
  </si>
  <si>
    <t>Taksa e të ardhurave nga renda</t>
  </si>
  <si>
    <t>Taksa vendore mbi të ardhurat vetjake, taksa mbi të ardhruat e krijuara nga dhuratat, trashëgimi, testament dhe llotaritë vendore</t>
  </si>
  <si>
    <t>Taska mbi tokën bujqësore</t>
  </si>
  <si>
    <t>Tatimi nga rivlerësimi i pasurisë së personit juridik (3%)</t>
  </si>
  <si>
    <t>Tatimi nga rivlerësimi i pasurisë së personit juridik (5%)</t>
  </si>
  <si>
    <t>Tatimi nga rivlerësimi i pasurisë së individëve (1%)</t>
  </si>
  <si>
    <t>Taksa e shërbimit hotelier</t>
  </si>
  <si>
    <t>Taksa të përkohëshme</t>
  </si>
  <si>
    <t>Taksa të tjera mbi kalimin e të drejtës së pronësisë / pasuri të luajtshme</t>
  </si>
  <si>
    <t>Tarifa e regjistrimit për kopshtin</t>
  </si>
  <si>
    <t>Tarifë për aktet administrative</t>
  </si>
  <si>
    <t>Të ardhurat nga qiraja e pajisjeve</t>
  </si>
  <si>
    <t>Të ardhura nga kopshtet</t>
  </si>
  <si>
    <t>Të ardhura nga printimet</t>
  </si>
  <si>
    <t>SHQIP</t>
  </si>
  <si>
    <t>Shërbimet e Përgjithshme Publike</t>
  </si>
  <si>
    <t>Planifikimi Menaxhimi dhe Administrimi</t>
  </si>
  <si>
    <t>Çështje financiare dhe fiskale</t>
  </si>
  <si>
    <t>Rezerva dhe Fondi i Kontingjencës</t>
  </si>
  <si>
    <t>Gjendja civile</t>
  </si>
  <si>
    <t>Pagesa për shërbimin e borxhit të brendshëm</t>
  </si>
  <si>
    <t>Rendi dhe Siguria Publike</t>
  </si>
  <si>
    <t>Shërbimet Policore</t>
  </si>
  <si>
    <t>Shërbimet e Policisë Vendore</t>
  </si>
  <si>
    <t>Shërbimet e mbrojtjes ndaj zjarrit</t>
  </si>
  <si>
    <t>Supervizionimi administrativ lokal</t>
  </si>
  <si>
    <t>Çështjet ekonomike</t>
  </si>
  <si>
    <t>Çështjet e përgjithshme ekonomike, tregtare dhe të punës</t>
  </si>
  <si>
    <t>Promovimi i biznesit lokal</t>
  </si>
  <si>
    <t>Mbështetja e Zhvillimit rajonal</t>
  </si>
  <si>
    <t>Bujqësia, pyjet, peshkimi dhe gjuetia</t>
  </si>
  <si>
    <t>Këshillimi Bujqësor</t>
  </si>
  <si>
    <t>Veterineria</t>
  </si>
  <si>
    <t>Transporti</t>
  </si>
  <si>
    <t>Studimi i rrugëve</t>
  </si>
  <si>
    <t>Transporti publik</t>
  </si>
  <si>
    <t>Industri të tjera</t>
  </si>
  <si>
    <t>Mbrojtja e mjedisit</t>
  </si>
  <si>
    <t>Menaxhimi i mbetjeve</t>
  </si>
  <si>
    <t>Menaxhimi i Ujërave të zeza</t>
  </si>
  <si>
    <t>Reduktimi i ndotjes</t>
  </si>
  <si>
    <t>Programet e mbrojtjes së mjedisit</t>
  </si>
  <si>
    <t>Strehimi dhe komoditetet e komunitetit</t>
  </si>
  <si>
    <t>Planifikimi urban dhe strehimi</t>
  </si>
  <si>
    <t>Zhvillimi i komunitetit</t>
  </si>
  <si>
    <t>Programet e zhvillimit</t>
  </si>
  <si>
    <t>Furnizimi me ujë</t>
  </si>
  <si>
    <t>Ndriçimi i rrugëve</t>
  </si>
  <si>
    <t>Shëndetësia</t>
  </si>
  <si>
    <t>Shërbimet rekreative dhe sportive</t>
  </si>
  <si>
    <t>Parqet</t>
  </si>
  <si>
    <t>Shërbimet kulturore</t>
  </si>
  <si>
    <t>Arti dhe kultura</t>
  </si>
  <si>
    <t>Arsimi</t>
  </si>
  <si>
    <t>Arsimi bazë dhe parashkollor</t>
  </si>
  <si>
    <t>Mësuesit e kopshteve dhe pagat e stafit mbështetës</t>
  </si>
  <si>
    <t>Ushqimi i kopshteve</t>
  </si>
  <si>
    <t>Pagat e stafit mbështetës</t>
  </si>
  <si>
    <t>Shërbimet plotësuese në arsim</t>
  </si>
  <si>
    <t xml:space="preserve">Programe arsimore për trajnimin e mësuesve dhe edukatorëve </t>
  </si>
  <si>
    <t>Mbrojtja sociale</t>
  </si>
  <si>
    <t>Të moshuarit</t>
  </si>
  <si>
    <t>Sigurimi shoqëror</t>
  </si>
  <si>
    <t>Kujdesi social për familjet dhe fëmijët</t>
  </si>
  <si>
    <t>Përfshirja sociale</t>
  </si>
  <si>
    <t>Papunësia</t>
  </si>
  <si>
    <t>Strehimi social</t>
  </si>
  <si>
    <t>Ndihma Ekonomike</t>
  </si>
  <si>
    <t>09232</t>
  </si>
  <si>
    <t xml:space="preserve">Muzetë, teatrot dhe eventet kulturore </t>
  </si>
  <si>
    <t>Struktura</t>
  </si>
  <si>
    <t>Vlerësimi më i mirë i trendit</t>
  </si>
  <si>
    <t>Intervali i besimit të ulët</t>
  </si>
  <si>
    <t>Intervali i besimit të lartë</t>
  </si>
  <si>
    <t>Vlerësimi i buxhetit</t>
  </si>
  <si>
    <t>Rezultatet e viteve të kaluara</t>
  </si>
  <si>
    <t>01310</t>
  </si>
  <si>
    <t>Planifikimi i përgjithshëm dhe Shërbimet Statistikore</t>
  </si>
  <si>
    <t>General Planning and Statistical Services</t>
  </si>
  <si>
    <t>01320</t>
  </si>
  <si>
    <t>Shërbime të tjera të përgjithshme</t>
  </si>
  <si>
    <t>Other general services</t>
  </si>
  <si>
    <t>03280</t>
  </si>
  <si>
    <t>Mbrotja nga zjarri dhe mbrojtja civile</t>
  </si>
  <si>
    <t>03600</t>
  </si>
  <si>
    <t>Marrdheniet me komunitetin</t>
  </si>
  <si>
    <t>04110</t>
  </si>
  <si>
    <t xml:space="preserve">Çështjet e përgjithshme ekonomike dhe tregtare </t>
  </si>
  <si>
    <t>General economic and trade issues</t>
  </si>
  <si>
    <t>Mbështetje për zhvillimin ekonomik</t>
  </si>
  <si>
    <t>Support for economic development</t>
  </si>
  <si>
    <t>04160</t>
  </si>
  <si>
    <t>Shërbimet e tregjeve, akreditimi dhe inspektimi</t>
  </si>
  <si>
    <t>Market services, accreditation and inspection</t>
  </si>
  <si>
    <t>04220</t>
  </si>
  <si>
    <t>Shërbimet bujqësore, inspektimi, ushqimi dhe mbrojtja e konsumatoreve</t>
  </si>
  <si>
    <t>Agricultural services, inspection, food and consumer protection</t>
  </si>
  <si>
    <t>04520</t>
  </si>
  <si>
    <t>04740</t>
  </si>
  <si>
    <t>Projekte Zhvillimi</t>
  </si>
  <si>
    <t>04760</t>
  </si>
  <si>
    <t>05200</t>
  </si>
  <si>
    <t>Ndërgjegjësimi mjedisor</t>
  </si>
  <si>
    <t xml:space="preserve">Environmental awareness </t>
  </si>
  <si>
    <t>Administrimi i resurseve ujore</t>
  </si>
  <si>
    <t>Sherbime publike vendore</t>
  </si>
  <si>
    <t>06330</t>
  </si>
  <si>
    <t>08130</t>
  </si>
  <si>
    <t>09120</t>
  </si>
  <si>
    <t>Basic education including the pre-school education system</t>
  </si>
  <si>
    <t>TOTALI I FONDEVE REZERVE + KONTIGJENCË</t>
  </si>
  <si>
    <t>Rekreacioni</t>
  </si>
  <si>
    <t>09230</t>
  </si>
  <si>
    <t>Arsimi i mesëm i përgjithshëm</t>
  </si>
  <si>
    <t>Arsimi profesional</t>
  </si>
  <si>
    <t>056 Mbrojtja e mjedisit</t>
  </si>
  <si>
    <t xml:space="preserve">01311 Planifikimi i territorit </t>
  </si>
  <si>
    <t>(F6) SHPENZIMET SIPAS FUNKSIONIT - VLERA BRUTO</t>
  </si>
  <si>
    <t>General Secondary Education</t>
  </si>
  <si>
    <t>Nënfunksioni 1</t>
  </si>
  <si>
    <t>Nënfunksioni 2</t>
  </si>
  <si>
    <t>Nënfunksioni 3</t>
  </si>
  <si>
    <t>Nënfunksioni 4</t>
  </si>
  <si>
    <t>Nënfunksioni 5</t>
  </si>
  <si>
    <t>Nënfunksioni 6</t>
  </si>
  <si>
    <t>Nënfunksioni 7</t>
  </si>
  <si>
    <t>Nënfunksioni 8</t>
  </si>
  <si>
    <t>Nënfunksioni 9</t>
  </si>
  <si>
    <t>Nënfunksioni 10</t>
  </si>
  <si>
    <t>Nënfunksioni 11</t>
  </si>
  <si>
    <t>Nënfunksioni 12</t>
  </si>
  <si>
    <t>Nënfunksioni 13</t>
  </si>
  <si>
    <t>Nënfunksioni 14</t>
  </si>
  <si>
    <t>Nënfunksioni 15</t>
  </si>
  <si>
    <t>Nënfunksioni 16</t>
  </si>
  <si>
    <t>Nënfunksioni 17</t>
  </si>
  <si>
    <t>Nënfunksioni 18</t>
  </si>
  <si>
    <t>Nënfunksioni 19</t>
  </si>
  <si>
    <t>Nënfunksioni 21</t>
  </si>
  <si>
    <t>Nënfunksioni 20</t>
  </si>
  <si>
    <t>Nënfunksioni 22</t>
  </si>
  <si>
    <t>Nënfunksioni 23</t>
  </si>
  <si>
    <t>Nënfunksioni 24</t>
  </si>
  <si>
    <t>Nënfunksioni 25</t>
  </si>
  <si>
    <t>Nënfunksioni 26</t>
  </si>
  <si>
    <t>Nënfunksioni 27</t>
  </si>
  <si>
    <t>Nënfunksioni 29</t>
  </si>
  <si>
    <t>Emri i Nënfunksionit</t>
  </si>
  <si>
    <t>Programi 1a</t>
  </si>
  <si>
    <t>Programi 1b</t>
  </si>
  <si>
    <t>Programi 1c</t>
  </si>
  <si>
    <t>Programi 1d</t>
  </si>
  <si>
    <t>Programi 1e</t>
  </si>
  <si>
    <t>Programi 1f</t>
  </si>
  <si>
    <t>Programi 2a</t>
  </si>
  <si>
    <t>Programi 2b</t>
  </si>
  <si>
    <t>Programi 2c</t>
  </si>
  <si>
    <t>Programi 2d</t>
  </si>
  <si>
    <t>Programi 2e</t>
  </si>
  <si>
    <t>Programi 3a</t>
  </si>
  <si>
    <t>Programi 3b</t>
  </si>
  <si>
    <t>Programi 3c</t>
  </si>
  <si>
    <t>Programi 4a</t>
  </si>
  <si>
    <t>Programi 4b</t>
  </si>
  <si>
    <t>Programi 4c</t>
  </si>
  <si>
    <t>Programi 5a</t>
  </si>
  <si>
    <t>Programi 5b</t>
  </si>
  <si>
    <t>Programi 5c</t>
  </si>
  <si>
    <t>Programi 6a</t>
  </si>
  <si>
    <t>Programi 6b</t>
  </si>
  <si>
    <t>Programi 6c</t>
  </si>
  <si>
    <t>Programi 6d</t>
  </si>
  <si>
    <t>Programi 6e</t>
  </si>
  <si>
    <t>Programi 6f</t>
  </si>
  <si>
    <t>Programi 7a</t>
  </si>
  <si>
    <t>Programi 7b</t>
  </si>
  <si>
    <t>Programi 7c</t>
  </si>
  <si>
    <t>Programi 7d</t>
  </si>
  <si>
    <t>Programi 7e</t>
  </si>
  <si>
    <t>Programi 7f</t>
  </si>
  <si>
    <t>Programi 8a</t>
  </si>
  <si>
    <t>Programi 8b</t>
  </si>
  <si>
    <t>Programi 8c</t>
  </si>
  <si>
    <t>Programi 8d</t>
  </si>
  <si>
    <t>Programi 9a</t>
  </si>
  <si>
    <t>Programi 9b</t>
  </si>
  <si>
    <t>Programi 9c</t>
  </si>
  <si>
    <t>Programi 9d</t>
  </si>
  <si>
    <t>Programi 10a</t>
  </si>
  <si>
    <t>Programi 10b</t>
  </si>
  <si>
    <t>Programi 10c</t>
  </si>
  <si>
    <t>Programi 11a</t>
  </si>
  <si>
    <t>Programi 11b</t>
  </si>
  <si>
    <t>Programi 11c</t>
  </si>
  <si>
    <t>Programi 12a</t>
  </si>
  <si>
    <t>Programi 12b</t>
  </si>
  <si>
    <t>Programi 12c</t>
  </si>
  <si>
    <t>Programi 13a</t>
  </si>
  <si>
    <t>Programi 13b</t>
  </si>
  <si>
    <t>Programi 13c</t>
  </si>
  <si>
    <t>Programi 14a</t>
  </si>
  <si>
    <t>Programi 14b</t>
  </si>
  <si>
    <t>Programi 14c</t>
  </si>
  <si>
    <t>Programi 15a</t>
  </si>
  <si>
    <t>Programi 15b</t>
  </si>
  <si>
    <t>Programi 15c</t>
  </si>
  <si>
    <t>Programi 16a</t>
  </si>
  <si>
    <t>Programi 16b</t>
  </si>
  <si>
    <t>Programi 16c</t>
  </si>
  <si>
    <t>Programi 17a</t>
  </si>
  <si>
    <t>Programi 17b</t>
  </si>
  <si>
    <t>Programi 17c</t>
  </si>
  <si>
    <t>Programi 18a</t>
  </si>
  <si>
    <t>Programi 18b</t>
  </si>
  <si>
    <t>Programi 18c</t>
  </si>
  <si>
    <t>Programi 19a</t>
  </si>
  <si>
    <t>Programi 19b</t>
  </si>
  <si>
    <t>Programi 19c</t>
  </si>
  <si>
    <t>Programi 20a</t>
  </si>
  <si>
    <t>Programi 20b</t>
  </si>
  <si>
    <t>Programi 20c</t>
  </si>
  <si>
    <t>Programi 20d</t>
  </si>
  <si>
    <t>Programi 21a</t>
  </si>
  <si>
    <t>Programi 21b</t>
  </si>
  <si>
    <t>Programi 21c</t>
  </si>
  <si>
    <t>Programi 21d</t>
  </si>
  <si>
    <t>Programi 22a</t>
  </si>
  <si>
    <t>Programi 22b</t>
  </si>
  <si>
    <t>Programi 22c</t>
  </si>
  <si>
    <t>Programi 22d</t>
  </si>
  <si>
    <t>Programi 23a</t>
  </si>
  <si>
    <t>Programi 23b</t>
  </si>
  <si>
    <t>Programi 23c</t>
  </si>
  <si>
    <t>Programi 24a</t>
  </si>
  <si>
    <t>Programi 24b</t>
  </si>
  <si>
    <t>Programi 24c</t>
  </si>
  <si>
    <t>Programi 25a</t>
  </si>
  <si>
    <t>Programi 25b</t>
  </si>
  <si>
    <t>Programi 25c</t>
  </si>
  <si>
    <t>Programi 26a</t>
  </si>
  <si>
    <t>Programi 26b</t>
  </si>
  <si>
    <t>Programi 26c</t>
  </si>
  <si>
    <t>Programi 27a</t>
  </si>
  <si>
    <t>Programi 27b</t>
  </si>
  <si>
    <t>Programi 27c</t>
  </si>
  <si>
    <t>Programi 28a</t>
  </si>
  <si>
    <t>Programi 28b</t>
  </si>
  <si>
    <t>Programi 28c</t>
  </si>
  <si>
    <t>Programi 29a</t>
  </si>
  <si>
    <t>Programi 29b</t>
  </si>
  <si>
    <t>Programi 29c</t>
  </si>
  <si>
    <t>Programi:  detyrueshme / shtesë</t>
  </si>
  <si>
    <t>Programi: I veti / I deleguar / Transferuar</t>
  </si>
  <si>
    <t>(B3) PROGRAME PËR NËNFUNKSIONE DHE FUNKSIONE</t>
  </si>
  <si>
    <t>(F3) GRAFIKU I SHPENZIMEVE SIPAS NËNFUNKSIONIT - VLERA BRUTO</t>
  </si>
  <si>
    <t>(F5) GRAFIKU I SHPENZIMEVE SIPAS NËNFUNKSIONIT - VLERA NETO</t>
  </si>
  <si>
    <t>(F7) GRAFIKU I SHPENZIMEVE SIPAS FUNKSIONIT - VLERA BRUTO</t>
  </si>
  <si>
    <t>053 Reduktimi i ndotjes</t>
  </si>
  <si>
    <t>(F8) SHPENZIMET SIPAS TIPIT TË PROGRAMIT - VLERA BRUTO</t>
  </si>
  <si>
    <t>(F9) GRAFIKU I SHPENZIMEVE SIPAS TIPIT TË PROGRAMIT - VLERA BRUTO</t>
  </si>
  <si>
    <t>Trasferta Specifike</t>
  </si>
  <si>
    <t>Të ardhura me destinacion</t>
  </si>
  <si>
    <t>Totali I transfertave të kushtëzuara+transfertat specifike+të ardhurat e trashëguara me destinacion</t>
  </si>
  <si>
    <t>VLERËSIMI I TË ARDHURAVE ME DESTINACION</t>
  </si>
  <si>
    <t>SHPENZIME KORRENTE</t>
  </si>
  <si>
    <t>(E1) VLERËSIMI I BURIMEVE BUXHETORE</t>
  </si>
  <si>
    <t>(F2) SHPENZIMET SIPAS NËNFUNKSIONIT DHE PROGRAMIT - VLERA BRUTO</t>
  </si>
  <si>
    <t>(F4) SHPENZIMET SIPAS NËNFUNKSIONIT DHE PROGRAMIT - VLERA NETO</t>
  </si>
  <si>
    <t>(F15) SHPENZIMET KAPITALE SIPAS PROGRAMEVE</t>
  </si>
  <si>
    <t>Norma e detyrimeve të prapambetura ndaj totalit të të ardhurave</t>
  </si>
  <si>
    <t>E3</t>
  </si>
  <si>
    <t>(E3)LISTA EMERORE E PROJEKTEVE TE INVESTIMEVE</t>
  </si>
  <si>
    <t>Vlera e kontratës</t>
  </si>
  <si>
    <t>The value of the contract</t>
  </si>
  <si>
    <t xml:space="preserve">(E3)LIST OF INVESTMENT PROJECTS </t>
  </si>
  <si>
    <t>Emërtimi i projektit</t>
  </si>
  <si>
    <t>Name of project</t>
  </si>
  <si>
    <t>01170</t>
  </si>
  <si>
    <t>Menaxhimi i Infrastruktuës së ujitjes dhe kullimit</t>
  </si>
  <si>
    <t>Administrimi i pyjeve dhe kullotave</t>
  </si>
  <si>
    <t>Infrastructure Management Irrigation and Drainage</t>
  </si>
  <si>
    <t>Administration of forests and pastures</t>
  </si>
  <si>
    <t>Rrjeti rrugor rural</t>
  </si>
  <si>
    <t>Rural road network</t>
  </si>
  <si>
    <t>Zhvillimi i turizmit</t>
  </si>
  <si>
    <t>Tourism development</t>
  </si>
  <si>
    <t>Menaxhimi i ujrave të zeza dhe kanalizimeve</t>
  </si>
  <si>
    <t>06 Strehimi dhe Komoditetet e Komunitetit</t>
  </si>
  <si>
    <t>Planifikimi Urban Vendor</t>
  </si>
  <si>
    <t>Local urban planing</t>
  </si>
  <si>
    <t xml:space="preserve">Furnizimi me ujë </t>
  </si>
  <si>
    <t>Ndriçim rrugësh</t>
  </si>
  <si>
    <t>Shërbimet e kujdesit parësor</t>
  </si>
  <si>
    <t>Argëtimi, kultura dhe feja</t>
  </si>
  <si>
    <t>Sport dhe argëtim</t>
  </si>
  <si>
    <t>08 Argëtimi, Kultura dhe Feja</t>
  </si>
  <si>
    <t>Trashëgimia kulturore, eventet artistike dhe kulturore</t>
  </si>
  <si>
    <t>Cultural heritage, artistic and cultural events</t>
  </si>
  <si>
    <t>Arsimi bazë përfshirë arsimin parashkollor.</t>
  </si>
  <si>
    <t>Kujdesi social për personat e sëmurë dhe me aftësi të kufizuara</t>
  </si>
  <si>
    <t>Familja dhe fëmijët</t>
  </si>
  <si>
    <t>Papunësia, arsim dhe aftësim</t>
  </si>
  <si>
    <t>10661</t>
  </si>
  <si>
    <t>017</t>
  </si>
  <si>
    <t>Shërbime të  huamarrjes vendore</t>
  </si>
  <si>
    <t>Local borrowing services</t>
  </si>
  <si>
    <t>01130</t>
  </si>
  <si>
    <t>General Public Services</t>
  </si>
  <si>
    <t>Sherbime të pergjithshme publike</t>
  </si>
  <si>
    <t>Civil Status</t>
  </si>
  <si>
    <t>Organet ekzekutive dhe legjislative, per  Çështjet financiare dhe fiskale, Çështjet e brendshme</t>
  </si>
  <si>
    <t>017 Shërbime të  huamarrjes vendore</t>
  </si>
  <si>
    <t>017 Local borrowing services</t>
  </si>
  <si>
    <t>031 Shërbimet Policore</t>
  </si>
  <si>
    <t>032 Shërbimet e mbrojtjes ndaj zjarrit</t>
  </si>
  <si>
    <t>Sëmundje dhe paaftësi</t>
  </si>
  <si>
    <t>106 Strehimi social</t>
  </si>
  <si>
    <t>036 Marrdheniet me komunitetin</t>
  </si>
  <si>
    <t>036 Community relations</t>
  </si>
  <si>
    <t>072 Primery health services</t>
  </si>
  <si>
    <t>Naim</t>
  </si>
  <si>
    <t>011 Organet ekzekutive dhe legjislative, për çështjet financiare dhe fiskale, çështjet e brendshme</t>
  </si>
  <si>
    <t xml:space="preserve">072 Shërbimet e kujdesit parësor </t>
  </si>
  <si>
    <t>061 Urbanistika</t>
  </si>
  <si>
    <t>092 Arsimi  parauniversitar</t>
  </si>
  <si>
    <t>Urbanistika</t>
  </si>
  <si>
    <t>Arsimi parauniversitar</t>
  </si>
  <si>
    <t>Tarife per mirembajtjen e varezave</t>
  </si>
  <si>
    <t>A.3.4.4</t>
  </si>
  <si>
    <t>Zhenika Loli</t>
  </si>
  <si>
    <t>29.05.2017</t>
  </si>
  <si>
    <t>Firma "PASTER"</t>
  </si>
  <si>
    <t>Firma 'PAQE"</t>
  </si>
  <si>
    <t>10.08.2010</t>
  </si>
  <si>
    <t>28.02.2013</t>
  </si>
  <si>
    <t>Shpetim Spaho</t>
  </si>
  <si>
    <t>30.12.2010</t>
  </si>
  <si>
    <t>10.03.2011</t>
  </si>
  <si>
    <t>Rajmonda Poreci</t>
  </si>
  <si>
    <t>Irfan Kadilli</t>
  </si>
  <si>
    <t>30.09.2014</t>
  </si>
  <si>
    <t>25.11.2011</t>
  </si>
  <si>
    <t>04.10.2011</t>
  </si>
  <si>
    <t>REAN 95</t>
  </si>
  <si>
    <t>31.03.2013</t>
  </si>
  <si>
    <t>30.06.2013</t>
  </si>
  <si>
    <t>Elisaveta Prifti</t>
  </si>
  <si>
    <t>GULIED</t>
  </si>
  <si>
    <t>Syrja Mucllari</t>
  </si>
  <si>
    <t>Pogradec</t>
  </si>
  <si>
    <t>Irsa Karapança</t>
  </si>
  <si>
    <t>Rr. " Reshit Çollaku"</t>
  </si>
  <si>
    <t xml:space="preserve">Mur mbajtes lumi Geshtenjas      </t>
  </si>
  <si>
    <t xml:space="preserve">Rikonstruksion  " Rruga  Industriale  Tregu"   </t>
  </si>
  <si>
    <t>Rikonstruksion  "  Ura   fshati Verdove"</t>
  </si>
  <si>
    <t>Rikonstruksion  shkolla  " Kozma  Basho"</t>
  </si>
  <si>
    <t xml:space="preserve">Rehabilitim rrjeti Ujites ne rezervuarin Luadhi I Celos </t>
  </si>
  <si>
    <t xml:space="preserve">Rehabilitim kanali ujites  Krasta e Paxhves-Shkolla Blace </t>
  </si>
  <si>
    <t xml:space="preserve">Rehabilitim kanali ujites e rezervuari nr 1  Stropcke -Plloce </t>
  </si>
  <si>
    <t>Ndertim ure fshati Selishte</t>
  </si>
  <si>
    <t>Ndertim ure fshati Niçë</t>
  </si>
  <si>
    <t>Sistemim  rruga "Prroi Çaprazit"</t>
  </si>
  <si>
    <t>"Sistemim asfaltim rruga kryesore e rruget e brendshme fshati Udenisht"</t>
  </si>
  <si>
    <t>Sistemim varrezat  Gurras</t>
  </si>
  <si>
    <t>Rikonstruksion Sheshi tek qendra shendetsore"</t>
  </si>
  <si>
    <t>Riparim mur rrethues  shkolla 9-vjecare Verdove&amp; kanalet e ujrave te bardha rreth saj</t>
  </si>
  <si>
    <t>Permiresim I kushteve te banimit komuniteti rom</t>
  </si>
  <si>
    <t>Rehabilitim kanali ujites ura Leshnice Çerave</t>
  </si>
  <si>
    <t>Rehabilitim rezervuari Frangovishte+Hykollaret</t>
  </si>
  <si>
    <t>Sistemim rruge blloku tek stadiumi      ????</t>
  </si>
  <si>
    <t>Mbikqyrje Rikonstruksion  " Rruga  Tushemisht'</t>
  </si>
  <si>
    <t>Mbikqyrje Rikonstruksion  " Rruga  Lin'</t>
  </si>
  <si>
    <t>Sistemim  rruga e varrezave Blace</t>
  </si>
  <si>
    <t>Sistemim rrugesh  Blloku "Gorice"</t>
  </si>
  <si>
    <t>Sistemim  rruga e varrezave Gurras</t>
  </si>
  <si>
    <t>Shtese kontrate ndertesa e sherbimit funeral Gurras</t>
  </si>
  <si>
    <t>Ndertim mur mbajtes Dardhas Osnat (Guri Lalajt)</t>
  </si>
  <si>
    <t>Projektim kanal vadites Selce-Krickove</t>
  </si>
  <si>
    <t>Projektim Rikonst  kanal vaditesRodokal Siper-Rodokal Poshte</t>
  </si>
  <si>
    <t>Projektim rikonst kanal vaditesRodokal  Bishnice Slabinje</t>
  </si>
  <si>
    <t>Projektim sistemim ujrat e zeza Proptisht</t>
  </si>
  <si>
    <t>Blerje pompa uji Petrushe e Qershize</t>
  </si>
  <si>
    <t>Mbikqyrje punimesh rik rrjeti brenda ujesj Udenisht</t>
  </si>
  <si>
    <t>Mbikqyrje punimesh shkolla Remenj</t>
  </si>
  <si>
    <t>Pritat e lumenjve(lumi  Verdoves)</t>
  </si>
  <si>
    <t>Rehabilitim I shkolles" M.Collaku"</t>
  </si>
  <si>
    <t>Rehabilitim&amp;perforcim  banesa ekzistuse kolektive</t>
  </si>
  <si>
    <t>Sistemim blloku tek ish Ferma  Loti I (1360224)</t>
  </si>
  <si>
    <t>Linja e jashtme e Ujesj  "Uji zi -dalja e tunelit</t>
  </si>
  <si>
    <t>vrojtim e sinjalizim me kamra ,sist alarmi e akses kontrolli</t>
  </si>
  <si>
    <t>Shtese kontrate "sistemim rruge  blloku  1  Trekendshi"</t>
  </si>
  <si>
    <t>Ujesjellsi Rodokal-Golik</t>
  </si>
  <si>
    <t>Rehabilitim shkolla 9-vjecare "S.Zgjani"</t>
  </si>
  <si>
    <t>PAERA</t>
  </si>
  <si>
    <t>Novatech studio</t>
  </si>
  <si>
    <t>Kombi Shpk</t>
  </si>
  <si>
    <t>ZHUDI</t>
  </si>
  <si>
    <t>LARTI</t>
  </si>
  <si>
    <t>Petrit Murizi</t>
  </si>
  <si>
    <t>07.9.2011</t>
  </si>
  <si>
    <t>02.9.2011</t>
  </si>
  <si>
    <t>24.2.2011</t>
  </si>
  <si>
    <t>29.5.2012</t>
  </si>
  <si>
    <t>11.3.2011</t>
  </si>
  <si>
    <t>Honorare</t>
  </si>
  <si>
    <t>11.09.2013</t>
  </si>
  <si>
    <t>10.06.2012</t>
  </si>
  <si>
    <t>01.06.2015</t>
  </si>
  <si>
    <t xml:space="preserve">Dorian  Hila </t>
  </si>
  <si>
    <t xml:space="preserve">Promo -Print </t>
  </si>
  <si>
    <t xml:space="preserve">Renato  Preza </t>
  </si>
  <si>
    <t>Vaskë Gaqi</t>
  </si>
  <si>
    <t>CIP GROUP SHPK</t>
  </si>
  <si>
    <t>17.09.2011</t>
  </si>
  <si>
    <t>09.04.2012</t>
  </si>
  <si>
    <t>17.06.2015</t>
  </si>
  <si>
    <t>16.09.2010</t>
  </si>
  <si>
    <t>Promo Print</t>
  </si>
  <si>
    <t>Albert Cekani</t>
  </si>
  <si>
    <t>Desi-A</t>
  </si>
  <si>
    <t>Fondacioni Dritan Hoxha</t>
  </si>
  <si>
    <t>Sherbimi Mbr nga Zjarri</t>
  </si>
  <si>
    <t>Sporti</t>
  </si>
  <si>
    <t>Kultura</t>
  </si>
  <si>
    <t>Qendra Arsimore</t>
  </si>
  <si>
    <t>Dr. Sherb. Sociale</t>
  </si>
  <si>
    <t>062 Menaxhimi i i mbetjeve</t>
  </si>
  <si>
    <t>eshte shtuar 10.000.000 me urdher te Irses</t>
  </si>
  <si>
    <t>jane bere ndrysh 2019-2020</t>
  </si>
  <si>
    <t>vl 249.268 duhet zbritur ku eshte shtuar</t>
  </si>
  <si>
    <t>transf e kushtez</t>
  </si>
  <si>
    <t>DREJTORE E EKONOMISE DHE MENAXHIMIT FINANCIAR</t>
  </si>
  <si>
    <t>Irsa KARAPANÇA</t>
  </si>
  <si>
    <t>Reabilitim I lagjes Gani Homcani</t>
  </si>
  <si>
    <t>Reabilitimi bllokut te banimit prane rruges "Abdyl Frasheri"</t>
  </si>
  <si>
    <t>Reabilitimii shesheve ne dykrahet e unazes (prane Sot7)</t>
  </si>
  <si>
    <t>Shkolla 'Muarrem Collaku" perfundimi I punimeve</t>
  </si>
  <si>
    <t>Rrugicat (Perroi Caprazit + Kalaja)</t>
  </si>
  <si>
    <t>Perfundimi I punimeve rruga e Kabashit +20%</t>
  </si>
  <si>
    <t>Lidhja e Ures Zalle torre me rrjetin rrugor</t>
  </si>
  <si>
    <t>Kende lojrash per femije</t>
  </si>
  <si>
    <t>Shatervani ne qender</t>
  </si>
  <si>
    <t>Asfalrim I rruges se Cerraves</t>
  </si>
  <si>
    <t>Rruga e Rodokalit</t>
  </si>
  <si>
    <t>Rikonstruksion + ngrohje Bashkia</t>
  </si>
  <si>
    <t>Rruga e lumit te rremenjit</t>
  </si>
  <si>
    <t>Studime Projektime</t>
  </si>
  <si>
    <t>Pajisje</t>
  </si>
  <si>
    <t>Mbikqyrje Objekti  , Sistemim Vorrezave " GURAS"(1360119)</t>
  </si>
  <si>
    <t>Kolaudim Objekti , Sistemim Vorrezave " GURAS"(1360120)</t>
  </si>
  <si>
    <t>Mbikqyrje Obj.Nd. Sherbimi Funeral Vorrezat " GURAS"(1360122)</t>
  </si>
  <si>
    <t>Kolaudim  Obj.Nd. Sherbimi Funeral Vorrezat " GURAS"(1360123)</t>
  </si>
  <si>
    <t>Mbikq. Shtese kont Ndertesa Sherbimi Funeral  te Vorrezat " GURAS</t>
  </si>
  <si>
    <t>Kol. Shtese kont Ndertesa Sherbimi Funeral  te Vorrezat " GURAS</t>
  </si>
  <si>
    <t>Mbikq. Shtese kont. Sistemim Vorrezave " GURAS"(1360199)</t>
  </si>
  <si>
    <t>Kol Shtese kont. Sistemim Vorrezave " GURAS"(1360200)</t>
  </si>
  <si>
    <t>Mbikeqyrje Rehabilitim /Perforcim banesash ekzistuese kolektive</t>
  </si>
  <si>
    <t>Sistemim Odeoni në Qëndër të Qytetit</t>
  </si>
  <si>
    <t>Mbikeqyrje Sistemim Odeoni në Qëndër të Qytetit</t>
  </si>
  <si>
    <t>Kolaudimi Linja e jasht. ujesjellesit "Uji I Zi -Dalja Tuneli"Bishnice,Nj.A.Vel(1360254)</t>
  </si>
  <si>
    <t>Hidroizolim tarraca Q.Kulturore 1360212</t>
  </si>
  <si>
    <t>Mbikqyrje per Hidroizolim tarraca Q.Kulturore</t>
  </si>
  <si>
    <t>Kolaudim per Hidroizolim tarraca Q.Kulturore</t>
  </si>
  <si>
    <t>Kolaudim obj.Riparim muri rrethues shk 9 vjeç Verdove &amp; kanali i ujerave te bardha rreth saj</t>
  </si>
  <si>
    <t>Rehabilitimi I shkolles se Mesme Gjergj Pekmezi, Pogradec(1360263)</t>
  </si>
  <si>
    <t>Kolaudim Shtese kontrate objekti "Sistemim rrugesh  Blloku 1 " (Trekend)</t>
  </si>
  <si>
    <t>Mbikqyrje per shtese kontrate objekti "Sistemim rruga    e Varrezave Blace"</t>
  </si>
  <si>
    <t xml:space="preserve">Kolaudim per sht kont obj "Sistemim rruga e Varrezave Blace" </t>
  </si>
  <si>
    <t xml:space="preserve">Kolaudim per objektin Sistemim asfaltim rruga  e Varrezave  Gurras </t>
  </si>
  <si>
    <t>Kolaudim objekt "Sistemim rrugesh Blloku 1" (Trekendeshi)</t>
  </si>
  <si>
    <t>Sistemim asfaltim rrugësh blloku I banimit te Rruga e Mokres</t>
  </si>
  <si>
    <t>Mbikeqyrje Sistemim asfaltim rrugësh blloku I banimit te Rruga e Mokres</t>
  </si>
  <si>
    <t>Kolaudim Sistemim asfaltim rrugësh blloku I banimit te Rruga e Mokres</t>
  </si>
  <si>
    <t>Sistemim asfaltim rrugësh blloku I banimit te Rruga e Kabashit</t>
  </si>
  <si>
    <t>Kolaudim Sistemim asfaltim rrugësh blloku I banimit te Rruga e Kabashit</t>
  </si>
  <si>
    <t>Mbikeqyrje Sistemim Blloku Nr. 5, ( Segmenti Jani BASHO)</t>
  </si>
  <si>
    <t>Kolaudim Sistemim Blloku Nr. 5, ( Segmenti Jani BASHO)</t>
  </si>
  <si>
    <t>Ndertim Ura dhe rruga  Zall I Torres, NJ. A. Proptisht</t>
  </si>
  <si>
    <t>Mbikeqyrje Ndertim Ura dhe rruga  Zall I Torres, NJ. A. Proptisht</t>
  </si>
  <si>
    <t>Kolaudim Ndertim Ura dhe rruga  Zall I Torres, NJ. A. Proptisht</t>
  </si>
  <si>
    <t>Mbikeqyrje Shkolla 'Muarrem Collaku" perfundimi I punimeve</t>
  </si>
  <si>
    <t>Kolaudim Shkolla 'Muarrem Collaku" perfundimi I punimeve</t>
  </si>
  <si>
    <t xml:space="preserve">Mbikqyrje per Rehabilitim/Sistemim i rrugicave tek lagjia "Kalaja"   </t>
  </si>
  <si>
    <t>Kolaudim per Rehabilitim/Sistemim i rrugicave tek lagjia "Kalaja"</t>
  </si>
  <si>
    <t>Mbikeqyrje Rikon. sheshi I.Q dhe rruga "Veteranet"(1360097)</t>
  </si>
  <si>
    <t>Kolau. Ndertim Mur mbajtes Rruga Dardhas-Osnat (1360167)</t>
  </si>
  <si>
    <t>Regjistrimi tokave Blace+Kalivac+Proptisht, Piskupat</t>
  </si>
  <si>
    <t>Mbikqyrje e Rikonstruksionit te Teatrit te Kukullave</t>
  </si>
  <si>
    <t>Kolaudim  e Rikonstruksionit te Teatrit te Kukullave</t>
  </si>
  <si>
    <t>Mbikqyrje per nje Shtese fondi tek objekti "Sistemim rrugesh blloku Gorice"</t>
  </si>
  <si>
    <t>Kolaudim  "Pritat e lumenjve"  (Lumi I Verdoves) (1360229)</t>
  </si>
  <si>
    <t>Mbikqyrje Ndertim ura dhe rruga Zalltore Proptisht</t>
  </si>
  <si>
    <t>Kolaudim Ndertim ura dhe rruga Zalltore Proptisht</t>
  </si>
  <si>
    <t>Kolaudim Rikonstruksion I Ures te rruges te Kabashit</t>
  </si>
  <si>
    <t>Rikonstruksion Rruga e Çervenakes,Njesia Administrative Udenisht</t>
  </si>
  <si>
    <t>Pritat e Lumenjve</t>
  </si>
  <si>
    <t>Mbikqyrje Pritat e Lumenjve</t>
  </si>
  <si>
    <t>Kolaudim  Pritat e Lumenjve</t>
  </si>
  <si>
    <t>Mbikqyrje Rikonstruksion Rruga e Çervenakes,Njesia Administrative Udenisht</t>
  </si>
  <si>
    <t>Kolaudim Rikonstruksion Rruga e Çervenakes,Njesia Administrative Udenisht</t>
  </si>
  <si>
    <t>Mbikeqyrje rikonstruksion i banesave ekzistuese</t>
  </si>
  <si>
    <t>Kolaudim  sistemim Odeoni ne qender te Qytetit</t>
  </si>
  <si>
    <t>Mbikqyrje per kryerjen e punimeve te Rehabilitim I shkolles se Mesme Gjergj Pekmezi, Pogradec(1360264)</t>
  </si>
  <si>
    <t>Kolaudim per kryerjen e punimeve te Rehabilitim I shkolles se Mesme Gjergj Pekmezi, Pogradec(1360265)</t>
  </si>
  <si>
    <t>Ndertim mure rrethues -sistemim te oborreve ne institucione shkollore</t>
  </si>
  <si>
    <t>Sistemimi I varrezave te deshmoreve</t>
  </si>
  <si>
    <t>91.878   banore    (te dhena nga Zyra e Gj. Civile)</t>
  </si>
  <si>
    <t>Dr. Juridike   Dr Finances, Dr B.Nj, etj</t>
  </si>
  <si>
    <t>Policia bashkiake</t>
  </si>
  <si>
    <t>Armant Gora</t>
  </si>
  <si>
    <t>Nd. Miremb. Infrast. &amp; Puneve Publike</t>
  </si>
  <si>
    <t>Enton Berberi</t>
  </si>
  <si>
    <t>Nd. Parqeve dhe Rekreacionit</t>
  </si>
  <si>
    <t>Arben Bektasha</t>
  </si>
  <si>
    <t>Klevis Cane</t>
  </si>
  <si>
    <t xml:space="preserve">Eritan Kamolli </t>
  </si>
  <si>
    <t>Anxhela Andoni</t>
  </si>
  <si>
    <t>Lindita Bice</t>
  </si>
  <si>
    <t>Mbikeqyrje Reabilitim I lagjes Gani Homcani</t>
  </si>
  <si>
    <t>Kolaudim Reabilitim I lagjes Gani Homcani</t>
  </si>
  <si>
    <t>Mbikeqyrje Reabilitimi bllokut te banimit prane rruges "Abdyl Frasheri"</t>
  </si>
  <si>
    <t>Kolaudim Reabilitimi bllokut te banimit prane rruges "Abdyl Frasheri"</t>
  </si>
  <si>
    <t>Mbikeqyrje Reabilitimii shesheve ne dykrahet e unazes (prane Sot7)</t>
  </si>
  <si>
    <t>Kolaudim Reabilitimii shesheve ne dykrahet e unazes (prane Sot7)</t>
  </si>
  <si>
    <t>Mbikeqyrje Rrugicat (Perroi Caprazit + Kalaja)</t>
  </si>
  <si>
    <t>Kolaudim Rrugicat (Perroi Caprazit + Kalaja)</t>
  </si>
  <si>
    <t>Mbikeqyrje Perfundimi I punimeve rruga e Kabashit +20%</t>
  </si>
  <si>
    <t>Kolaudim Perfundimi I punimeve rruga e Kabashit +20%</t>
  </si>
  <si>
    <t>Mbikeqyrje Lidhja e Ures Zalle torre me rrjetin rrugor</t>
  </si>
  <si>
    <t>Kolaudim Lidhja e Ures Zalle torre me rrjetin rrugor</t>
  </si>
  <si>
    <t>Mbikeqyrje Asfalrim I rruges se Cerraves</t>
  </si>
  <si>
    <t>Kolaudim Asfalrim I rruges se Cerraves</t>
  </si>
  <si>
    <t>Mbikeqyrje Rruga e Rodokalit</t>
  </si>
  <si>
    <t>Kolaudim Rruga e Rodokalit</t>
  </si>
  <si>
    <t>Mbikeqyrje Kende lojrash per femije</t>
  </si>
  <si>
    <t>Kolaudim Kende lojrash per femije</t>
  </si>
  <si>
    <t>Mbikeqyrje Shatervani ne qender</t>
  </si>
  <si>
    <t>Kolaudim Shatervani ne qender</t>
  </si>
  <si>
    <t>Mbikeqyrje Rikonstruksion + ngrohje Bashkia</t>
  </si>
  <si>
    <t>Kolaudim Rikonstruksion + ngrohje Bashkia</t>
  </si>
  <si>
    <t>Mbikeqyrje Rruga e lumit te rremenjit</t>
  </si>
  <si>
    <t>Kolaudim Rruga e lumit te rremenjit</t>
  </si>
  <si>
    <t xml:space="preserve">Blerje makina </t>
  </si>
  <si>
    <t>Paisje per investim</t>
  </si>
  <si>
    <t>Blerje pompa uji</t>
  </si>
  <si>
    <t>Blerje makina korrse bari</t>
  </si>
  <si>
    <t>Blerje motorrseka</t>
  </si>
  <si>
    <t>Blerje pompa sperkatse</t>
  </si>
  <si>
    <t>Mjete-pune.</t>
  </si>
  <si>
    <t>Makineri(Kamioncine vetshkarkuese- 2Ton)</t>
  </si>
  <si>
    <t>Paisje per oficinen.</t>
  </si>
  <si>
    <t>Blerje soba per ngrohje</t>
  </si>
  <si>
    <t>Minieskavator</t>
  </si>
  <si>
    <t>Bobcat</t>
  </si>
  <si>
    <t>KamioncineVete Shkarkuse 6 vende</t>
  </si>
  <si>
    <t>Kamion me vinc vete shkarkues</t>
  </si>
  <si>
    <t xml:space="preserve">Hartim plani, Mbarshtim dhe menaxhimi ekonomia </t>
  </si>
  <si>
    <t>Fuoristrade 4x4 me karroceri.</t>
  </si>
  <si>
    <t xml:space="preserve">Paisje  zyre </t>
  </si>
  <si>
    <t>Riparim  Ndertesa Stadiumit Kati parë</t>
  </si>
  <si>
    <t xml:space="preserve">Mbikqyrje punimesh </t>
  </si>
  <si>
    <t xml:space="preserve">Kolaudim punimesh </t>
  </si>
  <si>
    <t>Riparim kendi I lojrave me dore (tapeti I fushes)</t>
  </si>
  <si>
    <t>Riparim dhoma kendi I lojrave me dore</t>
  </si>
  <si>
    <t>Blerje instrumentash muzikore, foni, violine, etj.</t>
  </si>
  <si>
    <t>Foni (bokse mixser,mikrofon)</t>
  </si>
  <si>
    <t>Kamera sigurie</t>
  </si>
  <si>
    <t>Blerje kompjuterash,printer,etj</t>
  </si>
  <si>
    <t>Rikonstruksioni aktiveve te muzeut</t>
  </si>
  <si>
    <t xml:space="preserve">Kondicionere per ngrohje </t>
  </si>
  <si>
    <t xml:space="preserve">Blerje pikturash </t>
  </si>
  <si>
    <t xml:space="preserve">Blerje Parketi </t>
  </si>
  <si>
    <t>08140</t>
  </si>
  <si>
    <t>08250</t>
  </si>
  <si>
    <t>Rehabilitim/perforcim banesash ekzistuese</t>
  </si>
  <si>
    <t xml:space="preserve">Mbikeqyrje "Rikonst. Objekte dhe terrene sport te Shk 9 vjecare "Kozma Gjoke Basho" </t>
  </si>
  <si>
    <t>Kol.Rehabilitim Rezervuari Frangovishte+ Hykollaret()</t>
  </si>
  <si>
    <t>Kolaudim Rikonst rruga Industriale (tregu)()</t>
  </si>
  <si>
    <t>Kolaud.Sis.asfaltim rruga kryesore e rruget brendsh. Udenisht</t>
  </si>
  <si>
    <t>Mbikq per  sht kont objekti Sist i Rruges Indru tregu</t>
  </si>
  <si>
    <t>06190</t>
  </si>
  <si>
    <t>06370</t>
  </si>
  <si>
    <t>Mbik. Obj. Shtese kontra"Mur mbajtes lumi Geshtenjas'(1360164)</t>
  </si>
  <si>
    <t>Rikonstruksion  "Blloku  Rinia dhe  Rruga Gent"</t>
  </si>
  <si>
    <t>Rikonstruksion  " Rruga   fshati  Homezh"</t>
  </si>
  <si>
    <t>Rikonstruksion  " Ura   fshati Remenj"</t>
  </si>
  <si>
    <t>Rikonstruksion  " Rruga Agjensia + trotuare  banke"   ( likujd nga detyrime e prapambetura)</t>
  </si>
  <si>
    <t>Blerje eskavator me zinxhir</t>
  </si>
  <si>
    <t>Rikonstruksion  " Rruga Qafa e Losnikut- Velcan"</t>
  </si>
  <si>
    <t xml:space="preserve"> Rikonstruksion  ura Kalivac    </t>
  </si>
  <si>
    <t xml:space="preserve"> Rikonstruksion  rruga Proptisht Slabinje</t>
  </si>
  <si>
    <r>
      <t xml:space="preserve">Rikonstruksion  shk 9 vjecare Laktesh   </t>
    </r>
    <r>
      <rPr>
        <sz val="9"/>
        <rFont val="Calibri"/>
        <family val="2"/>
        <scheme val="minor"/>
      </rPr>
      <t>Lik nga det te prapamb ish komunat</t>
    </r>
  </si>
  <si>
    <t>Hartimi I planit te mbareshtrimit te pyjeve ek pyjore Bishnice</t>
  </si>
  <si>
    <t>Blerje  mjet</t>
  </si>
  <si>
    <t>Paisje muzikore</t>
  </si>
  <si>
    <t>Rikonstruksion  " Ura    Krickove"       ??????</t>
  </si>
  <si>
    <t>Hidroizolim taraca e Q.Kulturore</t>
  </si>
  <si>
    <t>Rehabilitim shkolla e mesme "Gj.Pekmezi"</t>
  </si>
  <si>
    <t>buxh shtese</t>
  </si>
  <si>
    <t>buxh</t>
  </si>
  <si>
    <t xml:space="preserve">Rehabilitim/Sistemim i rrugicave tek lagjia "Kalaja" </t>
  </si>
  <si>
    <t>Sistemim Blloku Nr. 5, ( Segmenti Jani BASHO)</t>
  </si>
  <si>
    <t>Rikonstruksion I Ures te Rruges te Kabashit</t>
  </si>
  <si>
    <t>Superviz per kryerjen e punime terenit</t>
  </si>
  <si>
    <t>Çertifikimi I projekt mbareshtim pyjeve.</t>
  </si>
  <si>
    <t>Kamionçine fuoristrade me karroceri.</t>
  </si>
  <si>
    <t>Veture  Tip Fuoristrade.</t>
  </si>
  <si>
    <t>Blerje soba per ngrohje.</t>
  </si>
  <si>
    <t>Riparim  ndertesa e stadiumit kati pare</t>
  </si>
  <si>
    <t xml:space="preserve">Mbikqyrje  punimesh </t>
  </si>
  <si>
    <t xml:space="preserve">Kualidim  punimesh </t>
  </si>
  <si>
    <t>Riparim taraca ndertesa e stadiumit</t>
  </si>
  <si>
    <t>31.08.2012</t>
  </si>
  <si>
    <t>31.12.2012</t>
  </si>
  <si>
    <t>31.01.2013</t>
  </si>
  <si>
    <t>30.04.2013</t>
  </si>
  <si>
    <t>30.05.2013</t>
  </si>
  <si>
    <t>31.07.2013</t>
  </si>
  <si>
    <t>30.08.2013</t>
  </si>
  <si>
    <t>30.09.2013</t>
  </si>
  <si>
    <t>31.10.2013</t>
  </si>
  <si>
    <t>30.11.2013</t>
  </si>
  <si>
    <t>31.12.2013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</si>
  <si>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</si>
  <si>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</si>
  <si>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</si>
  <si>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</si>
  <si>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</si>
  <si>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</si>
  <si>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</si>
  <si>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30.08.2014</t>
  </si>
  <si>
    <t>31.10.2014</t>
  </si>
  <si>
    <t>30.11.2014</t>
  </si>
  <si>
    <t>31.12.2014</t>
  </si>
  <si>
    <t>16.06.2009</t>
  </si>
  <si>
    <t>10.07.2009</t>
  </si>
  <si>
    <t>10.08.2009</t>
  </si>
  <si>
    <t>10.09.2009</t>
  </si>
  <si>
    <t>10.12.2009</t>
  </si>
  <si>
    <t>10.01.2010</t>
  </si>
  <si>
    <t>10.02.2010</t>
  </si>
  <si>
    <t>10.03.2010</t>
  </si>
  <si>
    <t>10.06.2010</t>
  </si>
  <si>
    <t>10.07.2010</t>
  </si>
  <si>
    <t>10.09.2010</t>
  </si>
  <si>
    <t>10.10.2010</t>
  </si>
  <si>
    <t>10.11.2010</t>
  </si>
  <si>
    <t>10.12.2010</t>
  </si>
  <si>
    <t>10.02.2011</t>
  </si>
  <si>
    <t>10.05.2011</t>
  </si>
  <si>
    <t>05.06.2011</t>
  </si>
  <si>
    <t>10.07.2011</t>
  </si>
  <si>
    <t>10.08.2011</t>
  </si>
  <si>
    <t>10.09.2011</t>
  </si>
  <si>
    <t>RTN MAGIC Spiro Guri</t>
  </si>
  <si>
    <t>Pandi Treska</t>
  </si>
  <si>
    <t>Panorama Grup</t>
  </si>
  <si>
    <t>FANI SHPK</t>
  </si>
  <si>
    <t>Shkelqim Ago</t>
  </si>
  <si>
    <t>27.05.2010</t>
  </si>
  <si>
    <t>12.10.2010</t>
  </si>
  <si>
    <t>09.11.2010</t>
  </si>
  <si>
    <t>31.01.2013-31.05.2015</t>
  </si>
  <si>
    <t>SIGAL</t>
  </si>
  <si>
    <t>Shen Naumi</t>
  </si>
  <si>
    <t>A.Malellari</t>
  </si>
  <si>
    <t>Hard -SOFT</t>
  </si>
  <si>
    <t>Celzi SHPK</t>
  </si>
  <si>
    <t>Celsi DESINGN Publik</t>
  </si>
  <si>
    <t>Odise Mihallari</t>
  </si>
  <si>
    <t>30.09.2011</t>
  </si>
  <si>
    <t>11.01.2011</t>
  </si>
  <si>
    <t>08.03.2011</t>
  </si>
  <si>
    <t>18.03.2011</t>
  </si>
  <si>
    <t>14.09.2011</t>
  </si>
  <si>
    <t>25.04.2011</t>
  </si>
  <si>
    <t xml:space="preserve">Dega e Postes </t>
  </si>
  <si>
    <t>31.01.2013-31.12.2013</t>
  </si>
  <si>
    <t>Shqiponja Trans</t>
  </si>
  <si>
    <t>Stavri Ruvina</t>
  </si>
  <si>
    <t>Erjon Bardhi</t>
  </si>
  <si>
    <t>Altin Kuqo</t>
  </si>
  <si>
    <t>Tring TV</t>
  </si>
  <si>
    <t>Sigal Uniqa Group</t>
  </si>
  <si>
    <t>Enkelana Comunication</t>
  </si>
  <si>
    <t>10.05.2012</t>
  </si>
  <si>
    <t>02.05.2013</t>
  </si>
  <si>
    <t>03.07.2013</t>
  </si>
  <si>
    <t>02.03.2014</t>
  </si>
  <si>
    <t>02.12.2014</t>
  </si>
  <si>
    <t xml:space="preserve">  06.03.2013-09.12.2013  </t>
  </si>
  <si>
    <t>31.12.2012-30.06.2015</t>
  </si>
  <si>
    <t xml:space="preserve">Sotir Sina </t>
  </si>
  <si>
    <t>22.12.2010</t>
  </si>
  <si>
    <t>Dega e Postes Pogradec</t>
  </si>
  <si>
    <t>31.01.2013-31.05.2014</t>
  </si>
  <si>
    <t xml:space="preserve">ADA-CO SH.P.K </t>
  </si>
  <si>
    <t>17.11.2011-15.05.2015</t>
  </si>
  <si>
    <t xml:space="preserve">POSTA  SH.A </t>
  </si>
  <si>
    <t xml:space="preserve">  29.03.2013-30.06.2015</t>
  </si>
  <si>
    <t xml:space="preserve">REJ SH.P.K </t>
  </si>
  <si>
    <t xml:space="preserve">VASIL  XHOGA  </t>
  </si>
  <si>
    <t>BAJAME CAKE</t>
  </si>
  <si>
    <t>ERGTEL</t>
  </si>
  <si>
    <t xml:space="preserve">Rabian Gega </t>
  </si>
  <si>
    <t>Afrim  Zeka</t>
  </si>
  <si>
    <t>Ymerli Dulellari</t>
  </si>
  <si>
    <t>Abisnet</t>
  </si>
  <si>
    <t>24.02.2012</t>
  </si>
  <si>
    <t>16.07.2011</t>
  </si>
  <si>
    <t>27.04.2015</t>
  </si>
  <si>
    <t>21.05.2012</t>
  </si>
  <si>
    <t>05.05.2013</t>
  </si>
  <si>
    <t>31.0.72019</t>
  </si>
  <si>
    <t>30.01.2014-31.12.2014</t>
  </si>
  <si>
    <t>30.11.2013-31.12.2015</t>
  </si>
  <si>
    <t xml:space="preserve">  30.12.2014 -30.05.2015</t>
  </si>
  <si>
    <t>Muratid SHPK</t>
  </si>
  <si>
    <t>Zhobro shpk</t>
  </si>
  <si>
    <t>Enkela Lako</t>
  </si>
  <si>
    <t>Edlir Blaceri</t>
  </si>
  <si>
    <t>Halil Dervishi</t>
  </si>
  <si>
    <t>Kosta Spaho</t>
  </si>
  <si>
    <t>Monika Killo</t>
  </si>
  <si>
    <t>Qemal Jazexhiu</t>
  </si>
  <si>
    <t>Artan Spaho</t>
  </si>
  <si>
    <t>Sefigje Kamberi</t>
  </si>
  <si>
    <t>Margarita Lilo</t>
  </si>
  <si>
    <t>Eleni Pilinçi</t>
  </si>
  <si>
    <t>Metal Product</t>
  </si>
  <si>
    <t>AESS</t>
  </si>
  <si>
    <t>Dhimitraq Cici</t>
  </si>
  <si>
    <t>Evira Biba</t>
  </si>
  <si>
    <t>Albert Ismail</t>
  </si>
  <si>
    <t>KUINDA SHPK</t>
  </si>
  <si>
    <t>Eleni Pilinci</t>
  </si>
  <si>
    <t>Imir Brahollari</t>
  </si>
  <si>
    <t>Dashamir Hoxha</t>
  </si>
  <si>
    <t>Elizaveta Prifti</t>
  </si>
  <si>
    <t>Neki Kreka</t>
  </si>
  <si>
    <t>Ilirjan Postoli</t>
  </si>
  <si>
    <t>Muhamer Hoxhallari</t>
  </si>
  <si>
    <t>SHPK  ERBI-2006</t>
  </si>
  <si>
    <t>Magrip Bana</t>
  </si>
  <si>
    <t>2 ALB</t>
  </si>
  <si>
    <t>SISI=AL</t>
  </si>
  <si>
    <t>Colombo shpk</t>
  </si>
  <si>
    <t>Gentian Sadiku</t>
  </si>
  <si>
    <t>Elektronet</t>
  </si>
  <si>
    <t>Promo- Printu</t>
  </si>
  <si>
    <t>SOT  7</t>
  </si>
  <si>
    <t>Eroil Tirane</t>
  </si>
  <si>
    <t>Xhensila AL</t>
  </si>
  <si>
    <t>Studio Negro</t>
  </si>
  <si>
    <t>Ada -Co</t>
  </si>
  <si>
    <t>Eleni Pilinxhi</t>
  </si>
  <si>
    <t>BLE-ALB SH.P.K</t>
  </si>
  <si>
    <t xml:space="preserve">Dehar Liçkollari </t>
  </si>
  <si>
    <t xml:space="preserve">Krenar Bektasha </t>
  </si>
  <si>
    <t xml:space="preserve">INFOSOFT  TIRANA </t>
  </si>
  <si>
    <t xml:space="preserve">ERJON  MULLA </t>
  </si>
  <si>
    <t xml:space="preserve">NJAZI  UKA </t>
  </si>
  <si>
    <t>SHPRESA DERVISHI</t>
  </si>
  <si>
    <t>KOSTA SPAHIU</t>
  </si>
  <si>
    <t>KOSTA  SPAHIU</t>
  </si>
  <si>
    <t xml:space="preserve">MARJANA MANGERI </t>
  </si>
  <si>
    <t xml:space="preserve">SHPRESA  DERVISHI </t>
  </si>
  <si>
    <t xml:space="preserve">GENTIANA PETANI </t>
  </si>
  <si>
    <t xml:space="preserve">KADIU  SH.A </t>
  </si>
  <si>
    <t xml:space="preserve">Çlirim Rusi </t>
  </si>
  <si>
    <t>Gora</t>
  </si>
  <si>
    <t>Shtypshkronja e Letr.Vlere</t>
  </si>
  <si>
    <t>Malvina Topllari</t>
  </si>
  <si>
    <t>Silvana Bardho</t>
  </si>
  <si>
    <t xml:space="preserve">Infosoft </t>
  </si>
  <si>
    <t>Elvira Biba</t>
  </si>
  <si>
    <t>12.06.2009</t>
  </si>
  <si>
    <t>11.12.2009</t>
  </si>
  <si>
    <t>06.11.2009</t>
  </si>
  <si>
    <t>13.02.2010</t>
  </si>
  <si>
    <t>18.05.2010</t>
  </si>
  <si>
    <t>03.09.2010</t>
  </si>
  <si>
    <t>16.08.2010</t>
  </si>
  <si>
    <t>04.10.2010</t>
  </si>
  <si>
    <t>31.12.2010</t>
  </si>
  <si>
    <t>23.09.2010</t>
  </si>
  <si>
    <t>17.08.2010</t>
  </si>
  <si>
    <t>08.09.2010</t>
  </si>
  <si>
    <t>26.10.2010</t>
  </si>
  <si>
    <t>14.12.2010</t>
  </si>
  <si>
    <t>06.05.2011</t>
  </si>
  <si>
    <t>28.10.2011</t>
  </si>
  <si>
    <t>02.02.2011</t>
  </si>
  <si>
    <t>18.04.2011</t>
  </si>
  <si>
    <t>13.01.2011</t>
  </si>
  <si>
    <t>07.09.2011</t>
  </si>
  <si>
    <t>07.10.2011</t>
  </si>
  <si>
    <t>24.10.2011</t>
  </si>
  <si>
    <t>23.11.2011</t>
  </si>
  <si>
    <t>06.12.2011</t>
  </si>
  <si>
    <t>26.06.2011</t>
  </si>
  <si>
    <t>01.07.2011</t>
  </si>
  <si>
    <t>19.07.2011</t>
  </si>
  <si>
    <t>18.07.2011</t>
  </si>
  <si>
    <t>07.06.2011</t>
  </si>
  <si>
    <t>21.06.2011</t>
  </si>
  <si>
    <t>26.05.2011</t>
  </si>
  <si>
    <t>09.05.2011</t>
  </si>
  <si>
    <t>14.04.2011</t>
  </si>
  <si>
    <t>15.04.2011</t>
  </si>
  <si>
    <t>29.04.2011</t>
  </si>
  <si>
    <t>02.05.2011</t>
  </si>
  <si>
    <t>26.04.2011</t>
  </si>
  <si>
    <t>25.03.2011</t>
  </si>
  <si>
    <t>28.02.2011</t>
  </si>
  <si>
    <t>23.04.2012</t>
  </si>
  <si>
    <t>07.08.2008</t>
  </si>
  <si>
    <t>10.06.2009</t>
  </si>
  <si>
    <t>15.01.2010</t>
  </si>
  <si>
    <t>26.02.2012</t>
  </si>
  <si>
    <t>15.02.2012</t>
  </si>
  <si>
    <t>08.05.2012</t>
  </si>
  <si>
    <t>07.05.2012</t>
  </si>
  <si>
    <t>07.06.2012</t>
  </si>
  <si>
    <t>06.07.2012</t>
  </si>
  <si>
    <t>03.08.2012</t>
  </si>
  <si>
    <t>13.09.2012</t>
  </si>
  <si>
    <t>08.10.2012..</t>
  </si>
  <si>
    <t>09.05.2012</t>
  </si>
  <si>
    <t>07.11.2012</t>
  </si>
  <si>
    <t>12.11.2012</t>
  </si>
  <si>
    <t>13.07.2012</t>
  </si>
  <si>
    <t>30.10.2012</t>
  </si>
  <si>
    <t>03.04.2013</t>
  </si>
  <si>
    <t>05.12.2014</t>
  </si>
  <si>
    <t>24.04.2013</t>
  </si>
  <si>
    <t>10.05.2013</t>
  </si>
  <si>
    <t>06.06.2013</t>
  </si>
  <si>
    <t>05.07.2013</t>
  </si>
  <si>
    <t>09.08.2013</t>
  </si>
  <si>
    <t>05.09.2013</t>
  </si>
  <si>
    <t>07.10.2013</t>
  </si>
  <si>
    <t>29.04.2013</t>
  </si>
  <si>
    <t>08.05.2013</t>
  </si>
  <si>
    <t>04.04.2013</t>
  </si>
  <si>
    <t>27.10.2014</t>
  </si>
  <si>
    <t>01.08.2014</t>
  </si>
  <si>
    <t>12.05.2014</t>
  </si>
  <si>
    <t>19.12.2014</t>
  </si>
  <si>
    <t>07.02.2013</t>
  </si>
  <si>
    <t>26.04.2010</t>
  </si>
  <si>
    <t>20.09.2017</t>
  </si>
  <si>
    <t>18.05.2012</t>
  </si>
  <si>
    <t xml:space="preserve"> 22.06.2012 </t>
  </si>
  <si>
    <t xml:space="preserve"> 9.04.2015 </t>
  </si>
  <si>
    <t xml:space="preserve"> 02.04.2013 </t>
  </si>
  <si>
    <t xml:space="preserve"> 22.04.2012 </t>
  </si>
  <si>
    <t>14.11.2011</t>
  </si>
  <si>
    <t>05.11.2009</t>
  </si>
  <si>
    <t>09.10.2008</t>
  </si>
  <si>
    <t>17.05.2015</t>
  </si>
  <si>
    <t>12.01.2013</t>
  </si>
  <si>
    <t>07.06.2013</t>
  </si>
  <si>
    <t>27.03.2015</t>
  </si>
  <si>
    <t>22.01.2013</t>
  </si>
  <si>
    <t>28.01.2013</t>
  </si>
  <si>
    <t>21.11.2011</t>
  </si>
  <si>
    <t>30.11.2011</t>
  </si>
  <si>
    <t>19.12.2011</t>
  </si>
  <si>
    <t>05.12.2011</t>
  </si>
  <si>
    <t>10.12.2011</t>
  </si>
  <si>
    <t>13.12.2011</t>
  </si>
  <si>
    <t>20.04.2015</t>
  </si>
  <si>
    <t>11.03.2015</t>
  </si>
  <si>
    <t>09.06.2015</t>
  </si>
  <si>
    <t>08.06.2018</t>
  </si>
  <si>
    <t>05.01.2018</t>
  </si>
  <si>
    <t>13.07.2018</t>
  </si>
  <si>
    <t>31.10.2018</t>
  </si>
  <si>
    <t>15.04.2019</t>
  </si>
  <si>
    <t>AGRON  SULO</t>
  </si>
  <si>
    <t>FISNIK RAPÇE</t>
  </si>
  <si>
    <t xml:space="preserve">NOVATECH STUDIO </t>
  </si>
  <si>
    <t>STUDIO SERVICE K-SA</t>
  </si>
  <si>
    <t>G&amp; L shpk</t>
  </si>
  <si>
    <t>NOVATECH STUDIO</t>
  </si>
  <si>
    <t>ERALD-G</t>
  </si>
  <si>
    <t>Konstr B.R.</t>
  </si>
  <si>
    <t>Aldrin shpk</t>
  </si>
  <si>
    <t>V.Xhoga</t>
  </si>
  <si>
    <t>Infinit SH.P.K</t>
  </si>
  <si>
    <t>Gllavenica</t>
  </si>
  <si>
    <t>REJ</t>
  </si>
  <si>
    <t>Lumturi Krasniqi</t>
  </si>
  <si>
    <t>Zenit -06</t>
  </si>
  <si>
    <t xml:space="preserve">Edmond Meçaj </t>
  </si>
  <si>
    <t>ALPA SH.P.K</t>
  </si>
  <si>
    <t>ILDA 2002 SH.P.K</t>
  </si>
  <si>
    <t xml:space="preserve">EDIFAT </t>
  </si>
  <si>
    <t xml:space="preserve">ALPA,ALDOK SHPK </t>
  </si>
  <si>
    <t xml:space="preserve">ADA - CO </t>
  </si>
  <si>
    <t xml:space="preserve">BARJAM  BALLIU </t>
  </si>
  <si>
    <t>ALPA</t>
  </si>
  <si>
    <t>VLLAZNIA  SHPK</t>
  </si>
  <si>
    <t xml:space="preserve">KRENAR BEKTASHA </t>
  </si>
  <si>
    <t xml:space="preserve">EDI FAT </t>
  </si>
  <si>
    <t>ELCA TAFILI</t>
  </si>
  <si>
    <t>LILJANA VLLAMASI</t>
  </si>
  <si>
    <t xml:space="preserve">ALB LEA </t>
  </si>
  <si>
    <t>INVICTUS SHPK</t>
  </si>
  <si>
    <t>Artan Hoxha</t>
  </si>
  <si>
    <t>HCE-17</t>
  </si>
  <si>
    <t>NOVATECH STUDIO SH.P.K</t>
  </si>
  <si>
    <t>REAN 95 Sh.P.K</t>
  </si>
  <si>
    <t>Elsa Tafili</t>
  </si>
  <si>
    <t xml:space="preserve">Banka e Tiranes </t>
  </si>
  <si>
    <t>Keshilli I Qarkut Korce</t>
  </si>
  <si>
    <t>Shoq/permb 616A</t>
  </si>
  <si>
    <t>Kom.bank.SGA</t>
  </si>
  <si>
    <t>Dieta punonjesish</t>
  </si>
  <si>
    <t>Firma Leka</t>
  </si>
  <si>
    <t>Stefan Hila</t>
  </si>
  <si>
    <t>Budjon Hoxha</t>
  </si>
  <si>
    <t xml:space="preserve"> PASTER</t>
  </si>
  <si>
    <t xml:space="preserve"> ALDO</t>
  </si>
  <si>
    <t xml:space="preserve"> PAQE</t>
  </si>
  <si>
    <t xml:space="preserve"> REJ</t>
  </si>
  <si>
    <t xml:space="preserve"> Zhobro</t>
  </si>
  <si>
    <t>Tirana Bank</t>
  </si>
  <si>
    <t>Banka Soc. Gen. Albania</t>
  </si>
  <si>
    <t>Keshilltare</t>
  </si>
  <si>
    <t xml:space="preserve">KONTRIBUT QARKU </t>
  </si>
  <si>
    <t xml:space="preserve"> Mars qershor 2015</t>
  </si>
  <si>
    <t>Ligoraq Riza</t>
  </si>
  <si>
    <t xml:space="preserve">Lulezim Skullaku </t>
  </si>
  <si>
    <t>Posta shqiptare</t>
  </si>
  <si>
    <t>OSHEE</t>
  </si>
  <si>
    <t>Velcan</t>
  </si>
  <si>
    <t>KRWM</t>
  </si>
  <si>
    <t>Paqe</t>
  </si>
  <si>
    <t>Dija SHPK Pogradec</t>
  </si>
  <si>
    <t>Alma Isallari</t>
  </si>
  <si>
    <t>Mimoza Treska</t>
  </si>
  <si>
    <t>Edi Topa</t>
  </si>
  <si>
    <t>Luan Lipo</t>
  </si>
  <si>
    <t>Aldo shpk</t>
  </si>
  <si>
    <t>ETJEN  SH.P.K.</t>
  </si>
  <si>
    <t xml:space="preserve">SHANAR A. RISKA </t>
  </si>
  <si>
    <t>Project Design sh.pk.</t>
  </si>
  <si>
    <t>Keshilltare 2011</t>
  </si>
  <si>
    <t>07.08.2014</t>
  </si>
  <si>
    <t>21.01.2015</t>
  </si>
  <si>
    <t>11.12.2012</t>
  </si>
  <si>
    <t>Janar- Nentor 2014</t>
  </si>
  <si>
    <t>Akt rakordim 09.06.2015</t>
  </si>
  <si>
    <t>dt 24.06.2015</t>
  </si>
  <si>
    <t>dt 13.07.2015</t>
  </si>
  <si>
    <t>Akt marrveshje</t>
  </si>
  <si>
    <t>Maj -Qershor 2015</t>
  </si>
  <si>
    <t>28.05.2010</t>
  </si>
  <si>
    <t>03.02.2015</t>
  </si>
  <si>
    <t>30.06.2015</t>
  </si>
  <si>
    <t xml:space="preserve"> 24.11.2015</t>
  </si>
  <si>
    <t>13.07.2010</t>
  </si>
  <si>
    <t>20.09.2012</t>
  </si>
  <si>
    <t>27.02.2012</t>
  </si>
  <si>
    <t>Vendim Gjyqesor shtese</t>
  </si>
  <si>
    <t>Shtypshkronja L.Vlere</t>
  </si>
  <si>
    <t>Interlogjistik</t>
  </si>
  <si>
    <t>Eva Zoto</t>
  </si>
  <si>
    <t>Cezariana</t>
  </si>
  <si>
    <t>Enid Mero</t>
  </si>
  <si>
    <t>Hep 2012</t>
  </si>
  <si>
    <t>Print Point</t>
  </si>
  <si>
    <t>Sindikata</t>
  </si>
  <si>
    <t>Nafte Vaya</t>
  </si>
  <si>
    <t>19.7.2019.</t>
  </si>
  <si>
    <t>20.6.2019.</t>
  </si>
  <si>
    <t>22.7.2019</t>
  </si>
  <si>
    <t>27.6.2011</t>
  </si>
  <si>
    <t>Task Force Trasporti rrugor.</t>
  </si>
  <si>
    <t>13.02.2020</t>
  </si>
  <si>
    <t>Udhetim e dieta Sporti</t>
  </si>
  <si>
    <t>02.02.2012</t>
  </si>
  <si>
    <t>01.02.2015-31.05.2015</t>
  </si>
  <si>
    <t>Kamate vonese energji elektrike</t>
  </si>
  <si>
    <r>
      <t xml:space="preserve">Dr.Raj.tatimore              </t>
    </r>
    <r>
      <rPr>
        <sz val="10"/>
        <color rgb="FF00B050"/>
        <rFont val="Times New Roman"/>
        <family val="1"/>
      </rPr>
      <t xml:space="preserve"> Klubi I Sportit</t>
    </r>
  </si>
  <si>
    <t>30.12.2013</t>
  </si>
  <si>
    <r>
      <t xml:space="preserve">Marjana Mangeri         </t>
    </r>
    <r>
      <rPr>
        <sz val="10"/>
        <color theme="7" tint="-0.249977111117893"/>
        <rFont val="Times New Roman"/>
        <family val="1"/>
      </rPr>
      <t>KULTURA</t>
    </r>
  </si>
  <si>
    <t>11.07.2014</t>
  </si>
  <si>
    <r>
      <t xml:space="preserve">Deniola        </t>
    </r>
    <r>
      <rPr>
        <sz val="10"/>
        <color theme="8"/>
        <rFont val="Times New Roman"/>
        <family val="1"/>
      </rPr>
      <t xml:space="preserve">Arsimi </t>
    </r>
  </si>
  <si>
    <t xml:space="preserve">Zhaneta Elezaj </t>
  </si>
  <si>
    <t>Jetnor Bregu</t>
  </si>
  <si>
    <t>Joni 1</t>
  </si>
  <si>
    <t>Altin Shabanllari</t>
  </si>
  <si>
    <t xml:space="preserve">Ujesjellesi </t>
  </si>
  <si>
    <t xml:space="preserve">Olsi Pilinci </t>
  </si>
  <si>
    <r>
      <t xml:space="preserve">ALVORA   </t>
    </r>
    <r>
      <rPr>
        <sz val="10"/>
        <color theme="6" tint="-0.249977111117893"/>
        <rFont val="Times New Roman"/>
        <family val="1"/>
      </rPr>
      <t>N.M.Infrast. Punve- Publike</t>
    </r>
  </si>
  <si>
    <r>
      <t xml:space="preserve">Zhudi </t>
    </r>
    <r>
      <rPr>
        <sz val="10"/>
        <color rgb="FF00FFFF"/>
        <rFont val="Times New Roman"/>
        <family val="1"/>
      </rPr>
      <t>Ndermarja e Rekreacionit</t>
    </r>
  </si>
  <si>
    <t>28-02-2020</t>
  </si>
  <si>
    <t>dt 24.10.2017</t>
  </si>
  <si>
    <t>dt 03.10.2017</t>
  </si>
  <si>
    <t xml:space="preserve"> dt 14.02.2017</t>
  </si>
  <si>
    <t>dt 28.12.2016</t>
  </si>
  <si>
    <t>dt 29.12.2016</t>
  </si>
  <si>
    <t>dt 19.12.2016</t>
  </si>
  <si>
    <t>dt 05.12.2016</t>
  </si>
  <si>
    <t>28.12.2017</t>
  </si>
  <si>
    <t>22.12.2017</t>
  </si>
  <si>
    <t>30.04.2011</t>
  </si>
  <si>
    <t>31.07.2012</t>
  </si>
  <si>
    <t>30.04.201</t>
  </si>
  <si>
    <t>31.05.2012</t>
  </si>
  <si>
    <t>31.08.2011</t>
  </si>
  <si>
    <t>01.06.2009</t>
  </si>
  <si>
    <t>05.05.2015</t>
  </si>
  <si>
    <t>11.09.2015</t>
  </si>
  <si>
    <t>07.09.2015</t>
  </si>
  <si>
    <t>15.06.2015</t>
  </si>
  <si>
    <t>26.06.2015</t>
  </si>
  <si>
    <t>27.06.2015</t>
  </si>
  <si>
    <t>29.03.2011</t>
  </si>
  <si>
    <t>01.11.2010</t>
  </si>
  <si>
    <t>17.04.2014</t>
  </si>
  <si>
    <t>26.12.2006</t>
  </si>
  <si>
    <t>10.10.2011</t>
  </si>
  <si>
    <t>25.01.2013</t>
  </si>
  <si>
    <t>15.06.2013</t>
  </si>
  <si>
    <t xml:space="preserve">  30.11.201O  </t>
  </si>
  <si>
    <t>18.06.2015</t>
  </si>
  <si>
    <t>24.07.2015</t>
  </si>
  <si>
    <t>20.10.2009</t>
  </si>
  <si>
    <t>10.04.2011</t>
  </si>
  <si>
    <t>30.09.2010</t>
  </si>
  <si>
    <t>05.02.2011</t>
  </si>
  <si>
    <t>18.03.2014</t>
  </si>
  <si>
    <t xml:space="preserve"> 30.06.2015 </t>
  </si>
  <si>
    <t xml:space="preserve"> 02.04.2012 </t>
  </si>
  <si>
    <t xml:space="preserve"> 23.02.2015 </t>
  </si>
  <si>
    <t xml:space="preserve"> 03.09.2012 </t>
  </si>
  <si>
    <t>02.10.2009</t>
  </si>
  <si>
    <t>19.08.2010</t>
  </si>
  <si>
    <t>29.09.2010</t>
  </si>
  <si>
    <t>31.11.2010</t>
  </si>
  <si>
    <t>17.12.2010</t>
  </si>
  <si>
    <t>19.06.2011</t>
  </si>
  <si>
    <t>18.01.2013</t>
  </si>
  <si>
    <t>12.04.2012</t>
  </si>
  <si>
    <t>05.06.2012</t>
  </si>
  <si>
    <t>25.09.2012</t>
  </si>
  <si>
    <t>25.06.2012</t>
  </si>
  <si>
    <t>02.12.2016</t>
  </si>
  <si>
    <t>24.12.2014</t>
  </si>
  <si>
    <t xml:space="preserve"> 14.04.2015 </t>
  </si>
  <si>
    <t>01.12.2016</t>
  </si>
  <si>
    <t>09.10.2018</t>
  </si>
  <si>
    <t>01.12.2017</t>
  </si>
  <si>
    <t xml:space="preserve">14.09.2018
</t>
  </si>
  <si>
    <t>06.05.2019</t>
  </si>
  <si>
    <t>30.06.15</t>
  </si>
  <si>
    <t>Detyrime per vendime gjyqesore</t>
  </si>
  <si>
    <t>2010-2020</t>
  </si>
  <si>
    <t>Irsa Karapanca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</si>
</sst>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 * #,##0_ ;_ * \-#,##0_ ;_ * &quot;-&quot;??_ ;_ @_ "/>
    <numFmt numFmtId="165" formatCode="0.0%"/>
    <numFmt numFmtId="166" formatCode="#,##0_ ;\-#,##0\ "/>
    <numFmt numFmtId="167" formatCode="0_ ;\-0\ "/>
    <numFmt numFmtId="168" formatCode="yyyy\-mm\-dd;@"/>
    <numFmt numFmtId="169" formatCode="_(* #,##0_);_(* \(#,##0\);_(* &quot;-&quot;??_);_(@_)"/>
    <numFmt numFmtId="170" formatCode="_(* #,##0.0_);_(* \(#,##0.0\);_(* &quot;-&quot;??_);_(@_)"/>
  </numFmts>
  <fonts count="9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0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indexed="10"/>
      <name val="Calibri"/>
      <family val="2"/>
      <scheme val="minor"/>
    </font>
    <font>
      <sz val="6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2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7.5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sz val="5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9"/>
      <color indexed="8"/>
      <name val="Calibri"/>
      <family val="2"/>
    </font>
    <font>
      <sz val="9"/>
      <color theme="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theme="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Times"/>
      <family val="1"/>
    </font>
    <font>
      <sz val="11"/>
      <color theme="1"/>
      <name val="Times"/>
      <family val="1"/>
    </font>
    <font>
      <sz val="10"/>
      <color rgb="FF00B050"/>
      <name val="Times New Roman"/>
      <family val="1"/>
    </font>
    <font>
      <sz val="10"/>
      <color theme="7" tint="-0.249977111117893"/>
      <name val="Times New Roman"/>
      <family val="1"/>
    </font>
    <font>
      <sz val="10"/>
      <color theme="8"/>
      <name val="Times New Roman"/>
      <family val="1"/>
    </font>
    <font>
      <sz val="10"/>
      <color theme="6" tint="-0.249977111117893"/>
      <name val="Times New Roman"/>
      <family val="1"/>
    </font>
    <font>
      <sz val="10"/>
      <color rgb="FF00FFFF"/>
      <name val="Times New Roman"/>
      <family val="1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FF9900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rgb="FF5DD749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66FFFF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FFFF00"/>
        </stop>
        <stop position="1">
          <color rgb="FFFFBC15"/>
        </stop>
      </gradient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rgb="FF00FFFF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3" tint="0.7999816888943144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38" fillId="0" borderId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15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Protection="1"/>
    <xf numFmtId="164" fontId="9" fillId="0" borderId="0" xfId="1" applyNumberFormat="1" applyFont="1" applyProtection="1"/>
    <xf numFmtId="0" fontId="9" fillId="0" borderId="0" xfId="0" applyFont="1" applyFill="1" applyProtection="1"/>
    <xf numFmtId="164" fontId="9" fillId="0" borderId="0" xfId="1" applyNumberFormat="1" applyFont="1" applyFill="1" applyBorder="1" applyProtection="1"/>
    <xf numFmtId="0" fontId="9" fillId="0" borderId="0" xfId="0" applyFont="1" applyBorder="1" applyProtection="1"/>
    <xf numFmtId="164" fontId="9" fillId="0" borderId="0" xfId="1" applyNumberFormat="1" applyFont="1" applyFill="1" applyBorder="1" applyAlignment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Protection="1"/>
    <xf numFmtId="164" fontId="9" fillId="0" borderId="0" xfId="1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top" wrapText="1"/>
    </xf>
    <xf numFmtId="164" fontId="1" fillId="0" borderId="0" xfId="1" applyNumberFormat="1" applyFont="1"/>
    <xf numFmtId="164" fontId="1" fillId="0" borderId="0" xfId="1" applyNumberFormat="1" applyFont="1" applyBorder="1"/>
    <xf numFmtId="164" fontId="9" fillId="5" borderId="1" xfId="1" applyNumberFormat="1" applyFont="1" applyFill="1" applyBorder="1" applyAlignment="1" applyProtection="1">
      <alignment horizontal="left"/>
    </xf>
    <xf numFmtId="164" fontId="9" fillId="5" borderId="1" xfId="1" applyNumberFormat="1" applyFont="1" applyFill="1" applyBorder="1" applyProtection="1"/>
    <xf numFmtId="164" fontId="9" fillId="2" borderId="9" xfId="1" applyNumberFormat="1" applyFont="1" applyFill="1" applyBorder="1" applyAlignment="1" applyProtection="1"/>
    <xf numFmtId="164" fontId="10" fillId="5" borderId="9" xfId="1" applyNumberFormat="1" applyFont="1" applyFill="1" applyBorder="1" applyAlignment="1" applyProtection="1"/>
    <xf numFmtId="164" fontId="10" fillId="5" borderId="10" xfId="1" applyNumberFormat="1" applyFont="1" applyFill="1" applyBorder="1" applyAlignment="1" applyProtection="1"/>
    <xf numFmtId="164" fontId="13" fillId="0" borderId="0" xfId="1" applyNumberFormat="1" applyFont="1"/>
    <xf numFmtId="164" fontId="8" fillId="0" borderId="0" xfId="1" applyNumberFormat="1" applyFont="1"/>
    <xf numFmtId="0" fontId="9" fillId="4" borderId="1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165" fontId="11" fillId="0" borderId="1" xfId="3" applyNumberFormat="1" applyFont="1" applyFill="1" applyBorder="1" applyAlignment="1" applyProtection="1">
      <alignment horizontal="center" textRotation="90" wrapText="1"/>
    </xf>
    <xf numFmtId="168" fontId="9" fillId="6" borderId="1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Border="1" applyProtection="1"/>
    <xf numFmtId="165" fontId="16" fillId="6" borderId="1" xfId="3" applyNumberFormat="1" applyFont="1" applyFill="1" applyBorder="1" applyProtection="1">
      <protection locked="0"/>
    </xf>
    <xf numFmtId="164" fontId="16" fillId="0" borderId="0" xfId="1" applyNumberFormat="1" applyFont="1" applyFill="1" applyBorder="1" applyProtection="1"/>
    <xf numFmtId="166" fontId="9" fillId="3" borderId="1" xfId="1" applyNumberFormat="1" applyFont="1" applyFill="1" applyBorder="1" applyProtection="1"/>
    <xf numFmtId="166" fontId="9" fillId="3" borderId="9" xfId="1" applyNumberFormat="1" applyFont="1" applyFill="1" applyBorder="1" applyProtection="1"/>
    <xf numFmtId="166" fontId="9" fillId="4" borderId="1" xfId="1" applyNumberFormat="1" applyFont="1" applyFill="1" applyBorder="1" applyProtection="1"/>
    <xf numFmtId="3" fontId="9" fillId="6" borderId="1" xfId="1" applyNumberFormat="1" applyFont="1" applyFill="1" applyBorder="1" applyProtection="1">
      <protection locked="0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Alignment="1" applyProtection="1"/>
    <xf numFmtId="164" fontId="16" fillId="0" borderId="0" xfId="1" applyNumberFormat="1" applyFont="1" applyProtection="1"/>
    <xf numFmtId="164" fontId="16" fillId="0" borderId="0" xfId="1" applyNumberFormat="1" applyFont="1" applyBorder="1" applyProtection="1"/>
    <xf numFmtId="167" fontId="14" fillId="3" borderId="1" xfId="1" applyNumberFormat="1" applyFont="1" applyFill="1" applyBorder="1" applyAlignment="1" applyProtection="1">
      <alignment horizontal="centerContinuous"/>
    </xf>
    <xf numFmtId="164" fontId="16" fillId="0" borderId="0" xfId="1" applyNumberFormat="1" applyFont="1" applyBorder="1" applyAlignment="1" applyProtection="1">
      <alignment vertical="top" wrapText="1"/>
    </xf>
    <xf numFmtId="164" fontId="16" fillId="0" borderId="0" xfId="1" applyNumberFormat="1" applyFont="1" applyAlignment="1" applyProtection="1">
      <alignment vertical="top" wrapText="1"/>
    </xf>
    <xf numFmtId="164" fontId="14" fillId="0" borderId="0" xfId="1" applyNumberFormat="1" applyFont="1" applyProtection="1"/>
    <xf numFmtId="164" fontId="16" fillId="0" borderId="0" xfId="1" applyNumberFormat="1" applyFont="1" applyBorder="1" applyAlignment="1" applyProtection="1">
      <alignment horizontal="left" vertical="top"/>
    </xf>
    <xf numFmtId="164" fontId="1" fillId="0" borderId="0" xfId="1" applyNumberFormat="1" applyFont="1" applyProtection="1"/>
    <xf numFmtId="3" fontId="16" fillId="6" borderId="1" xfId="1" applyNumberFormat="1" applyFont="1" applyFill="1" applyBorder="1" applyAlignment="1" applyProtection="1">
      <alignment horizontal="right"/>
      <protection locked="0"/>
    </xf>
    <xf numFmtId="3" fontId="16" fillId="6" borderId="2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Protection="1"/>
    <xf numFmtId="0" fontId="19" fillId="0" borderId="0" xfId="0" applyFont="1" applyFill="1" applyBorder="1" applyAlignment="1" applyProtection="1">
      <alignment vertical="top" wrapText="1"/>
    </xf>
    <xf numFmtId="0" fontId="9" fillId="6" borderId="1" xfId="0" applyFont="1" applyFill="1" applyBorder="1" applyAlignment="1" applyProtection="1">
      <alignment horizontal="left" vertical="top" wrapText="1"/>
      <protection locked="0"/>
    </xf>
    <xf numFmtId="164" fontId="10" fillId="5" borderId="4" xfId="1" applyNumberFormat="1" applyFont="1" applyFill="1" applyBorder="1" applyAlignment="1" applyProtection="1"/>
    <xf numFmtId="1" fontId="10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0" fontId="9" fillId="6" borderId="1" xfId="1" applyNumberFormat="1" applyFont="1" applyFill="1" applyBorder="1" applyProtection="1">
      <protection locked="0"/>
    </xf>
    <xf numFmtId="10" fontId="9" fillId="0" borderId="0" xfId="1" applyNumberFormat="1" applyFont="1" applyFill="1" applyBorder="1" applyProtection="1"/>
    <xf numFmtId="10" fontId="9" fillId="0" borderId="0" xfId="0" applyNumberFormat="1" applyFont="1" applyFill="1" applyBorder="1" applyProtection="1"/>
    <xf numFmtId="0" fontId="9" fillId="6" borderId="1" xfId="0" applyFont="1" applyFill="1" applyBorder="1" applyAlignment="1" applyProtection="1">
      <alignment horizontal="left"/>
      <protection locked="0"/>
    </xf>
    <xf numFmtId="164" fontId="10" fillId="2" borderId="1" xfId="1" applyNumberFormat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164" fontId="16" fillId="0" borderId="0" xfId="1" applyNumberFormat="1" applyFont="1" applyBorder="1"/>
    <xf numFmtId="164" fontId="16" fillId="0" borderId="0" xfId="1" applyNumberFormat="1" applyFont="1"/>
    <xf numFmtId="0" fontId="9" fillId="0" borderId="0" xfId="0" applyFont="1" applyBorder="1"/>
    <xf numFmtId="3" fontId="9" fillId="5" borderId="1" xfId="1" applyNumberFormat="1" applyFont="1" applyFill="1" applyBorder="1" applyAlignment="1" applyProtection="1"/>
    <xf numFmtId="164" fontId="16" fillId="0" borderId="0" xfId="1" applyNumberFormat="1" applyFont="1" applyFill="1" applyBorder="1" applyAlignment="1">
      <alignment vertical="top" wrapText="1"/>
    </xf>
    <xf numFmtId="164" fontId="16" fillId="0" borderId="0" xfId="1" applyNumberFormat="1" applyFont="1" applyFill="1" applyAlignment="1">
      <alignment vertical="top" wrapText="1"/>
    </xf>
    <xf numFmtId="164" fontId="16" fillId="0" borderId="0" xfId="1" applyNumberFormat="1" applyFont="1" applyFill="1" applyBorder="1"/>
    <xf numFmtId="0" fontId="0" fillId="0" borderId="0" xfId="0" applyFont="1"/>
    <xf numFmtId="0" fontId="9" fillId="0" borderId="0" xfId="0" applyFont="1" applyAlignment="1" applyProtection="1">
      <alignment vertical="center"/>
    </xf>
    <xf numFmtId="3" fontId="10" fillId="5" borderId="1" xfId="1" applyNumberFormat="1" applyFont="1" applyFill="1" applyBorder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3" fontId="0" fillId="0" borderId="0" xfId="0" applyNumberFormat="1" applyFont="1" applyAlignment="1" applyProtection="1">
      <alignment horizontal="right"/>
    </xf>
    <xf numFmtId="164" fontId="13" fillId="4" borderId="1" xfId="1" applyNumberFormat="1" applyFont="1" applyFill="1" applyBorder="1" applyAlignment="1" applyProtection="1"/>
    <xf numFmtId="3" fontId="0" fillId="5" borderId="7" xfId="0" applyNumberFormat="1" applyFont="1" applyFill="1" applyBorder="1" applyAlignment="1" applyProtection="1">
      <alignment horizontal="right"/>
    </xf>
    <xf numFmtId="3" fontId="0" fillId="5" borderId="0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left"/>
    </xf>
    <xf numFmtId="0" fontId="24" fillId="2" borderId="28" xfId="0" applyFont="1" applyFill="1" applyBorder="1" applyAlignment="1" applyProtection="1">
      <alignment horizontal="left"/>
    </xf>
    <xf numFmtId="3" fontId="0" fillId="0" borderId="0" xfId="0" applyNumberFormat="1" applyFont="1" applyAlignment="1" applyProtection="1">
      <alignment horizontal="left"/>
    </xf>
    <xf numFmtId="0" fontId="0" fillId="5" borderId="27" xfId="0" applyFont="1" applyFill="1" applyBorder="1" applyAlignment="1" applyProtection="1">
      <alignment horizontal="left"/>
    </xf>
    <xf numFmtId="0" fontId="0" fillId="5" borderId="0" xfId="0" applyFont="1" applyFill="1" applyBorder="1" applyAlignment="1" applyProtection="1">
      <alignment horizontal="left"/>
    </xf>
    <xf numFmtId="0" fontId="0" fillId="5" borderId="29" xfId="0" applyFont="1" applyFill="1" applyBorder="1" applyAlignment="1" applyProtection="1">
      <alignment horizontal="left"/>
    </xf>
    <xf numFmtId="0" fontId="23" fillId="2" borderId="22" xfId="0" applyFont="1" applyFill="1" applyBorder="1" applyAlignment="1" applyProtection="1"/>
    <xf numFmtId="0" fontId="23" fillId="2" borderId="23" xfId="0" applyFont="1" applyFill="1" applyBorder="1" applyAlignment="1" applyProtection="1"/>
    <xf numFmtId="3" fontId="0" fillId="0" borderId="0" xfId="0" applyNumberFormat="1" applyFont="1" applyAlignment="1" applyProtection="1"/>
    <xf numFmtId="3" fontId="0" fillId="5" borderId="21" xfId="0" applyNumberFormat="1" applyFont="1" applyFill="1" applyBorder="1" applyAlignment="1" applyProtection="1"/>
    <xf numFmtId="3" fontId="0" fillId="5" borderId="0" xfId="0" applyNumberFormat="1" applyFont="1" applyFill="1" applyBorder="1" applyAlignment="1" applyProtection="1"/>
    <xf numFmtId="3" fontId="0" fillId="5" borderId="12" xfId="0" applyNumberFormat="1" applyFont="1" applyFill="1" applyBorder="1" applyAlignment="1" applyProtection="1"/>
    <xf numFmtId="3" fontId="0" fillId="5" borderId="11" xfId="0" applyNumberFormat="1" applyFont="1" applyFill="1" applyBorder="1" applyAlignment="1" applyProtection="1"/>
    <xf numFmtId="166" fontId="14" fillId="5" borderId="20" xfId="1" applyNumberFormat="1" applyFont="1" applyFill="1" applyBorder="1" applyAlignment="1" applyProtection="1">
      <alignment horizontal="right"/>
    </xf>
    <xf numFmtId="0" fontId="9" fillId="0" borderId="0" xfId="0" applyFont="1"/>
    <xf numFmtId="0" fontId="9" fillId="0" borderId="0" xfId="0" applyFont="1" applyProtection="1"/>
    <xf numFmtId="0" fontId="9" fillId="0" borderId="0" xfId="0" applyFont="1" applyFill="1" applyProtection="1"/>
    <xf numFmtId="164" fontId="1" fillId="0" borderId="0" xfId="1" applyNumberFormat="1" applyFont="1"/>
    <xf numFmtId="164" fontId="13" fillId="0" borderId="0" xfId="1" applyNumberFormat="1" applyFont="1"/>
    <xf numFmtId="164" fontId="8" fillId="0" borderId="0" xfId="1" applyNumberFormat="1" applyFont="1"/>
    <xf numFmtId="0" fontId="9" fillId="4" borderId="1" xfId="0" applyFont="1" applyFill="1" applyBorder="1" applyAlignment="1">
      <alignment horizontal="left"/>
    </xf>
    <xf numFmtId="164" fontId="16" fillId="0" borderId="0" xfId="1" applyNumberFormat="1" applyFont="1" applyProtection="1"/>
    <xf numFmtId="164" fontId="16" fillId="0" borderId="0" xfId="1" applyNumberFormat="1" applyFont="1" applyBorder="1" applyProtection="1"/>
    <xf numFmtId="164" fontId="16" fillId="0" borderId="0" xfId="1" applyNumberFormat="1" applyFont="1" applyBorder="1" applyAlignment="1" applyProtection="1">
      <alignment vertical="top" wrapText="1"/>
    </xf>
    <xf numFmtId="164" fontId="16" fillId="0" borderId="0" xfId="1" applyNumberFormat="1" applyFont="1" applyAlignment="1" applyProtection="1">
      <alignment vertical="top" wrapText="1"/>
    </xf>
    <xf numFmtId="164" fontId="1" fillId="0" borderId="0" xfId="1" applyNumberFormat="1" applyFont="1" applyProtection="1"/>
    <xf numFmtId="0" fontId="0" fillId="0" borderId="0" xfId="0" applyFont="1" applyProtection="1"/>
    <xf numFmtId="3" fontId="9" fillId="6" borderId="1" xfId="0" applyNumberFormat="1" applyFont="1" applyFill="1" applyBorder="1" applyAlignment="1" applyProtection="1">
      <alignment horizontal="left"/>
      <protection locked="0"/>
    </xf>
    <xf numFmtId="164" fontId="9" fillId="0" borderId="0" xfId="0" applyNumberFormat="1" applyFont="1" applyProtection="1"/>
    <xf numFmtId="166" fontId="13" fillId="5" borderId="1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 applyProtection="1"/>
    <xf numFmtId="164" fontId="16" fillId="0" borderId="0" xfId="1" applyNumberFormat="1" applyFont="1" applyProtection="1">
      <protection locked="0"/>
    </xf>
    <xf numFmtId="164" fontId="17" fillId="0" borderId="0" xfId="1" applyNumberFormat="1" applyFont="1" applyBorder="1"/>
    <xf numFmtId="165" fontId="13" fillId="3" borderId="2" xfId="3" applyNumberFormat="1" applyFont="1" applyFill="1" applyBorder="1" applyAlignment="1">
      <alignment horizontal="right"/>
    </xf>
    <xf numFmtId="165" fontId="13" fillId="3" borderId="1" xfId="3" applyNumberFormat="1" applyFont="1" applyFill="1" applyBorder="1" applyAlignment="1">
      <alignment horizontal="right"/>
    </xf>
    <xf numFmtId="165" fontId="13" fillId="4" borderId="1" xfId="3" applyNumberFormat="1" applyFont="1" applyFill="1" applyBorder="1" applyAlignment="1">
      <alignment horizontal="right"/>
    </xf>
    <xf numFmtId="165" fontId="13" fillId="0" borderId="0" xfId="3" applyNumberFormat="1" applyFont="1" applyFill="1" applyBorder="1" applyAlignment="1">
      <alignment horizontal="right"/>
    </xf>
    <xf numFmtId="0" fontId="9" fillId="2" borderId="9" xfId="0" applyFont="1" applyFill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164" fontId="9" fillId="3" borderId="1" xfId="1" applyNumberFormat="1" applyFont="1" applyFill="1" applyBorder="1" applyAlignment="1" applyProtection="1">
      <alignment horizontal="center" vertical="center" wrapText="1"/>
    </xf>
    <xf numFmtId="165" fontId="11" fillId="0" borderId="1" xfId="3" applyNumberFormat="1" applyFont="1" applyFill="1" applyBorder="1" applyAlignment="1" applyProtection="1">
      <alignment horizontal="left"/>
    </xf>
    <xf numFmtId="164" fontId="9" fillId="0" borderId="3" xfId="1" applyNumberFormat="1" applyFont="1" applyFill="1" applyBorder="1" applyAlignment="1" applyProtection="1">
      <alignment horizontal="left"/>
    </xf>
    <xf numFmtId="166" fontId="9" fillId="0" borderId="0" xfId="1" applyNumberFormat="1" applyFont="1" applyFill="1" applyBorder="1" applyProtection="1"/>
    <xf numFmtId="0" fontId="9" fillId="0" borderId="5" xfId="0" applyFont="1" applyBorder="1" applyAlignment="1" applyProtection="1">
      <alignment vertical="top" wrapText="1"/>
    </xf>
    <xf numFmtId="166" fontId="9" fillId="6" borderId="9" xfId="1" applyNumberFormat="1" applyFont="1" applyFill="1" applyBorder="1" applyAlignment="1" applyProtection="1">
      <protection locked="0"/>
    </xf>
    <xf numFmtId="166" fontId="9" fillId="12" borderId="1" xfId="1" applyNumberFormat="1" applyFont="1" applyFill="1" applyBorder="1" applyProtection="1"/>
    <xf numFmtId="3" fontId="9" fillId="13" borderId="1" xfId="1" applyNumberFormat="1" applyFont="1" applyFill="1" applyBorder="1" applyProtection="1"/>
    <xf numFmtId="165" fontId="11" fillId="0" borderId="0" xfId="3" applyNumberFormat="1" applyFont="1" applyFill="1" applyBorder="1" applyAlignment="1" applyProtection="1">
      <alignment horizontal="center" textRotation="90" wrapText="1"/>
    </xf>
    <xf numFmtId="166" fontId="9" fillId="6" borderId="1" xfId="1" applyNumberFormat="1" applyFont="1" applyFill="1" applyBorder="1" applyAlignment="1" applyProtection="1">
      <protection locked="0"/>
    </xf>
    <xf numFmtId="0" fontId="9" fillId="0" borderId="7" xfId="0" applyFont="1" applyFill="1" applyBorder="1" applyProtection="1"/>
    <xf numFmtId="0" fontId="9" fillId="0" borderId="4" xfId="0" applyFont="1" applyBorder="1" applyAlignment="1" applyProtection="1">
      <alignment vertical="top" wrapText="1"/>
    </xf>
    <xf numFmtId="164" fontId="12" fillId="0" borderId="0" xfId="0" applyNumberFormat="1" applyFont="1" applyProtection="1"/>
    <xf numFmtId="165" fontId="27" fillId="0" borderId="2" xfId="3" applyNumberFormat="1" applyFont="1" applyFill="1" applyBorder="1" applyAlignment="1" applyProtection="1">
      <alignment horizontal="center"/>
    </xf>
    <xf numFmtId="165" fontId="9" fillId="0" borderId="1" xfId="3" applyNumberFormat="1" applyFont="1" applyFill="1" applyBorder="1" applyAlignment="1" applyProtection="1">
      <alignment horizontal="left"/>
    </xf>
    <xf numFmtId="3" fontId="15" fillId="14" borderId="9" xfId="1" applyNumberFormat="1" applyFont="1" applyFill="1" applyBorder="1" applyAlignment="1" applyProtection="1"/>
    <xf numFmtId="3" fontId="15" fillId="0" borderId="9" xfId="1" applyNumberFormat="1" applyFont="1" applyFill="1" applyBorder="1" applyAlignment="1" applyProtection="1"/>
    <xf numFmtId="3" fontId="11" fillId="0" borderId="9" xfId="1" applyNumberFormat="1" applyFont="1" applyFill="1" applyBorder="1" applyAlignment="1" applyProtection="1"/>
    <xf numFmtId="3" fontId="11" fillId="0" borderId="1" xfId="1" applyNumberFormat="1" applyFont="1" applyFill="1" applyBorder="1" applyAlignment="1" applyProtection="1"/>
    <xf numFmtId="0" fontId="9" fillId="0" borderId="9" xfId="0" applyFont="1" applyBorder="1" applyProtection="1"/>
    <xf numFmtId="164" fontId="13" fillId="5" borderId="1" xfId="1" applyNumberFormat="1" applyFont="1" applyFill="1" applyBorder="1" applyAlignment="1" applyProtection="1"/>
    <xf numFmtId="164" fontId="13" fillId="3" borderId="1" xfId="1" applyNumberFormat="1" applyFont="1" applyFill="1" applyBorder="1" applyAlignment="1" applyProtection="1">
      <alignment horizontal="centerContinuous" vertical="top" wrapText="1"/>
    </xf>
    <xf numFmtId="164" fontId="13" fillId="3" borderId="1" xfId="1" applyNumberFormat="1" applyFont="1" applyFill="1" applyBorder="1" applyAlignment="1" applyProtection="1">
      <alignment horizontal="center" vertical="top" wrapText="1"/>
    </xf>
    <xf numFmtId="164" fontId="13" fillId="3" borderId="1" xfId="1" applyNumberFormat="1" applyFont="1" applyFill="1" applyBorder="1" applyAlignment="1" applyProtection="1">
      <alignment horizontal="centerContinuous"/>
    </xf>
    <xf numFmtId="164" fontId="13" fillId="3" borderId="12" xfId="1" applyNumberFormat="1" applyFont="1" applyFill="1" applyBorder="1" applyAlignment="1" applyProtection="1">
      <alignment horizontal="center" vertical="center" textRotation="90" wrapText="1"/>
    </xf>
    <xf numFmtId="164" fontId="13" fillId="5" borderId="12" xfId="1" applyNumberFormat="1" applyFont="1" applyFill="1" applyBorder="1" applyAlignment="1" applyProtection="1">
      <alignment horizontal="center" vertical="center" textRotation="90" wrapText="1"/>
    </xf>
    <xf numFmtId="164" fontId="29" fillId="3" borderId="1" xfId="1" applyNumberFormat="1" applyFont="1" applyFill="1" applyBorder="1" applyAlignment="1" applyProtection="1">
      <alignment horizontal="centerContinuous"/>
    </xf>
    <xf numFmtId="164" fontId="29" fillId="5" borderId="1" xfId="1" applyNumberFormat="1" applyFont="1" applyFill="1" applyBorder="1" applyAlignment="1" applyProtection="1"/>
    <xf numFmtId="164" fontId="29" fillId="5" borderId="1" xfId="1" applyNumberFormat="1" applyFont="1" applyFill="1" applyBorder="1" applyAlignment="1" applyProtection="1">
      <alignment horizontal="centerContinuous"/>
    </xf>
    <xf numFmtId="164" fontId="30" fillId="5" borderId="24" xfId="1" applyNumberFormat="1" applyFont="1" applyFill="1" applyBorder="1" applyAlignment="1" applyProtection="1"/>
    <xf numFmtId="164" fontId="30" fillId="5" borderId="9" xfId="1" applyNumberFormat="1" applyFont="1" applyFill="1" applyBorder="1" applyAlignment="1" applyProtection="1"/>
    <xf numFmtId="164" fontId="9" fillId="2" borderId="28" xfId="1" applyNumberFormat="1" applyFont="1" applyFill="1" applyBorder="1" applyAlignment="1" applyProtection="1"/>
    <xf numFmtId="164" fontId="30" fillId="5" borderId="25" xfId="1" applyNumberFormat="1" applyFont="1" applyFill="1" applyBorder="1" applyAlignment="1" applyProtection="1"/>
    <xf numFmtId="169" fontId="0" fillId="0" borderId="0" xfId="1" applyNumberFormat="1" applyFont="1" applyProtection="1"/>
    <xf numFmtId="0" fontId="9" fillId="2" borderId="9" xfId="0" applyFont="1" applyFill="1" applyBorder="1" applyAlignment="1" applyProtection="1">
      <alignment horizontal="left" vertical="top" wrapText="1"/>
    </xf>
    <xf numFmtId="1" fontId="14" fillId="3" borderId="9" xfId="1" applyNumberFormat="1" applyFont="1" applyFill="1" applyBorder="1" applyAlignment="1">
      <alignment horizontal="center" vertical="center"/>
    </xf>
    <xf numFmtId="1" fontId="14" fillId="3" borderId="1" xfId="1" applyNumberFormat="1" applyFont="1" applyFill="1" applyBorder="1" applyAlignment="1">
      <alignment horizontal="center" vertical="center"/>
    </xf>
    <xf numFmtId="1" fontId="14" fillId="4" borderId="1" xfId="1" applyNumberFormat="1" applyFont="1" applyFill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0" fillId="2" borderId="9" xfId="0" applyNumberFormat="1" applyFont="1" applyFill="1" applyBorder="1" applyAlignment="1" applyProtection="1">
      <alignment horizontal="left" vertical="top" wrapText="1"/>
    </xf>
    <xf numFmtId="0" fontId="10" fillId="2" borderId="10" xfId="0" applyNumberFormat="1" applyFont="1" applyFill="1" applyBorder="1" applyAlignment="1" applyProtection="1">
      <alignment horizontal="left" vertical="top" wrapText="1"/>
    </xf>
    <xf numFmtId="0" fontId="10" fillId="2" borderId="2" xfId="0" applyNumberFormat="1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horizontal="center" vertical="center" wrapText="1"/>
    </xf>
    <xf numFmtId="1" fontId="10" fillId="4" borderId="1" xfId="1" applyNumberFormat="1" applyFont="1" applyFill="1" applyBorder="1" applyAlignment="1" applyProtection="1">
      <alignment horizontal="center" vertical="center"/>
    </xf>
    <xf numFmtId="1" fontId="10" fillId="3" borderId="1" xfId="1" applyNumberFormat="1" applyFont="1" applyFill="1" applyBorder="1" applyAlignment="1" applyProtection="1">
      <alignment horizontal="center" vertical="center" wrapText="1"/>
    </xf>
    <xf numFmtId="3" fontId="16" fillId="6" borderId="10" xfId="1" applyNumberFormat="1" applyFont="1" applyFill="1" applyBorder="1" applyAlignment="1" applyProtection="1">
      <alignment horizontal="right"/>
    </xf>
    <xf numFmtId="3" fontId="16" fillId="6" borderId="2" xfId="1" applyNumberFormat="1" applyFont="1" applyFill="1" applyBorder="1" applyAlignment="1" applyProtection="1">
      <alignment horizontal="right"/>
    </xf>
    <xf numFmtId="10" fontId="9" fillId="6" borderId="10" xfId="1" applyNumberFormat="1" applyFont="1" applyFill="1" applyBorder="1" applyAlignment="1" applyProtection="1"/>
    <xf numFmtId="10" fontId="9" fillId="6" borderId="2" xfId="1" applyNumberFormat="1" applyFont="1" applyFill="1" applyBorder="1" applyAlignment="1" applyProtection="1"/>
    <xf numFmtId="164" fontId="16" fillId="0" borderId="0" xfId="1" applyNumberFormat="1" applyFont="1" applyAlignment="1" applyProtection="1"/>
    <xf numFmtId="0" fontId="9" fillId="6" borderId="9" xfId="0" applyFont="1" applyFill="1" applyBorder="1" applyAlignment="1" applyProtection="1">
      <alignment horizontal="left" vertical="top"/>
    </xf>
    <xf numFmtId="0" fontId="9" fillId="6" borderId="10" xfId="0" applyFont="1" applyFill="1" applyBorder="1" applyAlignment="1" applyProtection="1">
      <alignment horizontal="left" vertical="top"/>
    </xf>
    <xf numFmtId="0" fontId="9" fillId="6" borderId="2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vertical="center" wrapText="1"/>
    </xf>
    <xf numFmtId="164" fontId="10" fillId="4" borderId="1" xfId="1" applyNumberFormat="1" applyFont="1" applyFill="1" applyBorder="1" applyAlignment="1" applyProtection="1">
      <alignment horizontal="center" vertical="center" wrapText="1"/>
    </xf>
    <xf numFmtId="164" fontId="13" fillId="3" borderId="1" xfId="1" applyNumberFormat="1" applyFont="1" applyFill="1" applyBorder="1" applyAlignment="1" applyProtection="1">
      <alignment horizontal="center" vertical="center" wrapText="1"/>
    </xf>
    <xf numFmtId="3" fontId="16" fillId="6" borderId="9" xfId="1" applyNumberFormat="1" applyFont="1" applyFill="1" applyBorder="1" applyAlignment="1" applyProtection="1">
      <alignment horizontal="left"/>
    </xf>
    <xf numFmtId="164" fontId="32" fillId="0" borderId="0" xfId="1" applyNumberFormat="1" applyFont="1" applyProtection="1"/>
    <xf numFmtId="164" fontId="26" fillId="2" borderId="1" xfId="1" applyNumberFormat="1" applyFont="1" applyFill="1" applyBorder="1" applyAlignment="1" applyProtection="1"/>
    <xf numFmtId="0" fontId="26" fillId="0" borderId="10" xfId="0" applyFont="1" applyFill="1" applyBorder="1" applyAlignment="1" applyProtection="1"/>
    <xf numFmtId="164" fontId="33" fillId="0" borderId="0" xfId="1" applyNumberFormat="1" applyFont="1" applyProtection="1"/>
    <xf numFmtId="164" fontId="33" fillId="0" borderId="0" xfId="1" applyNumberFormat="1" applyFont="1" applyFill="1" applyBorder="1" applyProtection="1"/>
    <xf numFmtId="0" fontId="26" fillId="0" borderId="0" xfId="0" applyFont="1" applyProtection="1"/>
    <xf numFmtId="164" fontId="32" fillId="0" borderId="1" xfId="1" applyNumberFormat="1" applyFont="1" applyBorder="1" applyProtection="1"/>
    <xf numFmtId="164" fontId="9" fillId="2" borderId="1" xfId="1" applyNumberFormat="1" applyFont="1" applyFill="1" applyBorder="1" applyAlignment="1" applyProtection="1">
      <alignment wrapText="1"/>
    </xf>
    <xf numFmtId="0" fontId="33" fillId="0" borderId="0" xfId="1" applyNumberFormat="1" applyFont="1" applyProtection="1"/>
    <xf numFmtId="0" fontId="32" fillId="0" borderId="0" xfId="1" applyNumberFormat="1" applyFont="1" applyProtection="1"/>
    <xf numFmtId="0" fontId="33" fillId="0" borderId="0" xfId="1" applyNumberFormat="1" applyFont="1" applyFill="1" applyBorder="1" applyProtection="1"/>
    <xf numFmtId="164" fontId="9" fillId="2" borderId="9" xfId="1" applyNumberFormat="1" applyFont="1" applyFill="1" applyBorder="1" applyAlignment="1" applyProtection="1"/>
    <xf numFmtId="164" fontId="10" fillId="5" borderId="30" xfId="1" applyNumberFormat="1" applyFont="1" applyFill="1" applyBorder="1" applyAlignment="1" applyProtection="1">
      <alignment horizontal="left"/>
    </xf>
    <xf numFmtId="164" fontId="10" fillId="5" borderId="31" xfId="1" applyNumberFormat="1" applyFont="1" applyFill="1" applyBorder="1" applyAlignment="1" applyProtection="1">
      <alignment horizontal="left"/>
    </xf>
    <xf numFmtId="164" fontId="37" fillId="0" borderId="0" xfId="1" applyNumberFormat="1" applyFont="1"/>
    <xf numFmtId="164" fontId="10" fillId="5" borderId="8" xfId="1" applyNumberFormat="1" applyFont="1" applyFill="1" applyBorder="1" applyAlignment="1" applyProtection="1"/>
    <xf numFmtId="3" fontId="9" fillId="5" borderId="12" xfId="1" applyNumberFormat="1" applyFont="1" applyFill="1" applyBorder="1" applyAlignment="1" applyProtection="1"/>
    <xf numFmtId="164" fontId="9" fillId="2" borderId="4" xfId="1" applyNumberFormat="1" applyFont="1" applyFill="1" applyBorder="1" applyAlignment="1" applyProtection="1"/>
    <xf numFmtId="3" fontId="16" fillId="6" borderId="18" xfId="1" applyNumberFormat="1" applyFont="1" applyFill="1" applyBorder="1" applyAlignment="1" applyProtection="1">
      <alignment horizontal="right"/>
      <protection locked="0"/>
    </xf>
    <xf numFmtId="164" fontId="10" fillId="5" borderId="0" xfId="1" applyNumberFormat="1" applyFont="1" applyFill="1" applyBorder="1" applyAlignment="1" applyProtection="1"/>
    <xf numFmtId="3" fontId="16" fillId="6" borderId="6" xfId="1" applyNumberFormat="1" applyFont="1" applyFill="1" applyBorder="1" applyAlignment="1" applyProtection="1">
      <alignment horizontal="right"/>
      <protection locked="0"/>
    </xf>
    <xf numFmtId="3" fontId="16" fillId="6" borderId="12" xfId="1" applyNumberFormat="1" applyFont="1" applyFill="1" applyBorder="1" applyAlignment="1" applyProtection="1">
      <alignment horizontal="right"/>
      <protection locked="0"/>
    </xf>
    <xf numFmtId="3" fontId="16" fillId="6" borderId="13" xfId="1" applyNumberFormat="1" applyFont="1" applyFill="1" applyBorder="1" applyAlignment="1" applyProtection="1">
      <alignment horizontal="right"/>
      <protection locked="0"/>
    </xf>
    <xf numFmtId="165" fontId="11" fillId="0" borderId="0" xfId="3" applyNumberFormat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left"/>
    </xf>
    <xf numFmtId="0" fontId="9" fillId="0" borderId="12" xfId="0" applyFont="1" applyBorder="1" applyAlignment="1" applyProtection="1">
      <alignment vertical="center"/>
    </xf>
    <xf numFmtId="165" fontId="11" fillId="0" borderId="0" xfId="3" applyNumberFormat="1" applyFont="1" applyFill="1" applyBorder="1" applyAlignment="1" applyProtection="1">
      <alignment horizontal="center" vertical="center" textRotation="90" wrapText="1"/>
    </xf>
    <xf numFmtId="164" fontId="24" fillId="10" borderId="1" xfId="1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>
      <alignment vertical="top"/>
    </xf>
    <xf numFmtId="0" fontId="10" fillId="2" borderId="12" xfId="0" applyFont="1" applyFill="1" applyBorder="1" applyAlignment="1" applyProtection="1">
      <alignment vertical="top" wrapText="1"/>
    </xf>
    <xf numFmtId="0" fontId="9" fillId="6" borderId="1" xfId="0" applyFont="1" applyFill="1" applyBorder="1" applyAlignment="1" applyProtection="1">
      <alignment horizontal="left" wrapText="1"/>
      <protection locked="0"/>
    </xf>
    <xf numFmtId="164" fontId="10" fillId="5" borderId="1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3" fontId="16" fillId="6" borderId="10" xfId="1" applyNumberFormat="1" applyFont="1" applyFill="1" applyBorder="1" applyAlignment="1" applyProtection="1">
      <alignment horizontal="right" vertical="center"/>
    </xf>
    <xf numFmtId="3" fontId="16" fillId="6" borderId="2" xfId="1" applyNumberFormat="1" applyFont="1" applyFill="1" applyBorder="1" applyAlignment="1" applyProtection="1">
      <alignment horizontal="right" vertical="center"/>
    </xf>
    <xf numFmtId="164" fontId="16" fillId="0" borderId="0" xfId="1" applyNumberFormat="1" applyFont="1" applyAlignment="1" applyProtection="1">
      <alignment vertical="center"/>
    </xf>
    <xf numFmtId="164" fontId="16" fillId="0" borderId="0" xfId="1" applyNumberFormat="1" applyFont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167" fontId="14" fillId="3" borderId="1" xfId="1" applyNumberFormat="1" applyFont="1" applyFill="1" applyBorder="1" applyAlignment="1" applyProtection="1">
      <alignment horizontal="center" vertical="center"/>
    </xf>
    <xf numFmtId="164" fontId="16" fillId="0" borderId="0" xfId="1" applyNumberFormat="1" applyFont="1" applyBorder="1" applyAlignment="1" applyProtection="1">
      <alignment vertical="center" wrapText="1"/>
    </xf>
    <xf numFmtId="164" fontId="16" fillId="0" borderId="0" xfId="1" applyNumberFormat="1" applyFont="1" applyAlignment="1" applyProtection="1">
      <alignment vertical="center" wrapText="1"/>
    </xf>
    <xf numFmtId="3" fontId="16" fillId="6" borderId="1" xfId="1" applyNumberFormat="1" applyFont="1" applyFill="1" applyBorder="1" applyAlignment="1" applyProtection="1">
      <alignment horizontal="right" vertical="center"/>
      <protection locked="0"/>
    </xf>
    <xf numFmtId="164" fontId="10" fillId="5" borderId="9" xfId="1" applyNumberFormat="1" applyFont="1" applyFill="1" applyBorder="1" applyAlignment="1" applyProtection="1">
      <alignment vertical="center"/>
    </xf>
    <xf numFmtId="164" fontId="14" fillId="0" borderId="0" xfId="1" applyNumberFormat="1" applyFont="1" applyAlignment="1" applyProtection="1">
      <alignment vertical="center"/>
    </xf>
    <xf numFmtId="164" fontId="16" fillId="0" borderId="0" xfId="1" applyNumberFormat="1" applyFont="1" applyAlignment="1">
      <alignment vertical="center"/>
    </xf>
    <xf numFmtId="0" fontId="9" fillId="2" borderId="1" xfId="0" applyFont="1" applyFill="1" applyBorder="1" applyAlignment="1" applyProtection="1">
      <alignment horizontal="left" vertical="top" wrapText="1"/>
    </xf>
    <xf numFmtId="0" fontId="9" fillId="2" borderId="9" xfId="0" applyFont="1" applyFill="1" applyBorder="1" applyAlignment="1" applyProtection="1">
      <alignment vertical="top" wrapText="1"/>
    </xf>
    <xf numFmtId="164" fontId="10" fillId="10" borderId="9" xfId="1" applyNumberFormat="1" applyFont="1" applyFill="1" applyBorder="1" applyAlignment="1" applyProtection="1">
      <alignment horizontal="left" vertical="center" wrapText="1"/>
    </xf>
    <xf numFmtId="164" fontId="9" fillId="3" borderId="1" xfId="1" applyNumberFormat="1" applyFont="1" applyFill="1" applyBorder="1" applyAlignment="1" applyProtection="1">
      <alignment vertical="center"/>
    </xf>
    <xf numFmtId="167" fontId="16" fillId="3" borderId="23" xfId="1" applyNumberFormat="1" applyFont="1" applyFill="1" applyBorder="1" applyAlignment="1" applyProtection="1">
      <alignment horizontal="center"/>
    </xf>
    <xf numFmtId="167" fontId="16" fillId="4" borderId="26" xfId="1" applyNumberFormat="1" applyFont="1" applyFill="1" applyBorder="1" applyAlignment="1" applyProtection="1">
      <alignment horizontal="center" vertical="center"/>
    </xf>
    <xf numFmtId="164" fontId="16" fillId="0" borderId="0" xfId="1" applyNumberFormat="1" applyFont="1" applyAlignment="1">
      <alignment vertical="top"/>
    </xf>
    <xf numFmtId="164" fontId="11" fillId="7" borderId="12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164" fontId="9" fillId="2" borderId="1" xfId="1" applyNumberFormat="1" applyFont="1" applyFill="1" applyBorder="1" applyAlignment="1" applyProtection="1">
      <alignment horizontal="left" wrapText="1"/>
    </xf>
    <xf numFmtId="164" fontId="1" fillId="0" borderId="0" xfId="1" applyNumberFormat="1" applyFont="1" applyAlignment="1"/>
    <xf numFmtId="0" fontId="0" fillId="15" borderId="0" xfId="0" applyFill="1"/>
    <xf numFmtId="164" fontId="24" fillId="10" borderId="9" xfId="1" applyNumberFormat="1" applyFont="1" applyFill="1" applyBorder="1" applyAlignment="1" applyProtection="1">
      <alignment horizontal="left" vertical="center" wrapText="1"/>
    </xf>
    <xf numFmtId="164" fontId="9" fillId="2" borderId="9" xfId="1" applyNumberFormat="1" applyFont="1" applyFill="1" applyBorder="1" applyAlignment="1" applyProtection="1">
      <alignment horizontal="left" vertical="center"/>
    </xf>
    <xf numFmtId="167" fontId="22" fillId="3" borderId="18" xfId="1" applyNumberFormat="1" applyFont="1" applyFill="1" applyBorder="1" applyAlignment="1" applyProtection="1">
      <alignment horizontal="center" vertical="center" wrapText="1"/>
    </xf>
    <xf numFmtId="1" fontId="10" fillId="8" borderId="18" xfId="1" applyNumberFormat="1" applyFont="1" applyFill="1" applyBorder="1" applyAlignment="1" applyProtection="1">
      <alignment horizontal="center" vertical="center" wrapText="1"/>
    </xf>
    <xf numFmtId="1" fontId="10" fillId="8" borderId="1" xfId="1" applyNumberFormat="1" applyFont="1" applyFill="1" applyBorder="1" applyAlignment="1" applyProtection="1">
      <alignment horizontal="center" vertical="center" wrapText="1"/>
    </xf>
    <xf numFmtId="165" fontId="11" fillId="0" borderId="9" xfId="3" applyNumberFormat="1" applyFont="1" applyFill="1" applyBorder="1" applyAlignment="1" applyProtection="1">
      <alignment horizontal="left"/>
    </xf>
    <xf numFmtId="164" fontId="24" fillId="10" borderId="1" xfId="1" applyNumberFormat="1" applyFont="1" applyFill="1" applyBorder="1" applyAlignment="1" applyProtection="1">
      <alignment horizontal="left" vertical="center" wrapText="1"/>
    </xf>
    <xf numFmtId="164" fontId="24" fillId="10" borderId="9" xfId="1" applyNumberFormat="1" applyFont="1" applyFill="1" applyBorder="1" applyAlignment="1" applyProtection="1">
      <alignment vertical="center" wrapText="1"/>
    </xf>
    <xf numFmtId="164" fontId="24" fillId="10" borderId="10" xfId="1" applyNumberFormat="1" applyFont="1" applyFill="1" applyBorder="1" applyAlignment="1" applyProtection="1">
      <alignment vertical="center" wrapText="1"/>
    </xf>
    <xf numFmtId="164" fontId="24" fillId="10" borderId="2" xfId="1" applyNumberFormat="1" applyFont="1" applyFill="1" applyBorder="1" applyAlignment="1" applyProtection="1">
      <alignment vertical="center" wrapText="1"/>
    </xf>
    <xf numFmtId="164" fontId="32" fillId="0" borderId="1" xfId="1" applyNumberFormat="1" applyFont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left"/>
    </xf>
    <xf numFmtId="164" fontId="33" fillId="0" borderId="0" xfId="1" applyNumberFormat="1" applyFont="1" applyAlignment="1" applyProtection="1">
      <alignment horizontal="left"/>
    </xf>
    <xf numFmtId="0" fontId="9" fillId="0" borderId="0" xfId="0" applyFont="1" applyAlignment="1">
      <alignment horizontal="right"/>
    </xf>
    <xf numFmtId="164" fontId="16" fillId="0" borderId="0" xfId="1" applyNumberFormat="1" applyFont="1" applyAlignment="1">
      <alignment horizontal="right"/>
    </xf>
    <xf numFmtId="164" fontId="24" fillId="10" borderId="0" xfId="1" applyNumberFormat="1" applyFont="1" applyFill="1" applyBorder="1" applyAlignment="1" applyProtection="1">
      <alignment vertical="center" wrapText="1"/>
    </xf>
    <xf numFmtId="164" fontId="24" fillId="10" borderId="9" xfId="1" applyNumberFormat="1" applyFont="1" applyFill="1" applyBorder="1" applyAlignment="1" applyProtection="1">
      <alignment horizontal="left" vertical="center"/>
    </xf>
    <xf numFmtId="164" fontId="16" fillId="0" borderId="0" xfId="1" applyNumberFormat="1" applyFont="1" applyFill="1" applyBorder="1" applyAlignment="1">
      <alignment horizontal="right" vertical="top" wrapText="1"/>
    </xf>
    <xf numFmtId="164" fontId="16" fillId="0" borderId="0" xfId="1" applyNumberFormat="1" applyFont="1" applyAlignment="1">
      <alignment horizontal="right" vertical="top"/>
    </xf>
    <xf numFmtId="164" fontId="10" fillId="5" borderId="0" xfId="1" applyNumberFormat="1" applyFont="1" applyFill="1" applyBorder="1" applyAlignment="1" applyProtection="1">
      <alignment horizontal="right"/>
    </xf>
    <xf numFmtId="164" fontId="10" fillId="5" borderId="8" xfId="1" applyNumberFormat="1" applyFont="1" applyFill="1" applyBorder="1" applyAlignment="1" applyProtection="1">
      <alignment horizontal="right"/>
    </xf>
    <xf numFmtId="164" fontId="10" fillId="5" borderId="1" xfId="1" applyNumberFormat="1" applyFont="1" applyFill="1" applyBorder="1" applyAlignment="1" applyProtection="1">
      <alignment horizontal="right"/>
    </xf>
    <xf numFmtId="164" fontId="10" fillId="5" borderId="10" xfId="1" applyNumberFormat="1" applyFont="1" applyFill="1" applyBorder="1" applyAlignment="1" applyProtection="1">
      <alignment horizontal="right"/>
    </xf>
    <xf numFmtId="164" fontId="16" fillId="0" borderId="0" xfId="1" applyNumberFormat="1" applyFont="1" applyBorder="1" applyAlignment="1">
      <alignment horizontal="right"/>
    </xf>
    <xf numFmtId="3" fontId="16" fillId="6" borderId="1" xfId="1" applyNumberFormat="1" applyFont="1" applyFill="1" applyBorder="1" applyAlignment="1" applyProtection="1">
      <protection locked="0"/>
    </xf>
    <xf numFmtId="164" fontId="16" fillId="9" borderId="1" xfId="1" applyNumberFormat="1" applyFont="1" applyFill="1" applyBorder="1" applyAlignment="1" applyProtection="1">
      <protection locked="0"/>
    </xf>
    <xf numFmtId="0" fontId="9" fillId="3" borderId="12" xfId="0" applyFont="1" applyFill="1" applyBorder="1" applyAlignment="1" applyProtection="1">
      <alignment horizontal="center" vertical="center" wrapText="1"/>
    </xf>
    <xf numFmtId="164" fontId="9" fillId="3" borderId="12" xfId="1" applyNumberFormat="1" applyFont="1" applyFill="1" applyBorder="1" applyAlignment="1" applyProtection="1">
      <alignment horizontal="center" vertical="center" wrapText="1"/>
    </xf>
    <xf numFmtId="164" fontId="24" fillId="10" borderId="9" xfId="1" applyNumberFormat="1" applyFont="1" applyFill="1" applyBorder="1" applyAlignment="1" applyProtection="1">
      <alignment vertical="top" wrapText="1"/>
    </xf>
    <xf numFmtId="3" fontId="9" fillId="6" borderId="1" xfId="0" applyNumberFormat="1" applyFont="1" applyFill="1" applyBorder="1" applyAlignment="1" applyProtection="1">
      <alignment vertical="center"/>
      <protection locked="0"/>
    </xf>
    <xf numFmtId="166" fontId="9" fillId="12" borderId="9" xfId="1" applyNumberFormat="1" applyFont="1" applyFill="1" applyBorder="1" applyAlignment="1" applyProtection="1">
      <protection locked="0"/>
    </xf>
    <xf numFmtId="1" fontId="0" fillId="0" borderId="0" xfId="0" applyNumberFormat="1"/>
    <xf numFmtId="0" fontId="0" fillId="15" borderId="0" xfId="0" applyFill="1" applyAlignment="1"/>
    <xf numFmtId="166" fontId="9" fillId="12" borderId="12" xfId="1" applyNumberFormat="1" applyFont="1" applyFill="1" applyBorder="1" applyProtection="1"/>
    <xf numFmtId="165" fontId="9" fillId="0" borderId="1" xfId="3" applyNumberFormat="1" applyFont="1" applyFill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center" vertical="center"/>
    </xf>
    <xf numFmtId="3" fontId="9" fillId="13" borderId="2" xfId="1" applyNumberFormat="1" applyFont="1" applyFill="1" applyBorder="1" applyProtection="1"/>
    <xf numFmtId="1" fontId="28" fillId="0" borderId="2" xfId="1" applyNumberFormat="1" applyFont="1" applyFill="1" applyBorder="1" applyAlignment="1" applyProtection="1">
      <alignment horizontal="right"/>
    </xf>
    <xf numFmtId="164" fontId="24" fillId="10" borderId="1" xfId="1" applyNumberFormat="1" applyFont="1" applyFill="1" applyBorder="1" applyAlignment="1" applyProtection="1">
      <alignment vertical="center" wrapText="1"/>
    </xf>
    <xf numFmtId="1" fontId="28" fillId="0" borderId="9" xfId="1" applyNumberFormat="1" applyFont="1" applyFill="1" applyBorder="1" applyAlignment="1" applyProtection="1">
      <alignment horizontal="right"/>
    </xf>
    <xf numFmtId="167" fontId="9" fillId="3" borderId="1" xfId="1" applyNumberFormat="1" applyFont="1" applyFill="1" applyBorder="1" applyAlignment="1" applyProtection="1">
      <alignment horizontal="center" vertical="center" wrapText="1"/>
    </xf>
    <xf numFmtId="167" fontId="9" fillId="4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/>
    <xf numFmtId="0" fontId="11" fillId="0" borderId="10" xfId="0" applyFont="1" applyFill="1" applyBorder="1" applyProtection="1"/>
    <xf numFmtId="0" fontId="11" fillId="0" borderId="2" xfId="0" applyFont="1" applyFill="1" applyBorder="1" applyProtection="1"/>
    <xf numFmtId="0" fontId="11" fillId="0" borderId="1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/>
    </xf>
    <xf numFmtId="165" fontId="11" fillId="0" borderId="0" xfId="3" applyNumberFormat="1" applyFont="1" applyFill="1" applyBorder="1" applyProtection="1">
      <protection locked="0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/>
    <xf numFmtId="0" fontId="15" fillId="0" borderId="0" xfId="0" applyFont="1" applyProtection="1"/>
    <xf numFmtId="0" fontId="39" fillId="2" borderId="0" xfId="0" applyFont="1" applyFill="1" applyBorder="1" applyAlignment="1" applyProtection="1">
      <alignment horizontal="left"/>
    </xf>
    <xf numFmtId="0" fontId="39" fillId="2" borderId="0" xfId="0" applyFont="1" applyFill="1" applyBorder="1" applyAlignment="1" applyProtection="1"/>
    <xf numFmtId="166" fontId="41" fillId="3" borderId="1" xfId="1" applyNumberFormat="1" applyFont="1" applyFill="1" applyBorder="1" applyAlignment="1" applyProtection="1">
      <alignment horizontal="right" wrapText="1"/>
    </xf>
    <xf numFmtId="3" fontId="15" fillId="0" borderId="0" xfId="0" applyNumberFormat="1" applyFont="1" applyAlignment="1" applyProtection="1">
      <alignment horizontal="left"/>
    </xf>
    <xf numFmtId="3" fontId="15" fillId="0" borderId="0" xfId="0" applyNumberFormat="1" applyFont="1" applyAlignment="1" applyProtection="1"/>
    <xf numFmtId="3" fontId="15" fillId="4" borderId="1" xfId="0" applyNumberFormat="1" applyFont="1" applyFill="1" applyBorder="1" applyAlignment="1" applyProtection="1">
      <alignment horizontal="right"/>
    </xf>
    <xf numFmtId="0" fontId="15" fillId="0" borderId="0" xfId="0" applyFont="1" applyAlignment="1" applyProtection="1">
      <alignment vertical="center"/>
    </xf>
    <xf numFmtId="0" fontId="15" fillId="5" borderId="27" xfId="0" applyFont="1" applyFill="1" applyBorder="1" applyAlignment="1" applyProtection="1">
      <alignment horizontal="left"/>
    </xf>
    <xf numFmtId="3" fontId="15" fillId="5" borderId="21" xfId="0" applyNumberFormat="1" applyFont="1" applyFill="1" applyBorder="1" applyAlignment="1" applyProtection="1"/>
    <xf numFmtId="3" fontId="15" fillId="5" borderId="0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left" vertical="center"/>
    </xf>
    <xf numFmtId="164" fontId="24" fillId="10" borderId="1" xfId="1" applyNumberFormat="1" applyFont="1" applyFill="1" applyBorder="1" applyAlignment="1" applyProtection="1">
      <alignment horizontal="left" vertical="center"/>
    </xf>
    <xf numFmtId="10" fontId="9" fillId="6" borderId="9" xfId="1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top" wrapText="1"/>
    </xf>
    <xf numFmtId="166" fontId="17" fillId="17" borderId="1" xfId="1" applyNumberFormat="1" applyFont="1" applyFill="1" applyBorder="1" applyAlignment="1" applyProtection="1">
      <alignment horizontal="right"/>
    </xf>
    <xf numFmtId="166" fontId="42" fillId="17" borderId="1" xfId="1" applyNumberFormat="1" applyFont="1" applyFill="1" applyBorder="1" applyAlignment="1" applyProtection="1">
      <alignment horizontal="right"/>
    </xf>
    <xf numFmtId="166" fontId="9" fillId="3" borderId="18" xfId="1" applyNumberFormat="1" applyFont="1" applyFill="1" applyBorder="1" applyProtection="1"/>
    <xf numFmtId="165" fontId="11" fillId="0" borderId="4" xfId="3" applyNumberFormat="1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center" vertical="top" wrapText="1"/>
    </xf>
    <xf numFmtId="165" fontId="11" fillId="0" borderId="5" xfId="3" applyNumberFormat="1" applyFont="1" applyFill="1" applyBorder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2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/>
    <xf numFmtId="1" fontId="0" fillId="0" borderId="0" xfId="0" applyNumberFormat="1" applyAlignment="1">
      <alignment horizontal="right"/>
    </xf>
    <xf numFmtId="166" fontId="31" fillId="5" borderId="1" xfId="1" applyNumberFormat="1" applyFont="1" applyFill="1" applyBorder="1" applyAlignment="1">
      <alignment horizontal="left"/>
    </xf>
    <xf numFmtId="166" fontId="13" fillId="0" borderId="0" xfId="1" applyNumberFormat="1" applyFont="1" applyFill="1" applyBorder="1" applyAlignment="1">
      <alignment horizontal="right"/>
    </xf>
    <xf numFmtId="1" fontId="39" fillId="0" borderId="0" xfId="1" applyNumberFormat="1" applyFont="1" applyFill="1" applyBorder="1" applyAlignment="1" applyProtection="1">
      <alignment horizontal="left" vertical="center" wrapText="1"/>
    </xf>
    <xf numFmtId="3" fontId="15" fillId="0" borderId="0" xfId="0" applyNumberFormat="1" applyFont="1" applyFill="1" applyBorder="1" applyAlignment="1" applyProtection="1">
      <alignment horizontal="right"/>
    </xf>
    <xf numFmtId="167" fontId="40" fillId="3" borderId="1" xfId="1" applyNumberFormat="1" applyFont="1" applyFill="1" applyBorder="1" applyAlignment="1" applyProtection="1">
      <alignment horizontal="right" vertical="center" wrapText="1"/>
    </xf>
    <xf numFmtId="1" fontId="39" fillId="8" borderId="1" xfId="1" applyNumberFormat="1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center"/>
    </xf>
    <xf numFmtId="164" fontId="24" fillId="10" borderId="1" xfId="1" applyNumberFormat="1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top" wrapText="1"/>
    </xf>
    <xf numFmtId="164" fontId="24" fillId="10" borderId="18" xfId="1" applyNumberFormat="1" applyFont="1" applyFill="1" applyBorder="1" applyAlignment="1" applyProtection="1">
      <alignment vertical="center" wrapText="1"/>
    </xf>
    <xf numFmtId="164" fontId="43" fillId="5" borderId="35" xfId="1" applyNumberFormat="1" applyFont="1" applyFill="1" applyBorder="1" applyAlignment="1" applyProtection="1"/>
    <xf numFmtId="164" fontId="43" fillId="5" borderId="34" xfId="1" applyNumberFormat="1" applyFont="1" applyFill="1" applyBorder="1" applyAlignment="1" applyProtection="1"/>
    <xf numFmtId="164" fontId="34" fillId="5" borderId="33" xfId="1" applyNumberFormat="1" applyFont="1" applyFill="1" applyBorder="1" applyAlignment="1" applyProtection="1">
      <alignment horizontal="left"/>
    </xf>
    <xf numFmtId="164" fontId="24" fillId="10" borderId="18" xfId="1" applyNumberFormat="1" applyFont="1" applyFill="1" applyBorder="1" applyAlignment="1" applyProtection="1">
      <alignment horizontal="left" vertical="center" wrapText="1"/>
    </xf>
    <xf numFmtId="164" fontId="16" fillId="0" borderId="0" xfId="1" applyNumberFormat="1" applyFont="1" applyAlignment="1">
      <alignment horizontal="left"/>
    </xf>
    <xf numFmtId="164" fontId="24" fillId="10" borderId="4" xfId="1" applyNumberFormat="1" applyFont="1" applyFill="1" applyBorder="1" applyAlignment="1" applyProtection="1">
      <alignment horizontal="left" vertical="center"/>
    </xf>
    <xf numFmtId="164" fontId="24" fillId="10" borderId="5" xfId="1" applyNumberFormat="1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protection hidden="1"/>
    </xf>
    <xf numFmtId="164" fontId="26" fillId="2" borderId="1" xfId="1" applyNumberFormat="1" applyFont="1" applyFill="1" applyBorder="1" applyAlignment="1" applyProtection="1">
      <alignment horizontal="right"/>
    </xf>
    <xf numFmtId="4" fontId="9" fillId="6" borderId="1" xfId="1" applyNumberFormat="1" applyFont="1" applyFill="1" applyBorder="1" applyProtection="1">
      <protection locked="0"/>
    </xf>
    <xf numFmtId="0" fontId="21" fillId="16" borderId="9" xfId="0" applyFont="1" applyFill="1" applyBorder="1" applyAlignment="1" applyProtection="1">
      <alignment horizontal="center" vertical="top" wrapText="1"/>
    </xf>
    <xf numFmtId="0" fontId="21" fillId="16" borderId="10" xfId="0" applyFont="1" applyFill="1" applyBorder="1" applyAlignment="1" applyProtection="1">
      <alignment horizontal="center" vertical="top" wrapText="1"/>
    </xf>
    <xf numFmtId="0" fontId="21" fillId="16" borderId="2" xfId="0" applyFont="1" applyFill="1" applyBorder="1" applyAlignment="1" applyProtection="1">
      <alignment horizontal="center" vertical="top" wrapText="1"/>
    </xf>
    <xf numFmtId="165" fontId="11" fillId="0" borderId="9" xfId="3" applyNumberFormat="1" applyFont="1" applyFill="1" applyBorder="1" applyAlignment="1" applyProtection="1">
      <alignment horizontal="center"/>
    </xf>
    <xf numFmtId="165" fontId="11" fillId="0" borderId="2" xfId="3" applyNumberFormat="1" applyFont="1" applyFill="1" applyBorder="1" applyAlignment="1" applyProtection="1">
      <alignment horizontal="center"/>
    </xf>
    <xf numFmtId="165" fontId="11" fillId="0" borderId="10" xfId="3" applyNumberFormat="1" applyFont="1" applyFill="1" applyBorder="1" applyAlignment="1" applyProtection="1">
      <alignment horizontal="center"/>
    </xf>
    <xf numFmtId="165" fontId="11" fillId="0" borderId="9" xfId="3" applyNumberFormat="1" applyFont="1" applyFill="1" applyBorder="1" applyAlignment="1" applyProtection="1">
      <alignment horizontal="left"/>
    </xf>
    <xf numFmtId="165" fontId="11" fillId="0" borderId="2" xfId="3" applyNumberFormat="1" applyFont="1" applyFill="1" applyBorder="1" applyAlignment="1" applyProtection="1">
      <alignment horizontal="left"/>
    </xf>
    <xf numFmtId="3" fontId="16" fillId="6" borderId="9" xfId="1" applyNumberFormat="1" applyFont="1" applyFill="1" applyBorder="1" applyAlignment="1" applyProtection="1">
      <alignment horizontal="left" vertical="center"/>
    </xf>
    <xf numFmtId="164" fontId="24" fillId="19" borderId="9" xfId="1" applyNumberFormat="1" applyFont="1" applyFill="1" applyBorder="1" applyAlignment="1" applyProtection="1">
      <alignment vertical="center" wrapText="1"/>
    </xf>
    <xf numFmtId="164" fontId="10" fillId="2" borderId="9" xfId="1" applyNumberFormat="1" applyFont="1" applyFill="1" applyBorder="1" applyAlignment="1" applyProtection="1">
      <alignment horizontal="left" vertical="center"/>
    </xf>
    <xf numFmtId="3" fontId="14" fillId="6" borderId="1" xfId="1" applyNumberFormat="1" applyFont="1" applyFill="1" applyBorder="1" applyAlignment="1" applyProtection="1">
      <alignment horizontal="right" vertical="center"/>
      <protection locked="0"/>
    </xf>
    <xf numFmtId="164" fontId="9" fillId="20" borderId="1" xfId="1" applyNumberFormat="1" applyFont="1" applyFill="1" applyBorder="1" applyAlignment="1" applyProtection="1">
      <alignment vertical="center"/>
    </xf>
    <xf numFmtId="164" fontId="9" fillId="21" borderId="1" xfId="1" applyNumberFormat="1" applyFont="1" applyFill="1" applyBorder="1" applyAlignment="1" applyProtection="1">
      <alignment vertical="center"/>
    </xf>
    <xf numFmtId="164" fontId="9" fillId="19" borderId="10" xfId="1" applyNumberFormat="1" applyFont="1" applyFill="1" applyBorder="1" applyAlignment="1" applyProtection="1">
      <alignment vertical="center" wrapText="1"/>
    </xf>
    <xf numFmtId="164" fontId="9" fillId="10" borderId="10" xfId="1" applyNumberFormat="1" applyFont="1" applyFill="1" applyBorder="1" applyAlignment="1" applyProtection="1">
      <alignment vertical="center" wrapText="1"/>
    </xf>
    <xf numFmtId="164" fontId="9" fillId="2" borderId="10" xfId="1" applyNumberFormat="1" applyFont="1" applyFill="1" applyBorder="1" applyAlignment="1" applyProtection="1">
      <alignment horizontal="left" vertical="center"/>
    </xf>
    <xf numFmtId="164" fontId="9" fillId="2" borderId="2" xfId="1" applyNumberFormat="1" applyFont="1" applyFill="1" applyBorder="1" applyAlignment="1" applyProtection="1">
      <alignment horizontal="left" vertical="center"/>
    </xf>
    <xf numFmtId="164" fontId="9" fillId="19" borderId="1" xfId="1" applyNumberFormat="1" applyFont="1" applyFill="1" applyBorder="1" applyAlignment="1" applyProtection="1">
      <alignment vertical="center" wrapText="1"/>
    </xf>
    <xf numFmtId="164" fontId="14" fillId="0" borderId="0" xfId="1" applyNumberFormat="1" applyFont="1" applyBorder="1"/>
    <xf numFmtId="164" fontId="18" fillId="0" borderId="0" xfId="1" applyNumberFormat="1" applyFont="1" applyAlignment="1">
      <alignment horizontal="center"/>
    </xf>
    <xf numFmtId="164" fontId="26" fillId="2" borderId="10" xfId="1" applyNumberFormat="1" applyFont="1" applyFill="1" applyBorder="1" applyAlignment="1" applyProtection="1"/>
    <xf numFmtId="165" fontId="9" fillId="0" borderId="9" xfId="3" applyNumberFormat="1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center" vertical="center"/>
    </xf>
    <xf numFmtId="167" fontId="22" fillId="0" borderId="5" xfId="1" applyNumberFormat="1" applyFont="1" applyFill="1" applyBorder="1" applyAlignment="1" applyProtection="1">
      <alignment horizontal="center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6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165" fontId="9" fillId="0" borderId="18" xfId="3" applyNumberFormat="1" applyFont="1" applyFill="1" applyBorder="1" applyAlignment="1" applyProtection="1">
      <alignment horizontal="left"/>
    </xf>
    <xf numFmtId="3" fontId="9" fillId="6" borderId="18" xfId="1" applyNumberFormat="1" applyFont="1" applyFill="1" applyBorder="1" applyProtection="1">
      <protection locked="0"/>
    </xf>
    <xf numFmtId="167" fontId="22" fillId="3" borderId="1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vertical="center"/>
    </xf>
    <xf numFmtId="1" fontId="9" fillId="0" borderId="12" xfId="0" applyNumberFormat="1" applyFont="1" applyFill="1" applyBorder="1" applyAlignment="1" applyProtection="1">
      <alignment horizontal="left"/>
    </xf>
    <xf numFmtId="0" fontId="9" fillId="0" borderId="18" xfId="0" applyFont="1" applyBorder="1" applyAlignment="1" applyProtection="1">
      <alignment horizontal="left"/>
    </xf>
    <xf numFmtId="0" fontId="11" fillId="0" borderId="1" xfId="0" applyFont="1" applyFill="1" applyBorder="1" applyProtection="1"/>
    <xf numFmtId="0" fontId="6" fillId="0" borderId="0" xfId="0" applyFont="1" applyFill="1" applyBorder="1" applyAlignment="1" applyProtection="1">
      <alignment horizontal="center" vertical="top" wrapText="1"/>
    </xf>
    <xf numFmtId="0" fontId="9" fillId="0" borderId="4" xfId="0" applyFont="1" applyBorder="1" applyProtection="1"/>
    <xf numFmtId="165" fontId="11" fillId="0" borderId="5" xfId="3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top" wrapText="1"/>
    </xf>
    <xf numFmtId="165" fontId="11" fillId="0" borderId="18" xfId="3" applyNumberFormat="1" applyFont="1" applyFill="1" applyBorder="1" applyProtection="1">
      <protection locked="0"/>
    </xf>
    <xf numFmtId="165" fontId="11" fillId="0" borderId="6" xfId="3" applyNumberFormat="1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 vertical="top" wrapText="1"/>
    </xf>
    <xf numFmtId="165" fontId="20" fillId="0" borderId="5" xfId="3" applyNumberFormat="1" applyFont="1" applyFill="1" applyBorder="1" applyProtection="1">
      <protection locked="0"/>
    </xf>
    <xf numFmtId="165" fontId="20" fillId="0" borderId="6" xfId="3" applyNumberFormat="1" applyFont="1" applyFill="1" applyBorder="1" applyProtection="1">
      <protection locked="0"/>
    </xf>
    <xf numFmtId="0" fontId="9" fillId="0" borderId="4" xfId="0" applyFont="1" applyFill="1" applyBorder="1" applyProtection="1"/>
    <xf numFmtId="0" fontId="9" fillId="0" borderId="5" xfId="0" applyFont="1" applyFill="1" applyBorder="1" applyProtection="1"/>
    <xf numFmtId="0" fontId="9" fillId="0" borderId="6" xfId="0" applyFont="1" applyFill="1" applyBorder="1" applyProtection="1"/>
    <xf numFmtId="0" fontId="9" fillId="0" borderId="3" xfId="0" applyFont="1" applyBorder="1" applyProtection="1"/>
    <xf numFmtId="0" fontId="9" fillId="0" borderId="7" xfId="0" applyFont="1" applyBorder="1" applyProtection="1"/>
    <xf numFmtId="1" fontId="42" fillId="0" borderId="9" xfId="1" applyNumberFormat="1" applyFont="1" applyFill="1" applyBorder="1" applyAlignment="1" applyProtection="1">
      <alignment horizontal="right"/>
    </xf>
    <xf numFmtId="164" fontId="46" fillId="19" borderId="10" xfId="1" applyNumberFormat="1" applyFont="1" applyFill="1" applyBorder="1" applyAlignment="1" applyProtection="1">
      <alignment vertical="center" wrapText="1"/>
    </xf>
    <xf numFmtId="164" fontId="46" fillId="10" borderId="10" xfId="1" applyNumberFormat="1" applyFont="1" applyFill="1" applyBorder="1" applyAlignment="1" applyProtection="1">
      <alignment vertical="center" wrapText="1"/>
    </xf>
    <xf numFmtId="164" fontId="24" fillId="5" borderId="32" xfId="1" applyNumberFormat="1" applyFont="1" applyFill="1" applyBorder="1" applyAlignment="1" applyProtection="1">
      <alignment horizontal="left" vertical="center"/>
    </xf>
    <xf numFmtId="164" fontId="34" fillId="0" borderId="0" xfId="1" applyNumberFormat="1" applyFont="1" applyAlignment="1" applyProtection="1">
      <alignment vertical="center"/>
    </xf>
    <xf numFmtId="166" fontId="47" fillId="5" borderId="19" xfId="1" applyNumberFormat="1" applyFont="1" applyFill="1" applyBorder="1" applyAlignment="1" applyProtection="1">
      <alignment horizontal="right" vertical="center"/>
    </xf>
    <xf numFmtId="164" fontId="37" fillId="0" borderId="0" xfId="1" applyNumberFormat="1" applyFont="1" applyAlignment="1" applyProtection="1">
      <alignment vertical="center"/>
    </xf>
    <xf numFmtId="164" fontId="47" fillId="0" borderId="0" xfId="1" applyNumberFormat="1" applyFont="1" applyAlignment="1" applyProtection="1">
      <alignment vertical="center"/>
    </xf>
    <xf numFmtId="164" fontId="9" fillId="19" borderId="1" xfId="1" applyNumberFormat="1" applyFont="1" applyFill="1" applyBorder="1" applyAlignment="1" applyProtection="1">
      <alignment vertical="center"/>
    </xf>
    <xf numFmtId="164" fontId="9" fillId="21" borderId="9" xfId="1" applyNumberFormat="1" applyFont="1" applyFill="1" applyBorder="1" applyAlignment="1" applyProtection="1">
      <alignment horizontal="left" vertical="center"/>
    </xf>
    <xf numFmtId="164" fontId="9" fillId="21" borderId="10" xfId="1" applyNumberFormat="1" applyFont="1" applyFill="1" applyBorder="1" applyAlignment="1" applyProtection="1">
      <alignment horizontal="left" vertical="center"/>
    </xf>
    <xf numFmtId="164" fontId="9" fillId="21" borderId="2" xfId="1" applyNumberFormat="1" applyFont="1" applyFill="1" applyBorder="1" applyAlignment="1" applyProtection="1">
      <alignment horizontal="left" vertical="center"/>
    </xf>
    <xf numFmtId="0" fontId="9" fillId="6" borderId="10" xfId="0" applyFont="1" applyFill="1" applyBorder="1" applyAlignment="1" applyProtection="1">
      <alignment horizontal="left"/>
      <protection locked="0"/>
    </xf>
    <xf numFmtId="164" fontId="16" fillId="0" borderId="0" xfId="1" applyNumberFormat="1" applyFont="1" applyAlignment="1">
      <alignment horizontal="right" vertical="center"/>
    </xf>
    <xf numFmtId="1" fontId="14" fillId="3" borderId="1" xfId="1" applyNumberFormat="1" applyFont="1" applyFill="1" applyBorder="1" applyAlignment="1">
      <alignment horizontal="center"/>
    </xf>
    <xf numFmtId="1" fontId="14" fillId="3" borderId="9" xfId="1" applyNumberFormat="1" applyFont="1" applyFill="1" applyBorder="1" applyAlignment="1">
      <alignment horizontal="center"/>
    </xf>
    <xf numFmtId="0" fontId="9" fillId="6" borderId="10" xfId="0" applyFont="1" applyFill="1" applyBorder="1" applyAlignment="1" applyProtection="1">
      <alignment horizontal="left" vertical="top" wrapText="1"/>
      <protection locked="0"/>
    </xf>
    <xf numFmtId="169" fontId="13" fillId="4" borderId="1" xfId="1" applyNumberFormat="1" applyFont="1" applyFill="1" applyBorder="1" applyAlignment="1">
      <alignment horizontal="right"/>
    </xf>
    <xf numFmtId="167" fontId="16" fillId="4" borderId="1" xfId="1" applyNumberFormat="1" applyFont="1" applyFill="1" applyBorder="1" applyAlignment="1" applyProtection="1">
      <alignment horizontal="center" vertical="center"/>
    </xf>
    <xf numFmtId="164" fontId="48" fillId="5" borderId="1" xfId="1" applyNumberFormat="1" applyFont="1" applyFill="1" applyBorder="1" applyAlignment="1" applyProtection="1"/>
    <xf numFmtId="164" fontId="10" fillId="5" borderId="1" xfId="1" applyNumberFormat="1" applyFont="1" applyFill="1" applyBorder="1" applyAlignment="1" applyProtection="1">
      <alignment horizontal="left"/>
    </xf>
    <xf numFmtId="164" fontId="10" fillId="19" borderId="10" xfId="1" applyNumberFormat="1" applyFont="1" applyFill="1" applyBorder="1" applyAlignment="1" applyProtection="1">
      <alignment vertical="center" wrapText="1"/>
    </xf>
    <xf numFmtId="164" fontId="10" fillId="10" borderId="10" xfId="1" applyNumberFormat="1" applyFont="1" applyFill="1" applyBorder="1" applyAlignment="1" applyProtection="1">
      <alignment vertical="center" wrapText="1"/>
    </xf>
    <xf numFmtId="3" fontId="16" fillId="6" borderId="9" xfId="1" applyNumberFormat="1" applyFont="1" applyFill="1" applyBorder="1" applyAlignment="1" applyProtection="1">
      <alignment horizontal="left"/>
    </xf>
    <xf numFmtId="3" fontId="16" fillId="6" borderId="10" xfId="1" applyNumberFormat="1" applyFont="1" applyFill="1" applyBorder="1" applyAlignment="1" applyProtection="1">
      <alignment horizontal="left" vertical="center"/>
    </xf>
    <xf numFmtId="164" fontId="15" fillId="3" borderId="1" xfId="1" applyNumberFormat="1" applyFont="1" applyFill="1" applyBorder="1" applyAlignment="1" applyProtection="1">
      <alignment vertical="center"/>
    </xf>
    <xf numFmtId="164" fontId="39" fillId="5" borderId="1" xfId="1" applyNumberFormat="1" applyFont="1" applyFill="1" applyBorder="1" applyAlignment="1" applyProtection="1">
      <alignment horizontal="left"/>
    </xf>
    <xf numFmtId="3" fontId="49" fillId="0" borderId="0" xfId="0" applyNumberFormat="1" applyFont="1" applyAlignment="1" applyProtection="1">
      <alignment horizontal="left"/>
    </xf>
    <xf numFmtId="3" fontId="49" fillId="0" borderId="0" xfId="0" applyNumberFormat="1" applyFont="1" applyAlignment="1" applyProtection="1"/>
    <xf numFmtId="3" fontId="49" fillId="5" borderId="0" xfId="0" applyNumberFormat="1" applyFont="1" applyFill="1" applyBorder="1" applyAlignment="1" applyProtection="1">
      <alignment horizontal="right"/>
    </xf>
    <xf numFmtId="0" fontId="49" fillId="0" borderId="0" xfId="0" applyFont="1" applyProtection="1"/>
    <xf numFmtId="0" fontId="49" fillId="0" borderId="0" xfId="0" applyFont="1" applyAlignment="1" applyProtection="1">
      <alignment horizontal="left"/>
    </xf>
    <xf numFmtId="3" fontId="49" fillId="0" borderId="0" xfId="0" applyNumberFormat="1" applyFont="1" applyProtection="1"/>
    <xf numFmtId="0" fontId="49" fillId="18" borderId="9" xfId="0" applyNumberFormat="1" applyFont="1" applyFill="1" applyBorder="1" applyAlignment="1" applyProtection="1"/>
    <xf numFmtId="0" fontId="49" fillId="18" borderId="10" xfId="0" applyNumberFormat="1" applyFont="1" applyFill="1" applyBorder="1" applyAlignment="1" applyProtection="1"/>
    <xf numFmtId="0" fontId="49" fillId="18" borderId="2" xfId="0" applyNumberFormat="1" applyFont="1" applyFill="1" applyBorder="1" applyAlignment="1" applyProtection="1"/>
    <xf numFmtId="0" fontId="49" fillId="18" borderId="9" xfId="0" applyFont="1" applyFill="1" applyBorder="1" applyAlignment="1" applyProtection="1"/>
    <xf numFmtId="0" fontId="49" fillId="18" borderId="10" xfId="0" applyFont="1" applyFill="1" applyBorder="1" applyAlignment="1" applyProtection="1"/>
    <xf numFmtId="0" fontId="49" fillId="18" borderId="2" xfId="0" applyFont="1" applyFill="1" applyBorder="1" applyAlignment="1" applyProtection="1"/>
    <xf numFmtId="0" fontId="49" fillId="5" borderId="0" xfId="0" applyFont="1" applyFill="1" applyBorder="1" applyAlignment="1" applyProtection="1">
      <alignment horizontal="left"/>
    </xf>
    <xf numFmtId="3" fontId="49" fillId="5" borderId="0" xfId="0" applyNumberFormat="1" applyFont="1" applyFill="1" applyBorder="1" applyAlignment="1" applyProtection="1"/>
    <xf numFmtId="0" fontId="49" fillId="0" borderId="0" xfId="0" applyFont="1" applyAlignment="1" applyProtection="1"/>
    <xf numFmtId="0" fontId="50" fillId="2" borderId="28" xfId="0" applyFont="1" applyFill="1" applyBorder="1" applyAlignment="1" applyProtection="1">
      <alignment horizontal="left"/>
    </xf>
    <xf numFmtId="0" fontId="50" fillId="2" borderId="22" xfId="0" applyFont="1" applyFill="1" applyBorder="1" applyAlignment="1" applyProtection="1"/>
    <xf numFmtId="0" fontId="50" fillId="2" borderId="23" xfId="0" applyFont="1" applyFill="1" applyBorder="1" applyAlignment="1" applyProtection="1"/>
    <xf numFmtId="3" fontId="49" fillId="0" borderId="0" xfId="0" applyNumberFormat="1" applyFont="1" applyAlignment="1" applyProtection="1">
      <alignment horizontal="right"/>
    </xf>
    <xf numFmtId="0" fontId="49" fillId="5" borderId="27" xfId="0" applyFont="1" applyFill="1" applyBorder="1" applyAlignment="1" applyProtection="1">
      <alignment horizontal="left"/>
    </xf>
    <xf numFmtId="3" fontId="49" fillId="5" borderId="21" xfId="0" applyNumberFormat="1" applyFont="1" applyFill="1" applyBorder="1" applyAlignment="1" applyProtection="1"/>
    <xf numFmtId="3" fontId="49" fillId="5" borderId="7" xfId="0" applyNumberFormat="1" applyFont="1" applyFill="1" applyBorder="1" applyAlignment="1" applyProtection="1">
      <alignment horizontal="right"/>
    </xf>
    <xf numFmtId="0" fontId="50" fillId="2" borderId="0" xfId="0" applyFont="1" applyFill="1" applyBorder="1" applyAlignment="1" applyProtection="1">
      <alignment horizontal="right"/>
    </xf>
    <xf numFmtId="164" fontId="26" fillId="2" borderId="1" xfId="1" applyNumberFormat="1" applyFont="1" applyFill="1" applyBorder="1" applyAlignment="1" applyProtection="1">
      <alignment wrapText="1"/>
    </xf>
    <xf numFmtId="164" fontId="9" fillId="8" borderId="13" xfId="1" applyNumberFormat="1" applyFont="1" applyFill="1" applyBorder="1" applyAlignment="1" applyProtection="1">
      <alignment horizontal="left" vertical="center" wrapText="1"/>
    </xf>
    <xf numFmtId="164" fontId="10" fillId="2" borderId="10" xfId="1" applyNumberFormat="1" applyFont="1" applyFill="1" applyBorder="1" applyAlignment="1" applyProtection="1">
      <alignment horizontal="left" vertical="center"/>
    </xf>
    <xf numFmtId="164" fontId="10" fillId="2" borderId="2" xfId="1" applyNumberFormat="1" applyFont="1" applyFill="1" applyBorder="1" applyAlignment="1" applyProtection="1">
      <alignment horizontal="left" vertical="center"/>
    </xf>
    <xf numFmtId="164" fontId="10" fillId="2" borderId="11" xfId="1" applyNumberFormat="1" applyFont="1" applyFill="1" applyBorder="1" applyAlignment="1" applyProtection="1">
      <alignment horizontal="left" vertical="center"/>
    </xf>
    <xf numFmtId="164" fontId="10" fillId="2" borderId="13" xfId="1" applyNumberFormat="1" applyFont="1" applyFill="1" applyBorder="1" applyAlignment="1" applyProtection="1">
      <alignment horizontal="left" vertical="center"/>
    </xf>
    <xf numFmtId="3" fontId="14" fillId="6" borderId="2" xfId="1" applyNumberFormat="1" applyFont="1" applyFill="1" applyBorder="1" applyAlignment="1" applyProtection="1">
      <alignment horizontal="right" vertical="center"/>
      <protection locked="0"/>
    </xf>
    <xf numFmtId="164" fontId="10" fillId="19" borderId="1" xfId="1" applyNumberFormat="1" applyFont="1" applyFill="1" applyBorder="1" applyAlignment="1" applyProtection="1">
      <alignment vertical="center" wrapText="1"/>
    </xf>
    <xf numFmtId="164" fontId="10" fillId="10" borderId="1" xfId="1" applyNumberFormat="1" applyFont="1" applyFill="1" applyBorder="1" applyAlignment="1" applyProtection="1">
      <alignment vertical="center" wrapText="1"/>
    </xf>
    <xf numFmtId="164" fontId="9" fillId="3" borderId="2" xfId="1" applyNumberFormat="1" applyFont="1" applyFill="1" applyBorder="1" applyAlignment="1" applyProtection="1">
      <alignment vertical="center"/>
    </xf>
    <xf numFmtId="3" fontId="9" fillId="4" borderId="1" xfId="1" applyNumberFormat="1" applyFont="1" applyFill="1" applyBorder="1" applyProtection="1">
      <protection locked="0"/>
    </xf>
    <xf numFmtId="167" fontId="14" fillId="3" borderId="1" xfId="1" applyNumberFormat="1" applyFont="1" applyFill="1" applyBorder="1" applyAlignment="1" applyProtection="1">
      <alignment horizontal="center" vertical="center"/>
    </xf>
    <xf numFmtId="0" fontId="13" fillId="4" borderId="12" xfId="1" applyNumberFormat="1" applyFont="1" applyFill="1" applyBorder="1" applyAlignment="1" applyProtection="1">
      <alignment horizontal="center" vertical="center" textRotation="90" wrapText="1"/>
    </xf>
    <xf numFmtId="164" fontId="13" fillId="4" borderId="12" xfId="1" applyNumberFormat="1" applyFont="1" applyFill="1" applyBorder="1" applyAlignment="1" applyProtection="1">
      <alignment horizontal="center" vertical="center" textRotation="90" wrapText="1"/>
    </xf>
    <xf numFmtId="164" fontId="10" fillId="2" borderId="1" xfId="1" applyNumberFormat="1" applyFont="1" applyFill="1" applyBorder="1" applyAlignment="1" applyProtection="1"/>
    <xf numFmtId="164" fontId="16" fillId="0" borderId="0" xfId="1" applyNumberFormat="1" applyFont="1" applyAlignment="1" applyProtection="1">
      <alignment horizontal="center" vertical="center" wrapText="1"/>
    </xf>
    <xf numFmtId="164" fontId="16" fillId="0" borderId="1" xfId="1" applyNumberFormat="1" applyFont="1" applyBorder="1" applyAlignment="1" applyProtection="1">
      <alignment horizontal="center" vertical="center" wrapText="1"/>
    </xf>
    <xf numFmtId="164" fontId="9" fillId="19" borderId="9" xfId="1" applyNumberFormat="1" applyFont="1" applyFill="1" applyBorder="1" applyAlignment="1" applyProtection="1">
      <alignment vertical="center" wrapText="1"/>
    </xf>
    <xf numFmtId="164" fontId="9" fillId="21" borderId="9" xfId="1" applyNumberFormat="1" applyFont="1" applyFill="1" applyBorder="1" applyAlignment="1" applyProtection="1">
      <alignment vertical="center"/>
    </xf>
    <xf numFmtId="164" fontId="16" fillId="0" borderId="7" xfId="1" applyNumberFormat="1" applyFont="1" applyBorder="1" applyAlignment="1" applyProtection="1">
      <alignment vertical="center" wrapText="1"/>
    </xf>
    <xf numFmtId="164" fontId="9" fillId="10" borderId="9" xfId="1" applyNumberFormat="1" applyFont="1" applyFill="1" applyBorder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9" fontId="16" fillId="6" borderId="1" xfId="1" applyNumberFormat="1" applyFont="1" applyFill="1" applyBorder="1" applyProtection="1">
      <protection locked="0"/>
    </xf>
    <xf numFmtId="164" fontId="9" fillId="2" borderId="9" xfId="1" applyNumberFormat="1" applyFont="1" applyFill="1" applyBorder="1" applyAlignment="1" applyProtection="1">
      <alignment vertical="center"/>
    </xf>
    <xf numFmtId="164" fontId="9" fillId="2" borderId="10" xfId="1" applyNumberFormat="1" applyFont="1" applyFill="1" applyBorder="1" applyAlignment="1" applyProtection="1">
      <alignment vertical="center"/>
    </xf>
    <xf numFmtId="164" fontId="9" fillId="2" borderId="1" xfId="1" applyNumberFormat="1" applyFont="1" applyFill="1" applyBorder="1" applyAlignment="1" applyProtection="1">
      <alignment horizontal="left" vertical="center"/>
    </xf>
    <xf numFmtId="164" fontId="9" fillId="10" borderId="1" xfId="1" applyNumberFormat="1" applyFont="1" applyFill="1" applyBorder="1" applyAlignment="1" applyProtection="1">
      <alignment vertical="center" wrapText="1"/>
    </xf>
    <xf numFmtId="165" fontId="11" fillId="0" borderId="9" xfId="3" applyNumberFormat="1" applyFont="1" applyFill="1" applyBorder="1" applyAlignment="1" applyProtection="1">
      <alignment horizontal="left"/>
    </xf>
    <xf numFmtId="164" fontId="9" fillId="2" borderId="9" xfId="1" applyNumberFormat="1" applyFont="1" applyFill="1" applyBorder="1" applyAlignment="1" applyProtection="1">
      <alignment horizontal="left"/>
    </xf>
    <xf numFmtId="3" fontId="36" fillId="0" borderId="0" xfId="0" applyNumberFormat="1" applyFont="1" applyAlignment="1" applyProtection="1">
      <alignment horizontal="left"/>
    </xf>
    <xf numFmtId="3" fontId="36" fillId="0" borderId="0" xfId="0" applyNumberFormat="1" applyFont="1" applyAlignment="1" applyProtection="1"/>
    <xf numFmtId="3" fontId="36" fillId="5" borderId="0" xfId="0" applyNumberFormat="1" applyFont="1" applyFill="1" applyBorder="1" applyAlignment="1" applyProtection="1">
      <alignment horizontal="right"/>
    </xf>
    <xf numFmtId="0" fontId="36" fillId="0" borderId="0" xfId="0" applyFont="1" applyProtection="1"/>
    <xf numFmtId="3" fontId="51" fillId="0" borderId="0" xfId="0" applyNumberFormat="1" applyFont="1" applyAlignment="1" applyProtection="1">
      <alignment horizontal="left"/>
    </xf>
    <xf numFmtId="3" fontId="51" fillId="0" borderId="0" xfId="0" applyNumberFormat="1" applyFont="1" applyAlignment="1" applyProtection="1"/>
    <xf numFmtId="0" fontId="51" fillId="0" borderId="0" xfId="0" applyFont="1" applyProtection="1"/>
    <xf numFmtId="0" fontId="36" fillId="5" borderId="27" xfId="0" applyFont="1" applyFill="1" applyBorder="1" applyAlignment="1" applyProtection="1">
      <alignment horizontal="left"/>
    </xf>
    <xf numFmtId="3" fontId="36" fillId="5" borderId="21" xfId="0" applyNumberFormat="1" applyFont="1" applyFill="1" applyBorder="1" applyAlignment="1" applyProtection="1"/>
    <xf numFmtId="3" fontId="36" fillId="5" borderId="7" xfId="0" applyNumberFormat="1" applyFont="1" applyFill="1" applyBorder="1" applyAlignment="1" applyProtection="1">
      <alignment horizontal="right"/>
    </xf>
    <xf numFmtId="3" fontId="36" fillId="0" borderId="0" xfId="0" applyNumberFormat="1" applyFont="1" applyAlignment="1" applyProtection="1">
      <alignment horizontal="right"/>
    </xf>
    <xf numFmtId="49" fontId="9" fillId="2" borderId="1" xfId="1" applyNumberFormat="1" applyFont="1" applyFill="1" applyBorder="1" applyAlignment="1" applyProtection="1">
      <alignment horizontal="right"/>
    </xf>
    <xf numFmtId="49" fontId="32" fillId="0" borderId="0" xfId="1" applyNumberFormat="1" applyFont="1" applyProtection="1"/>
    <xf numFmtId="49" fontId="26" fillId="0" borderId="10" xfId="0" applyNumberFormat="1" applyFont="1" applyFill="1" applyBorder="1" applyAlignment="1" applyProtection="1">
      <alignment horizontal="left"/>
    </xf>
    <xf numFmtId="49" fontId="33" fillId="0" borderId="0" xfId="1" applyNumberFormat="1" applyFont="1" applyAlignment="1" applyProtection="1">
      <alignment horizontal="right"/>
    </xf>
    <xf numFmtId="165" fontId="11" fillId="0" borderId="9" xfId="3" applyNumberFormat="1" applyFont="1" applyFill="1" applyBorder="1" applyAlignment="1" applyProtection="1">
      <alignment horizontal="left"/>
    </xf>
    <xf numFmtId="164" fontId="9" fillId="5" borderId="9" xfId="1" applyNumberFormat="1" applyFont="1" applyFill="1" applyBorder="1" applyAlignment="1" applyProtection="1"/>
    <xf numFmtId="166" fontId="9" fillId="22" borderId="9" xfId="1" applyNumberFormat="1" applyFont="1" applyFill="1" applyBorder="1" applyAlignment="1" applyProtection="1">
      <protection locked="0"/>
    </xf>
    <xf numFmtId="166" fontId="9" fillId="22" borderId="1" xfId="1" applyNumberFormat="1" applyFont="1" applyFill="1" applyBorder="1" applyAlignment="1" applyProtection="1">
      <alignment horizontal="right"/>
      <protection locked="0"/>
    </xf>
    <xf numFmtId="166" fontId="9" fillId="22" borderId="1" xfId="1" applyNumberFormat="1" applyFont="1" applyFill="1" applyBorder="1" applyAlignment="1" applyProtection="1">
      <protection locked="0"/>
    </xf>
    <xf numFmtId="0" fontId="52" fillId="0" borderId="0" xfId="0" applyFont="1" applyAlignment="1">
      <alignment horizontal="center" vertical="center" readingOrder="1"/>
    </xf>
    <xf numFmtId="3" fontId="9" fillId="4" borderId="2" xfId="1" applyNumberFormat="1" applyFont="1" applyFill="1" applyBorder="1" applyAlignment="1" applyProtection="1">
      <alignment vertical="center"/>
    </xf>
    <xf numFmtId="167" fontId="14" fillId="3" borderId="1" xfId="1" applyNumberFormat="1" applyFont="1" applyFill="1" applyBorder="1" applyAlignment="1" applyProtection="1">
      <alignment horizontal="center" vertical="center"/>
    </xf>
    <xf numFmtId="164" fontId="24" fillId="10" borderId="10" xfId="1" applyNumberFormat="1" applyFont="1" applyFill="1" applyBorder="1" applyAlignment="1" applyProtection="1">
      <alignment horizontal="left" vertical="top" wrapText="1"/>
    </xf>
    <xf numFmtId="164" fontId="24" fillId="10" borderId="2" xfId="1" applyNumberFormat="1" applyFont="1" applyFill="1" applyBorder="1" applyAlignment="1" applyProtection="1">
      <alignment horizontal="left" vertical="top" wrapText="1"/>
    </xf>
    <xf numFmtId="164" fontId="24" fillId="10" borderId="0" xfId="1" applyNumberFormat="1" applyFont="1" applyFill="1" applyBorder="1" applyAlignment="1" applyProtection="1">
      <alignment horizontal="left" vertical="top" wrapText="1"/>
    </xf>
    <xf numFmtId="164" fontId="24" fillId="10" borderId="9" xfId="1" applyNumberFormat="1" applyFont="1" applyFill="1" applyBorder="1" applyAlignment="1" applyProtection="1">
      <alignment horizontal="left" vertical="top" wrapText="1"/>
    </xf>
    <xf numFmtId="164" fontId="24" fillId="10" borderId="11" xfId="1" applyNumberFormat="1" applyFont="1" applyFill="1" applyBorder="1" applyAlignment="1" applyProtection="1">
      <alignment vertical="top" wrapText="1"/>
    </xf>
    <xf numFmtId="3" fontId="2" fillId="0" borderId="0" xfId="0" applyNumberFormat="1" applyFont="1" applyFill="1" applyBorder="1" applyAlignment="1" applyProtection="1"/>
    <xf numFmtId="3" fontId="2" fillId="23" borderId="1" xfId="0" applyNumberFormat="1" applyFont="1" applyFill="1" applyBorder="1" applyAlignment="1" applyProtection="1"/>
    <xf numFmtId="164" fontId="36" fillId="0" borderId="0" xfId="1" applyNumberFormat="1" applyFont="1" applyAlignment="1" applyProtection="1">
      <alignment vertical="center"/>
    </xf>
    <xf numFmtId="164" fontId="36" fillId="0" borderId="1" xfId="1" applyNumberFormat="1" applyFont="1" applyBorder="1" applyAlignment="1" applyProtection="1">
      <alignment vertical="center"/>
    </xf>
    <xf numFmtId="164" fontId="36" fillId="0" borderId="0" xfId="1" applyNumberFormat="1" applyFont="1" applyBorder="1" applyAlignment="1" applyProtection="1">
      <alignment vertical="center"/>
    </xf>
    <xf numFmtId="167" fontId="55" fillId="3" borderId="1" xfId="1" applyNumberFormat="1" applyFont="1" applyFill="1" applyBorder="1" applyAlignment="1" applyProtection="1">
      <alignment horizontal="center" vertical="center"/>
    </xf>
    <xf numFmtId="164" fontId="55" fillId="0" borderId="0" xfId="1" applyNumberFormat="1" applyFont="1" applyAlignment="1" applyProtection="1">
      <alignment vertical="center" wrapText="1"/>
    </xf>
    <xf numFmtId="164" fontId="55" fillId="0" borderId="0" xfId="1" applyNumberFormat="1" applyFont="1" applyBorder="1" applyAlignment="1" applyProtection="1">
      <alignment vertical="center" wrapText="1"/>
    </xf>
    <xf numFmtId="0" fontId="23" fillId="3" borderId="12" xfId="0" applyFont="1" applyFill="1" applyBorder="1" applyAlignment="1" applyProtection="1">
      <alignment horizontal="center" vertical="center" wrapText="1"/>
    </xf>
    <xf numFmtId="164" fontId="23" fillId="3" borderId="12" xfId="1" applyNumberFormat="1" applyFont="1" applyFill="1" applyBorder="1" applyAlignment="1" applyProtection="1">
      <alignment horizontal="center" vertical="center" wrapText="1"/>
    </xf>
    <xf numFmtId="165" fontId="23" fillId="0" borderId="1" xfId="3" applyNumberFormat="1" applyFont="1" applyFill="1" applyBorder="1" applyAlignment="1" applyProtection="1">
      <alignment horizontal="center" textRotation="90" wrapText="1"/>
    </xf>
    <xf numFmtId="164" fontId="55" fillId="0" borderId="7" xfId="1" applyNumberFormat="1" applyFont="1" applyBorder="1" applyAlignment="1" applyProtection="1">
      <alignment vertical="center" wrapText="1"/>
    </xf>
    <xf numFmtId="164" fontId="23" fillId="19" borderId="9" xfId="1" applyNumberFormat="1" applyFont="1" applyFill="1" applyBorder="1" applyAlignment="1" applyProtection="1">
      <alignment vertical="center" wrapText="1"/>
    </xf>
    <xf numFmtId="164" fontId="53" fillId="20" borderId="1" xfId="1" applyNumberFormat="1" applyFont="1" applyFill="1" applyBorder="1" applyAlignment="1" applyProtection="1">
      <alignment vertical="center"/>
    </xf>
    <xf numFmtId="164" fontId="53" fillId="19" borderId="10" xfId="1" applyNumberFormat="1" applyFont="1" applyFill="1" applyBorder="1" applyAlignment="1" applyProtection="1">
      <alignment vertical="center" wrapText="1"/>
    </xf>
    <xf numFmtId="164" fontId="53" fillId="19" borderId="1" xfId="1" applyNumberFormat="1" applyFont="1" applyFill="1" applyBorder="1" applyAlignment="1" applyProtection="1">
      <alignment vertical="center" wrapText="1"/>
    </xf>
    <xf numFmtId="164" fontId="23" fillId="10" borderId="9" xfId="1" applyNumberFormat="1" applyFont="1" applyFill="1" applyBorder="1" applyAlignment="1" applyProtection="1">
      <alignment vertical="center" wrapText="1"/>
    </xf>
    <xf numFmtId="164" fontId="53" fillId="21" borderId="1" xfId="1" applyNumberFormat="1" applyFont="1" applyFill="1" applyBorder="1" applyAlignment="1" applyProtection="1">
      <alignment vertical="center"/>
    </xf>
    <xf numFmtId="164" fontId="53" fillId="21" borderId="9" xfId="1" applyNumberFormat="1" applyFont="1" applyFill="1" applyBorder="1" applyAlignment="1" applyProtection="1">
      <alignment vertical="center"/>
    </xf>
    <xf numFmtId="164" fontId="55" fillId="0" borderId="0" xfId="1" applyNumberFormat="1" applyFont="1" applyAlignment="1" applyProtection="1">
      <alignment vertical="center"/>
    </xf>
    <xf numFmtId="164" fontId="23" fillId="2" borderId="9" xfId="1" applyNumberFormat="1" applyFont="1" applyFill="1" applyBorder="1" applyAlignment="1" applyProtection="1">
      <alignment horizontal="left" vertical="center"/>
    </xf>
    <xf numFmtId="164" fontId="23" fillId="2" borderId="2" xfId="1" applyNumberFormat="1" applyFont="1" applyFill="1" applyBorder="1" applyAlignment="1" applyProtection="1">
      <alignment horizontal="left" vertical="center"/>
    </xf>
    <xf numFmtId="164" fontId="53" fillId="3" borderId="2" xfId="1" applyNumberFormat="1" applyFont="1" applyFill="1" applyBorder="1" applyAlignment="1" applyProtection="1">
      <alignment vertical="center"/>
    </xf>
    <xf numFmtId="164" fontId="53" fillId="3" borderId="1" xfId="1" applyNumberFormat="1" applyFont="1" applyFill="1" applyBorder="1" applyAlignment="1" applyProtection="1">
      <alignment vertical="center"/>
    </xf>
    <xf numFmtId="165" fontId="36" fillId="6" borderId="1" xfId="3" applyNumberFormat="1" applyFont="1" applyFill="1" applyBorder="1" applyProtection="1">
      <protection locked="0"/>
    </xf>
    <xf numFmtId="164" fontId="36" fillId="9" borderId="1" xfId="1" applyNumberFormat="1" applyFont="1" applyFill="1" applyBorder="1" applyAlignment="1" applyProtection="1">
      <protection locked="0"/>
    </xf>
    <xf numFmtId="166" fontId="53" fillId="4" borderId="1" xfId="1" applyNumberFormat="1" applyFont="1" applyFill="1" applyBorder="1" applyProtection="1"/>
    <xf numFmtId="164" fontId="55" fillId="0" borderId="1" xfId="1" applyNumberFormat="1" applyFont="1" applyBorder="1" applyAlignment="1" applyProtection="1">
      <alignment vertical="center"/>
    </xf>
    <xf numFmtId="164" fontId="23" fillId="2" borderId="11" xfId="1" applyNumberFormat="1" applyFont="1" applyFill="1" applyBorder="1" applyAlignment="1" applyProtection="1">
      <alignment horizontal="left" vertical="center"/>
    </xf>
    <xf numFmtId="164" fontId="23" fillId="2" borderId="13" xfId="1" applyNumberFormat="1" applyFont="1" applyFill="1" applyBorder="1" applyAlignment="1" applyProtection="1">
      <alignment horizontal="left" vertical="center"/>
    </xf>
    <xf numFmtId="164" fontId="53" fillId="2" borderId="9" xfId="1" applyNumberFormat="1" applyFont="1" applyFill="1" applyBorder="1" applyAlignment="1" applyProtection="1">
      <alignment horizontal="left" vertical="center"/>
    </xf>
    <xf numFmtId="164" fontId="53" fillId="2" borderId="1" xfId="1" applyNumberFormat="1" applyFont="1" applyFill="1" applyBorder="1" applyAlignment="1" applyProtection="1">
      <alignment horizontal="left" vertical="center"/>
    </xf>
    <xf numFmtId="164" fontId="53" fillId="2" borderId="9" xfId="1" applyNumberFormat="1" applyFont="1" applyFill="1" applyBorder="1" applyAlignment="1" applyProtection="1">
      <alignment vertical="center"/>
    </xf>
    <xf numFmtId="164" fontId="53" fillId="2" borderId="10" xfId="1" applyNumberFormat="1" applyFont="1" applyFill="1" applyBorder="1" applyAlignment="1" applyProtection="1">
      <alignment horizontal="left" vertical="center"/>
    </xf>
    <xf numFmtId="164" fontId="53" fillId="2" borderId="2" xfId="1" applyNumberFormat="1" applyFont="1" applyFill="1" applyBorder="1" applyAlignment="1" applyProtection="1">
      <alignment horizontal="left" vertical="center"/>
    </xf>
    <xf numFmtId="164" fontId="36" fillId="0" borderId="0" xfId="1" applyNumberFormat="1" applyFont="1" applyProtection="1"/>
    <xf numFmtId="164" fontId="36" fillId="0" borderId="0" xfId="1" applyNumberFormat="1" applyFont="1" applyBorder="1" applyProtection="1"/>
    <xf numFmtId="164" fontId="36" fillId="0" borderId="0" xfId="1" applyNumberFormat="1" applyFont="1" applyFill="1" applyProtection="1"/>
    <xf numFmtId="164" fontId="36" fillId="0" borderId="0" xfId="1" applyNumberFormat="1" applyFont="1" applyFill="1" applyAlignment="1" applyProtection="1">
      <alignment vertical="center"/>
    </xf>
    <xf numFmtId="164" fontId="36" fillId="0" borderId="0" xfId="1" applyNumberFormat="1" applyFont="1" applyAlignment="1" applyProtection="1">
      <alignment vertical="center" wrapText="1"/>
    </xf>
    <xf numFmtId="164" fontId="36" fillId="0" borderId="17" xfId="1" applyNumberFormat="1" applyFont="1" applyBorder="1" applyAlignment="1" applyProtection="1">
      <alignment vertical="center"/>
    </xf>
    <xf numFmtId="3" fontId="2" fillId="23" borderId="9" xfId="0" applyNumberFormat="1" applyFont="1" applyFill="1" applyBorder="1" applyAlignment="1" applyProtection="1"/>
    <xf numFmtId="3" fontId="9" fillId="4" borderId="33" xfId="1" applyNumberFormat="1" applyFont="1" applyFill="1" applyBorder="1" applyAlignment="1" applyProtection="1">
      <alignment vertical="center"/>
    </xf>
    <xf numFmtId="3" fontId="2" fillId="23" borderId="2" xfId="0" applyNumberFormat="1" applyFont="1" applyFill="1" applyBorder="1" applyAlignment="1" applyProtection="1"/>
    <xf numFmtId="3" fontId="56" fillId="4" borderId="34" xfId="1" applyNumberFormat="1" applyFont="1" applyFill="1" applyBorder="1" applyAlignment="1" applyProtection="1">
      <alignment horizontal="right" vertical="center"/>
    </xf>
    <xf numFmtId="167" fontId="23" fillId="0" borderId="17" xfId="0" applyNumberFormat="1" applyFont="1" applyBorder="1" applyAlignment="1" applyProtection="1"/>
    <xf numFmtId="0" fontId="53" fillId="0" borderId="0" xfId="0" applyFont="1" applyAlignment="1" applyProtection="1">
      <alignment vertical="center"/>
    </xf>
    <xf numFmtId="0" fontId="53" fillId="0" borderId="0" xfId="0" applyFont="1" applyBorder="1" applyAlignment="1" applyProtection="1">
      <alignment vertical="center"/>
    </xf>
    <xf numFmtId="0" fontId="53" fillId="0" borderId="18" xfId="0" applyFont="1" applyBorder="1" applyAlignment="1" applyProtection="1">
      <alignment vertical="center"/>
    </xf>
    <xf numFmtId="167" fontId="23" fillId="0" borderId="18" xfId="0" applyNumberFormat="1" applyFont="1" applyBorder="1" applyAlignment="1" applyProtection="1"/>
    <xf numFmtId="0" fontId="23" fillId="0" borderId="0" xfId="0" applyFont="1" applyProtection="1"/>
    <xf numFmtId="0" fontId="53" fillId="0" borderId="0" xfId="0" applyFont="1" applyProtection="1"/>
    <xf numFmtId="2" fontId="53" fillId="13" borderId="0" xfId="0" applyNumberFormat="1" applyFont="1" applyFill="1" applyProtection="1"/>
    <xf numFmtId="2" fontId="53" fillId="23" borderId="0" xfId="0" applyNumberFormat="1" applyFont="1" applyFill="1" applyProtection="1"/>
    <xf numFmtId="0" fontId="23" fillId="0" borderId="0" xfId="0" applyFont="1" applyFill="1" applyProtection="1"/>
    <xf numFmtId="167" fontId="23" fillId="0" borderId="0" xfId="0" applyNumberFormat="1" applyFont="1" applyFill="1" applyProtection="1"/>
    <xf numFmtId="2" fontId="53" fillId="0" borderId="0" xfId="0" applyNumberFormat="1" applyFont="1" applyFill="1" applyProtection="1"/>
    <xf numFmtId="0" fontId="53" fillId="0" borderId="0" xfId="0" applyFont="1" applyFill="1" applyProtection="1"/>
    <xf numFmtId="3" fontId="53" fillId="0" borderId="0" xfId="0" applyNumberFormat="1" applyFont="1" applyFill="1" applyProtection="1"/>
    <xf numFmtId="2" fontId="54" fillId="24" borderId="0" xfId="0" applyNumberFormat="1" applyFont="1" applyFill="1" applyAlignment="1" applyProtection="1">
      <alignment horizontal="right"/>
    </xf>
    <xf numFmtId="2" fontId="54" fillId="0" borderId="0" xfId="0" applyNumberFormat="1" applyFont="1" applyFill="1" applyAlignment="1" applyProtection="1">
      <alignment horizontal="right"/>
    </xf>
    <xf numFmtId="0" fontId="54" fillId="0" borderId="0" xfId="0" applyFont="1" applyFill="1" applyProtection="1"/>
    <xf numFmtId="164" fontId="53" fillId="25" borderId="10" xfId="1" applyNumberFormat="1" applyFont="1" applyFill="1" applyBorder="1" applyAlignment="1" applyProtection="1">
      <alignment vertical="center" wrapText="1"/>
    </xf>
    <xf numFmtId="164" fontId="53" fillId="25" borderId="9" xfId="1" applyNumberFormat="1" applyFont="1" applyFill="1" applyBorder="1" applyAlignment="1" applyProtection="1">
      <alignment vertical="center" wrapText="1"/>
    </xf>
    <xf numFmtId="164" fontId="36" fillId="26" borderId="0" xfId="1" applyNumberFormat="1" applyFont="1" applyFill="1" applyAlignment="1" applyProtection="1">
      <alignment vertical="center"/>
    </xf>
    <xf numFmtId="0" fontId="23" fillId="26" borderId="0" xfId="0" applyFont="1" applyFill="1" applyProtection="1"/>
    <xf numFmtId="3" fontId="9" fillId="21" borderId="2" xfId="1" applyNumberFormat="1" applyFont="1" applyFill="1" applyBorder="1" applyAlignment="1" applyProtection="1">
      <alignment vertical="center"/>
    </xf>
    <xf numFmtId="3" fontId="2" fillId="26" borderId="1" xfId="0" applyNumberFormat="1" applyFont="1" applyFill="1" applyBorder="1" applyAlignment="1" applyProtection="1"/>
    <xf numFmtId="3" fontId="9" fillId="21" borderId="33" xfId="1" applyNumberFormat="1" applyFont="1" applyFill="1" applyBorder="1" applyAlignment="1" applyProtection="1">
      <alignment vertical="center"/>
    </xf>
    <xf numFmtId="3" fontId="56" fillId="21" borderId="34" xfId="1" applyNumberFormat="1" applyFont="1" applyFill="1" applyBorder="1" applyAlignment="1" applyProtection="1">
      <alignment horizontal="right" vertical="center"/>
    </xf>
    <xf numFmtId="164" fontId="36" fillId="26" borderId="1" xfId="1" applyNumberFormat="1" applyFont="1" applyFill="1" applyBorder="1" applyAlignment="1" applyProtection="1">
      <alignment vertical="center"/>
    </xf>
    <xf numFmtId="164" fontId="55" fillId="26" borderId="1" xfId="1" applyNumberFormat="1" applyFont="1" applyFill="1" applyBorder="1" applyAlignment="1" applyProtection="1">
      <alignment vertical="center"/>
    </xf>
    <xf numFmtId="167" fontId="24" fillId="10" borderId="9" xfId="1" applyNumberFormat="1" applyFont="1" applyFill="1" applyBorder="1" applyAlignment="1" applyProtection="1">
      <alignment horizontal="left" vertical="top" wrapText="1"/>
    </xf>
    <xf numFmtId="2" fontId="24" fillId="10" borderId="9" xfId="1" applyNumberFormat="1" applyFont="1" applyFill="1" applyBorder="1" applyAlignment="1" applyProtection="1">
      <alignment horizontal="left" vertical="top" wrapText="1"/>
    </xf>
    <xf numFmtId="165" fontId="57" fillId="0" borderId="1" xfId="3" applyNumberFormat="1" applyFont="1" applyFill="1" applyBorder="1" applyAlignment="1" applyProtection="1">
      <alignment horizontal="left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ont="1" applyFill="1" applyBorder="1" applyAlignment="1" applyProtection="1">
      <alignment horizontal="left"/>
      <protection locked="0"/>
    </xf>
    <xf numFmtId="49" fontId="56" fillId="2" borderId="1" xfId="1" applyNumberFormat="1" applyFont="1" applyFill="1" applyBorder="1" applyAlignment="1" applyProtection="1">
      <alignment horizontal="right"/>
    </xf>
    <xf numFmtId="0" fontId="56" fillId="6" borderId="1" xfId="0" applyFont="1" applyFill="1" applyBorder="1" applyAlignment="1" applyProtection="1">
      <alignment horizontal="left"/>
      <protection locked="0"/>
    </xf>
    <xf numFmtId="164" fontId="56" fillId="2" borderId="1" xfId="1" applyNumberFormat="1" applyFont="1" applyFill="1" applyBorder="1" applyAlignment="1" applyProtection="1"/>
    <xf numFmtId="164" fontId="56" fillId="2" borderId="1" xfId="1" applyNumberFormat="1" applyFont="1" applyFill="1" applyBorder="1" applyAlignment="1" applyProtection="1">
      <alignment vertical="center"/>
    </xf>
    <xf numFmtId="49" fontId="16" fillId="2" borderId="1" xfId="1" applyNumberFormat="1" applyFont="1" applyFill="1" applyBorder="1" applyAlignment="1" applyProtection="1">
      <alignment horizontal="right"/>
    </xf>
    <xf numFmtId="0" fontId="16" fillId="6" borderId="1" xfId="0" applyFont="1" applyFill="1" applyBorder="1" applyAlignment="1" applyProtection="1">
      <alignment horizontal="left"/>
      <protection locked="0"/>
    </xf>
    <xf numFmtId="164" fontId="16" fillId="2" borderId="1" xfId="1" applyNumberFormat="1" applyFont="1" applyFill="1" applyBorder="1" applyAlignment="1" applyProtection="1"/>
    <xf numFmtId="3" fontId="11" fillId="5" borderId="12" xfId="1" applyNumberFormat="1" applyFont="1" applyFill="1" applyBorder="1" applyAlignment="1" applyProtection="1">
      <alignment horizontal="center" vertical="center" wrapText="1"/>
    </xf>
    <xf numFmtId="164" fontId="24" fillId="10" borderId="1" xfId="1" applyNumberFormat="1" applyFont="1" applyFill="1" applyBorder="1" applyAlignment="1" applyProtection="1">
      <alignment horizontal="left" vertical="center" wrapText="1"/>
    </xf>
    <xf numFmtId="164" fontId="24" fillId="10" borderId="9" xfId="1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top" wrapText="1"/>
    </xf>
    <xf numFmtId="167" fontId="14" fillId="3" borderId="1" xfId="1" applyNumberFormat="1" applyFont="1" applyFill="1" applyBorder="1" applyAlignment="1" applyProtection="1">
      <alignment horizontal="centerContinuous" vertical="center"/>
    </xf>
    <xf numFmtId="0" fontId="10" fillId="2" borderId="12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9" fillId="6" borderId="1" xfId="0" applyNumberFormat="1" applyFont="1" applyFill="1" applyBorder="1" applyAlignment="1" applyProtection="1">
      <alignment horizontal="center" vertical="top" wrapText="1"/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164" fontId="9" fillId="2" borderId="9" xfId="1" applyNumberFormat="1" applyFont="1" applyFill="1" applyBorder="1" applyAlignment="1" applyProtection="1">
      <alignment horizontal="center"/>
    </xf>
    <xf numFmtId="164" fontId="9" fillId="2" borderId="4" xfId="1" applyNumberFormat="1" applyFont="1" applyFill="1" applyBorder="1" applyAlignment="1" applyProtection="1">
      <alignment horizontal="center"/>
    </xf>
    <xf numFmtId="164" fontId="9" fillId="2" borderId="1" xfId="1" applyNumberFormat="1" applyFont="1" applyFill="1" applyBorder="1" applyAlignment="1" applyProtection="1">
      <alignment horizontal="center"/>
    </xf>
    <xf numFmtId="3" fontId="15" fillId="14" borderId="1" xfId="1" applyNumberFormat="1" applyFont="1" applyFill="1" applyBorder="1" applyAlignment="1" applyProtection="1"/>
    <xf numFmtId="3" fontId="15" fillId="0" borderId="1" xfId="1" applyNumberFormat="1" applyFont="1" applyFill="1" applyBorder="1" applyAlignment="1" applyProtection="1"/>
    <xf numFmtId="164" fontId="13" fillId="3" borderId="1" xfId="1" applyNumberFormat="1" applyFont="1" applyFill="1" applyBorder="1" applyAlignment="1" applyProtection="1">
      <alignment horizontal="center"/>
    </xf>
    <xf numFmtId="164" fontId="13" fillId="3" borderId="12" xfId="1" applyNumberFormat="1" applyFont="1" applyFill="1" applyBorder="1" applyAlignment="1" applyProtection="1">
      <alignment horizontal="center"/>
    </xf>
    <xf numFmtId="164" fontId="13" fillId="4" borderId="12" xfId="1" applyNumberFormat="1" applyFont="1" applyFill="1" applyBorder="1" applyAlignment="1" applyProtection="1"/>
    <xf numFmtId="164" fontId="13" fillId="5" borderId="12" xfId="1" applyNumberFormat="1" applyFont="1" applyFill="1" applyBorder="1" applyAlignment="1" applyProtection="1"/>
    <xf numFmtId="1" fontId="14" fillId="3" borderId="1" xfId="1" applyNumberFormat="1" applyFont="1" applyFill="1" applyBorder="1" applyAlignment="1">
      <alignment horizontal="center" vertical="center"/>
    </xf>
    <xf numFmtId="167" fontId="14" fillId="4" borderId="1" xfId="1" applyNumberFormat="1" applyFont="1" applyFill="1" applyBorder="1" applyAlignment="1" applyProtection="1">
      <alignment horizontal="center" vertical="center"/>
    </xf>
    <xf numFmtId="166" fontId="9" fillId="17" borderId="10" xfId="1" applyNumberFormat="1" applyFont="1" applyFill="1" applyBorder="1" applyProtection="1"/>
    <xf numFmtId="164" fontId="18" fillId="0" borderId="0" xfId="1" applyNumberFormat="1" applyFont="1" applyBorder="1" applyAlignment="1">
      <alignment horizontal="center"/>
    </xf>
    <xf numFmtId="164" fontId="18" fillId="0" borderId="7" xfId="1" applyNumberFormat="1" applyFont="1" applyBorder="1" applyAlignment="1">
      <alignment horizontal="center"/>
    </xf>
    <xf numFmtId="166" fontId="9" fillId="17" borderId="2" xfId="1" applyNumberFormat="1" applyFont="1" applyFill="1" applyBorder="1" applyProtection="1"/>
    <xf numFmtId="164" fontId="24" fillId="10" borderId="9" xfId="1" applyNumberFormat="1" applyFont="1" applyFill="1" applyBorder="1" applyAlignment="1" applyProtection="1">
      <alignment horizontal="left" vertical="center" wrapText="1"/>
    </xf>
    <xf numFmtId="164" fontId="24" fillId="10" borderId="4" xfId="1" applyNumberFormat="1" applyFont="1" applyFill="1" applyBorder="1" applyAlignment="1" applyProtection="1">
      <alignment horizontal="left" vertical="center" wrapText="1"/>
    </xf>
    <xf numFmtId="3" fontId="9" fillId="5" borderId="13" xfId="1" applyNumberFormat="1" applyFont="1" applyFill="1" applyBorder="1" applyAlignment="1" applyProtection="1"/>
    <xf numFmtId="3" fontId="9" fillId="5" borderId="2" xfId="1" applyNumberFormat="1" applyFont="1" applyFill="1" applyBorder="1" applyAlignment="1" applyProtection="1"/>
    <xf numFmtId="164" fontId="34" fillId="5" borderId="36" xfId="1" applyNumberFormat="1" applyFont="1" applyFill="1" applyBorder="1" applyAlignment="1" applyProtection="1">
      <alignment horizontal="left"/>
    </xf>
    <xf numFmtId="164" fontId="43" fillId="5" borderId="37" xfId="1" applyNumberFormat="1" applyFont="1" applyFill="1" applyBorder="1" applyAlignment="1" applyProtection="1"/>
    <xf numFmtId="164" fontId="24" fillId="10" borderId="6" xfId="1" applyNumberFormat="1" applyFont="1" applyFill="1" applyBorder="1" applyAlignment="1" applyProtection="1">
      <alignment vertical="center" wrapText="1"/>
    </xf>
    <xf numFmtId="164" fontId="24" fillId="10" borderId="7" xfId="1" applyNumberFormat="1" applyFont="1" applyFill="1" applyBorder="1" applyAlignment="1" applyProtection="1">
      <alignment vertical="center" wrapText="1"/>
    </xf>
    <xf numFmtId="164" fontId="46" fillId="19" borderId="2" xfId="1" applyNumberFormat="1" applyFont="1" applyFill="1" applyBorder="1" applyAlignment="1" applyProtection="1">
      <alignment vertical="center" wrapText="1"/>
    </xf>
    <xf numFmtId="164" fontId="46" fillId="10" borderId="2" xfId="1" applyNumberFormat="1" applyFont="1" applyFill="1" applyBorder="1" applyAlignment="1" applyProtection="1">
      <alignment vertical="center" wrapText="1"/>
    </xf>
    <xf numFmtId="164" fontId="10" fillId="2" borderId="1" xfId="1" applyNumberFormat="1" applyFont="1" applyFill="1" applyBorder="1" applyAlignment="1" applyProtection="1">
      <alignment horizontal="left" vertical="center"/>
    </xf>
    <xf numFmtId="164" fontId="10" fillId="5" borderId="9" xfId="1" applyNumberFormat="1" applyFont="1" applyFill="1" applyBorder="1" applyAlignment="1" applyProtection="1">
      <alignment horizontal="left" vertical="center"/>
    </xf>
    <xf numFmtId="166" fontId="43" fillId="5" borderId="1" xfId="1" applyNumberFormat="1" applyFont="1" applyFill="1" applyBorder="1" applyAlignment="1" applyProtection="1">
      <alignment horizontal="right" vertical="center"/>
    </xf>
    <xf numFmtId="0" fontId="9" fillId="6" borderId="1" xfId="0" applyFont="1" applyFill="1" applyBorder="1" applyAlignment="1" applyProtection="1">
      <protection locked="0"/>
    </xf>
    <xf numFmtId="164" fontId="9" fillId="21" borderId="1" xfId="1" applyNumberFormat="1" applyFont="1" applyFill="1" applyBorder="1" applyAlignment="1" applyProtection="1">
      <alignment horizontal="left" vertical="center"/>
    </xf>
    <xf numFmtId="164" fontId="10" fillId="2" borderId="1" xfId="1" applyNumberFormat="1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left"/>
    </xf>
    <xf numFmtId="164" fontId="39" fillId="3" borderId="1" xfId="1" applyNumberFormat="1" applyFont="1" applyFill="1" applyBorder="1" applyAlignment="1" applyProtection="1">
      <alignment vertical="center"/>
    </xf>
    <xf numFmtId="164" fontId="31" fillId="4" borderId="1" xfId="1" applyNumberFormat="1" applyFont="1" applyFill="1" applyBorder="1" applyAlignment="1" applyProtection="1"/>
    <xf numFmtId="169" fontId="31" fillId="4" borderId="1" xfId="1" applyNumberFormat="1" applyFont="1" applyFill="1" applyBorder="1" applyAlignment="1">
      <alignment horizontal="right"/>
    </xf>
    <xf numFmtId="164" fontId="23" fillId="2" borderId="1" xfId="1" applyNumberFormat="1" applyFont="1" applyFill="1" applyBorder="1" applyAlignment="1" applyProtection="1">
      <alignment horizontal="left" vertical="center"/>
    </xf>
    <xf numFmtId="164" fontId="53" fillId="2" borderId="2" xfId="1" applyNumberFormat="1" applyFont="1" applyFill="1" applyBorder="1" applyAlignment="1" applyProtection="1">
      <alignment vertical="center"/>
    </xf>
    <xf numFmtId="164" fontId="53" fillId="2" borderId="1" xfId="1" applyNumberFormat="1" applyFont="1" applyFill="1" applyBorder="1" applyAlignment="1" applyProtection="1">
      <alignment vertical="center"/>
    </xf>
    <xf numFmtId="3" fontId="9" fillId="21" borderId="25" xfId="1" applyNumberFormat="1" applyFont="1" applyFill="1" applyBorder="1" applyAlignment="1" applyProtection="1">
      <alignment vertical="center"/>
    </xf>
    <xf numFmtId="3" fontId="56" fillId="21" borderId="26" xfId="1" applyNumberFormat="1" applyFont="1" applyFill="1" applyBorder="1" applyAlignment="1" applyProtection="1">
      <alignment horizontal="right" vertical="center"/>
    </xf>
    <xf numFmtId="3" fontId="9" fillId="4" borderId="25" xfId="1" applyNumberFormat="1" applyFont="1" applyFill="1" applyBorder="1" applyAlignment="1" applyProtection="1">
      <alignment vertical="center"/>
    </xf>
    <xf numFmtId="3" fontId="56" fillId="4" borderId="26" xfId="1" applyNumberFormat="1" applyFont="1" applyFill="1" applyBorder="1" applyAlignment="1" applyProtection="1">
      <alignment horizontal="right" vertical="center"/>
    </xf>
    <xf numFmtId="164" fontId="60" fillId="3" borderId="1" xfId="1" applyNumberFormat="1" applyFont="1" applyFill="1" applyBorder="1" applyAlignment="1" applyProtection="1">
      <alignment horizontal="centerContinuous"/>
    </xf>
    <xf numFmtId="164" fontId="60" fillId="4" borderId="1" xfId="1" applyNumberFormat="1" applyFont="1" applyFill="1" applyBorder="1" applyAlignment="1" applyProtection="1"/>
    <xf numFmtId="164" fontId="60" fillId="5" borderId="1" xfId="1" applyNumberFormat="1" applyFont="1" applyFill="1" applyBorder="1" applyAlignment="1" applyProtection="1"/>
    <xf numFmtId="165" fontId="11" fillId="0" borderId="9" xfId="3" applyNumberFormat="1" applyFont="1" applyFill="1" applyBorder="1" applyAlignment="1" applyProtection="1">
      <alignment horizontal="left"/>
    </xf>
    <xf numFmtId="164" fontId="31" fillId="5" borderId="12" xfId="1" applyNumberFormat="1" applyFont="1" applyFill="1" applyBorder="1" applyAlignment="1" applyProtection="1">
      <alignment horizontal="centerContinuous"/>
    </xf>
    <xf numFmtId="164" fontId="10" fillId="5" borderId="2" xfId="1" applyNumberFormat="1" applyFont="1" applyFill="1" applyBorder="1" applyAlignment="1" applyProtection="1">
      <alignment horizontal="center"/>
    </xf>
    <xf numFmtId="3" fontId="39" fillId="5" borderId="39" xfId="1" applyNumberFormat="1" applyFont="1" applyFill="1" applyBorder="1" applyAlignment="1" applyProtection="1">
      <alignment horizontal="center"/>
    </xf>
    <xf numFmtId="3" fontId="16" fillId="6" borderId="1" xfId="1" applyNumberFormat="1" applyFont="1" applyFill="1" applyBorder="1" applyAlignment="1" applyProtection="1">
      <alignment horizontal="center"/>
      <protection locked="0"/>
    </xf>
    <xf numFmtId="3" fontId="16" fillId="6" borderId="12" xfId="1" applyNumberFormat="1" applyFont="1" applyFill="1" applyBorder="1" applyAlignment="1" applyProtection="1">
      <alignment horizontal="center"/>
      <protection locked="0"/>
    </xf>
    <xf numFmtId="164" fontId="10" fillId="5" borderId="38" xfId="1" applyNumberFormat="1" applyFont="1" applyFill="1" applyBorder="1" applyAlignment="1" applyProtection="1">
      <alignment horizontal="center"/>
    </xf>
    <xf numFmtId="3" fontId="10" fillId="5" borderId="39" xfId="1" applyNumberFormat="1" applyFont="1" applyFill="1" applyBorder="1" applyAlignment="1" applyProtection="1">
      <alignment horizontal="center"/>
    </xf>
    <xf numFmtId="164" fontId="63" fillId="2" borderId="1" xfId="1" applyNumberFormat="1" applyFont="1" applyFill="1" applyBorder="1" applyAlignment="1" applyProtection="1"/>
    <xf numFmtId="164" fontId="17" fillId="10" borderId="9" xfId="1" applyNumberFormat="1" applyFont="1" applyFill="1" applyBorder="1" applyAlignment="1" applyProtection="1">
      <alignment horizontal="left" vertical="center" wrapText="1"/>
    </xf>
    <xf numFmtId="0" fontId="56" fillId="4" borderId="1" xfId="0" applyFont="1" applyFill="1" applyBorder="1" applyAlignment="1">
      <alignment horizontal="left"/>
    </xf>
    <xf numFmtId="164" fontId="64" fillId="10" borderId="1" xfId="1" applyNumberFormat="1" applyFont="1" applyFill="1" applyBorder="1" applyAlignment="1" applyProtection="1">
      <alignment horizontal="left" vertical="center" wrapText="1"/>
    </xf>
    <xf numFmtId="164" fontId="64" fillId="10" borderId="1" xfId="1" applyNumberFormat="1" applyFont="1" applyFill="1" applyBorder="1" applyAlignment="1" applyProtection="1">
      <alignment horizontal="left" vertical="center"/>
    </xf>
    <xf numFmtId="164" fontId="64" fillId="10" borderId="1" xfId="1" applyNumberFormat="1" applyFont="1" applyFill="1" applyBorder="1" applyAlignment="1" applyProtection="1">
      <alignment vertical="center" wrapText="1"/>
    </xf>
    <xf numFmtId="164" fontId="56" fillId="0" borderId="0" xfId="1" applyNumberFormat="1" applyFont="1"/>
    <xf numFmtId="164" fontId="56" fillId="2" borderId="1" xfId="1" applyNumberFormat="1" applyFont="1" applyFill="1" applyBorder="1" applyAlignment="1" applyProtection="1">
      <alignment horizontal="center"/>
    </xf>
    <xf numFmtId="3" fontId="56" fillId="6" borderId="1" xfId="1" applyNumberFormat="1" applyFont="1" applyFill="1" applyBorder="1" applyAlignment="1" applyProtection="1">
      <alignment horizontal="right"/>
      <protection locked="0"/>
    </xf>
    <xf numFmtId="3" fontId="56" fillId="4" borderId="1" xfId="1" applyNumberFormat="1" applyFont="1" applyFill="1" applyBorder="1" applyProtection="1">
      <protection locked="0"/>
    </xf>
    <xf numFmtId="164" fontId="17" fillId="5" borderId="1" xfId="1" applyNumberFormat="1" applyFont="1" applyFill="1" applyBorder="1" applyAlignment="1" applyProtection="1"/>
    <xf numFmtId="164" fontId="17" fillId="5" borderId="1" xfId="1" applyNumberFormat="1" applyFont="1" applyFill="1" applyBorder="1" applyAlignment="1" applyProtection="1">
      <alignment horizontal="right"/>
    </xf>
    <xf numFmtId="3" fontId="56" fillId="5" borderId="1" xfId="1" applyNumberFormat="1" applyFont="1" applyFill="1" applyBorder="1" applyAlignment="1" applyProtection="1"/>
    <xf numFmtId="164" fontId="64" fillId="10" borderId="9" xfId="1" applyNumberFormat="1" applyFont="1" applyFill="1" applyBorder="1" applyAlignment="1" applyProtection="1">
      <alignment horizontal="left" vertical="center" wrapText="1"/>
    </xf>
    <xf numFmtId="164" fontId="64" fillId="10" borderId="9" xfId="1" applyNumberFormat="1" applyFont="1" applyFill="1" applyBorder="1" applyAlignment="1" applyProtection="1">
      <alignment horizontal="left" vertical="center"/>
    </xf>
    <xf numFmtId="164" fontId="31" fillId="5" borderId="9" xfId="1" applyNumberFormat="1" applyFont="1" applyFill="1" applyBorder="1" applyAlignment="1" applyProtection="1">
      <alignment horizontal="centerContinuous"/>
    </xf>
    <xf numFmtId="164" fontId="31" fillId="5" borderId="10" xfId="1" applyNumberFormat="1" applyFont="1" applyFill="1" applyBorder="1" applyAlignment="1" applyProtection="1">
      <alignment horizontal="centerContinuous"/>
    </xf>
    <xf numFmtId="164" fontId="31" fillId="5" borderId="2" xfId="1" applyNumberFormat="1" applyFont="1" applyFill="1" applyBorder="1" applyAlignment="1" applyProtection="1">
      <alignment horizontal="centerContinuous"/>
    </xf>
    <xf numFmtId="3" fontId="14" fillId="6" borderId="1" xfId="1" applyNumberFormat="1" applyFont="1" applyFill="1" applyBorder="1" applyAlignment="1" applyProtection="1">
      <alignment horizontal="center" vertical="center"/>
      <protection locked="0"/>
    </xf>
    <xf numFmtId="164" fontId="46" fillId="10" borderId="1" xfId="1" applyNumberFormat="1" applyFont="1" applyFill="1" applyBorder="1" applyAlignment="1" applyProtection="1">
      <alignment vertical="center" wrapText="1"/>
    </xf>
    <xf numFmtId="3" fontId="11" fillId="5" borderId="12" xfId="1" applyNumberFormat="1" applyFont="1" applyFill="1" applyBorder="1" applyAlignment="1" applyProtection="1"/>
    <xf numFmtId="3" fontId="20" fillId="6" borderId="18" xfId="1" applyNumberFormat="1" applyFont="1" applyFill="1" applyBorder="1" applyAlignment="1" applyProtection="1">
      <alignment horizontal="right" shrinkToFit="1"/>
      <protection locked="0"/>
    </xf>
    <xf numFmtId="3" fontId="20" fillId="6" borderId="18" xfId="1" applyNumberFormat="1" applyFont="1" applyFill="1" applyBorder="1" applyAlignment="1" applyProtection="1">
      <alignment horizontal="right"/>
      <protection locked="0"/>
    </xf>
    <xf numFmtId="3" fontId="20" fillId="6" borderId="1" xfId="1" applyNumberFormat="1" applyFont="1" applyFill="1" applyBorder="1" applyAlignment="1" applyProtection="1">
      <alignment horizontal="right"/>
      <protection locked="0"/>
    </xf>
    <xf numFmtId="3" fontId="20" fillId="6" borderId="12" xfId="1" applyNumberFormat="1" applyFont="1" applyFill="1" applyBorder="1" applyAlignment="1" applyProtection="1">
      <alignment horizontal="right"/>
      <protection locked="0"/>
    </xf>
    <xf numFmtId="3" fontId="20" fillId="6" borderId="13" xfId="1" applyNumberFormat="1" applyFont="1" applyFill="1" applyBorder="1" applyAlignment="1" applyProtection="1">
      <alignment horizontal="right"/>
      <protection locked="0"/>
    </xf>
    <xf numFmtId="164" fontId="21" fillId="10" borderId="10" xfId="1" applyNumberFormat="1" applyFont="1" applyFill="1" applyBorder="1" applyAlignment="1" applyProtection="1">
      <alignment vertical="center" wrapText="1"/>
    </xf>
    <xf numFmtId="164" fontId="21" fillId="10" borderId="2" xfId="1" applyNumberFormat="1" applyFont="1" applyFill="1" applyBorder="1" applyAlignment="1" applyProtection="1">
      <alignment vertical="center" wrapText="1"/>
    </xf>
    <xf numFmtId="3" fontId="20" fillId="6" borderId="6" xfId="1" applyNumberFormat="1" applyFont="1" applyFill="1" applyBorder="1" applyAlignment="1" applyProtection="1">
      <alignment horizontal="right"/>
      <protection locked="0"/>
    </xf>
    <xf numFmtId="3" fontId="20" fillId="6" borderId="2" xfId="1" applyNumberFormat="1" applyFont="1" applyFill="1" applyBorder="1" applyAlignment="1" applyProtection="1">
      <alignment horizontal="right"/>
      <protection locked="0"/>
    </xf>
    <xf numFmtId="164" fontId="65" fillId="5" borderId="35" xfId="1" applyNumberFormat="1" applyFont="1" applyFill="1" applyBorder="1" applyAlignment="1" applyProtection="1"/>
    <xf numFmtId="164" fontId="65" fillId="5" borderId="37" xfId="1" applyNumberFormat="1" applyFont="1" applyFill="1" applyBorder="1" applyAlignment="1" applyProtection="1"/>
    <xf numFmtId="3" fontId="11" fillId="5" borderId="1" xfId="1" applyNumberFormat="1" applyFont="1" applyFill="1" applyBorder="1" applyAlignment="1" applyProtection="1"/>
    <xf numFmtId="3" fontId="20" fillId="6" borderId="17" xfId="1" applyNumberFormat="1" applyFont="1" applyFill="1" applyBorder="1" applyAlignment="1" applyProtection="1">
      <alignment horizontal="right"/>
      <protection locked="0"/>
    </xf>
    <xf numFmtId="3" fontId="11" fillId="6" borderId="18" xfId="1" applyNumberFormat="1" applyFont="1" applyFill="1" applyBorder="1" applyAlignment="1" applyProtection="1">
      <alignment horizontal="right"/>
      <protection locked="0"/>
    </xf>
    <xf numFmtId="164" fontId="21" fillId="10" borderId="0" xfId="1" applyNumberFormat="1" applyFont="1" applyFill="1" applyBorder="1" applyAlignment="1" applyProtection="1">
      <alignment vertical="center" wrapText="1"/>
    </xf>
    <xf numFmtId="164" fontId="21" fillId="10" borderId="7" xfId="1" applyNumberFormat="1" applyFont="1" applyFill="1" applyBorder="1" applyAlignment="1" applyProtection="1">
      <alignment vertical="center" wrapText="1"/>
    </xf>
    <xf numFmtId="164" fontId="20" fillId="0" borderId="0" xfId="1" applyNumberFormat="1" applyFont="1" applyBorder="1"/>
    <xf numFmtId="164" fontId="20" fillId="0" borderId="0" xfId="1" applyNumberFormat="1" applyFont="1"/>
    <xf numFmtId="164" fontId="20" fillId="0" borderId="0" xfId="1" applyNumberFormat="1" applyFont="1" applyFill="1" applyBorder="1"/>
    <xf numFmtId="164" fontId="21" fillId="5" borderId="2" xfId="1" applyNumberFormat="1" applyFont="1" applyFill="1" applyBorder="1" applyAlignment="1" applyProtection="1"/>
    <xf numFmtId="164" fontId="21" fillId="27" borderId="8" xfId="1" applyNumberFormat="1" applyFont="1" applyFill="1" applyBorder="1" applyAlignment="1" applyProtection="1"/>
    <xf numFmtId="3" fontId="13" fillId="6" borderId="2" xfId="1" applyNumberFormat="1" applyFont="1" applyFill="1" applyBorder="1" applyAlignment="1" applyProtection="1">
      <alignment horizontal="right"/>
      <protection locked="0"/>
    </xf>
    <xf numFmtId="3" fontId="13" fillId="6" borderId="1" xfId="1" applyNumberFormat="1" applyFont="1" applyFill="1" applyBorder="1" applyAlignment="1" applyProtection="1">
      <alignment horizontal="right" vertical="center"/>
      <protection locked="0"/>
    </xf>
    <xf numFmtId="3" fontId="31" fillId="6" borderId="1" xfId="1" applyNumberFormat="1" applyFont="1" applyFill="1" applyBorder="1" applyAlignment="1" applyProtection="1">
      <alignment horizontal="right" vertical="center"/>
      <protection locked="0"/>
    </xf>
    <xf numFmtId="3" fontId="65" fillId="6" borderId="1" xfId="1" applyNumberFormat="1" applyFont="1" applyFill="1" applyBorder="1" applyAlignment="1" applyProtection="1">
      <alignment horizontal="right" vertical="center"/>
      <protection locked="0"/>
    </xf>
    <xf numFmtId="3" fontId="20" fillId="6" borderId="1" xfId="1" applyNumberFormat="1" applyFont="1" applyFill="1" applyBorder="1" applyAlignment="1" applyProtection="1">
      <alignment horizontal="right" vertical="center"/>
      <protection locked="0"/>
    </xf>
    <xf numFmtId="164" fontId="23" fillId="10" borderId="10" xfId="1" applyNumberFormat="1" applyFont="1" applyFill="1" applyBorder="1" applyAlignment="1" applyProtection="1">
      <alignment vertical="center" wrapText="1"/>
    </xf>
    <xf numFmtId="164" fontId="23" fillId="19" borderId="10" xfId="1" applyNumberFormat="1" applyFont="1" applyFill="1" applyBorder="1" applyAlignment="1" applyProtection="1">
      <alignment vertical="center" wrapText="1"/>
    </xf>
    <xf numFmtId="166" fontId="9" fillId="4" borderId="9" xfId="1" applyNumberFormat="1" applyFont="1" applyFill="1" applyBorder="1" applyAlignment="1" applyProtection="1">
      <alignment horizontal="left" indent="3"/>
    </xf>
    <xf numFmtId="166" fontId="9" fillId="4" borderId="2" xfId="1" applyNumberFormat="1" applyFont="1" applyFill="1" applyBorder="1" applyAlignment="1" applyProtection="1">
      <alignment horizontal="left" indent="3"/>
    </xf>
    <xf numFmtId="3" fontId="13" fillId="6" borderId="9" xfId="1" applyNumberFormat="1" applyFont="1" applyFill="1" applyBorder="1" applyAlignment="1" applyProtection="1">
      <alignment horizontal="right" vertical="center"/>
      <protection locked="0"/>
    </xf>
    <xf numFmtId="166" fontId="9" fillId="28" borderId="9" xfId="1" applyNumberFormat="1" applyFont="1" applyFill="1" applyBorder="1" applyAlignment="1" applyProtection="1">
      <alignment horizontal="left" indent="3"/>
    </xf>
    <xf numFmtId="166" fontId="9" fillId="28" borderId="2" xfId="1" applyNumberFormat="1" applyFont="1" applyFill="1" applyBorder="1" applyAlignment="1" applyProtection="1">
      <alignment horizontal="left" indent="3"/>
    </xf>
    <xf numFmtId="166" fontId="9" fillId="4" borderId="9" xfId="1" applyNumberFormat="1" applyFont="1" applyFill="1" applyBorder="1" applyAlignment="1" applyProtection="1">
      <alignment horizontal="center"/>
    </xf>
    <xf numFmtId="166" fontId="9" fillId="4" borderId="10" xfId="1" applyNumberFormat="1" applyFont="1" applyFill="1" applyBorder="1" applyAlignment="1" applyProtection="1">
      <alignment horizontal="center"/>
    </xf>
    <xf numFmtId="165" fontId="16" fillId="6" borderId="10" xfId="3" applyNumberFormat="1" applyFont="1" applyFill="1" applyBorder="1" applyProtection="1">
      <protection locked="0"/>
    </xf>
    <xf numFmtId="164" fontId="16" fillId="9" borderId="2" xfId="1" applyNumberFormat="1" applyFont="1" applyFill="1" applyBorder="1" applyAlignment="1" applyProtection="1">
      <protection locked="0"/>
    </xf>
    <xf numFmtId="166" fontId="9" fillId="29" borderId="9" xfId="1" applyNumberFormat="1" applyFont="1" applyFill="1" applyBorder="1" applyAlignment="1" applyProtection="1">
      <alignment horizontal="left" indent="3"/>
    </xf>
    <xf numFmtId="166" fontId="9" fillId="29" borderId="10" xfId="1" applyNumberFormat="1" applyFont="1" applyFill="1" applyBorder="1" applyAlignment="1" applyProtection="1">
      <alignment horizontal="left" indent="3"/>
    </xf>
    <xf numFmtId="164" fontId="9" fillId="29" borderId="9" xfId="1" applyNumberFormat="1" applyFont="1" applyFill="1" applyBorder="1" applyAlignment="1" applyProtection="1">
      <alignment vertical="center"/>
    </xf>
    <xf numFmtId="166" fontId="56" fillId="4" borderId="1" xfId="1" applyNumberFormat="1" applyFont="1" applyFill="1" applyBorder="1" applyProtection="1"/>
    <xf numFmtId="166" fontId="36" fillId="5" borderId="19" xfId="1" applyNumberFormat="1" applyFont="1" applyFill="1" applyBorder="1" applyAlignment="1" applyProtection="1">
      <alignment horizontal="right" vertical="center"/>
    </xf>
    <xf numFmtId="9" fontId="16" fillId="6" borderId="1" xfId="3" applyNumberFormat="1" applyFont="1" applyFill="1" applyBorder="1" applyProtection="1">
      <protection locked="0"/>
    </xf>
    <xf numFmtId="170" fontId="16" fillId="6" borderId="1" xfId="1" applyNumberFormat="1" applyFont="1" applyFill="1" applyBorder="1" applyProtection="1">
      <protection locked="0"/>
    </xf>
    <xf numFmtId="164" fontId="16" fillId="30" borderId="0" xfId="1" applyNumberFormat="1" applyFont="1" applyFill="1"/>
    <xf numFmtId="3" fontId="14" fillId="27" borderId="0" xfId="1" applyNumberFormat="1" applyFont="1" applyFill="1" applyBorder="1" applyAlignment="1" applyProtection="1">
      <alignment horizontal="right" vertical="center"/>
      <protection locked="0"/>
    </xf>
    <xf numFmtId="3" fontId="67" fillId="6" borderId="12" xfId="1" applyNumberFormat="1" applyFont="1" applyFill="1" applyBorder="1" applyAlignment="1" applyProtection="1">
      <alignment horizontal="right"/>
      <protection locked="0"/>
    </xf>
    <xf numFmtId="3" fontId="67" fillId="6" borderId="1" xfId="1" applyNumberFormat="1" applyFont="1" applyFill="1" applyBorder="1" applyAlignment="1" applyProtection="1">
      <alignment horizontal="right"/>
      <protection locked="0"/>
    </xf>
    <xf numFmtId="169" fontId="56" fillId="6" borderId="1" xfId="1" applyNumberFormat="1" applyFont="1" applyFill="1" applyBorder="1" applyProtection="1">
      <protection locked="0"/>
    </xf>
    <xf numFmtId="165" fontId="11" fillId="0" borderId="9" xfId="3" applyNumberFormat="1" applyFont="1" applyFill="1" applyBorder="1" applyAlignment="1" applyProtection="1">
      <alignment horizontal="left"/>
    </xf>
    <xf numFmtId="3" fontId="11" fillId="6" borderId="1" xfId="1" applyNumberFormat="1" applyFont="1" applyFill="1" applyBorder="1" applyProtection="1">
      <protection locked="0"/>
    </xf>
    <xf numFmtId="164" fontId="11" fillId="0" borderId="3" xfId="1" applyNumberFormat="1" applyFont="1" applyFill="1" applyBorder="1" applyAlignment="1" applyProtection="1">
      <alignment horizontal="left"/>
    </xf>
    <xf numFmtId="164" fontId="11" fillId="0" borderId="0" xfId="1" applyNumberFormat="1" applyFont="1" applyFill="1" applyBorder="1" applyAlignment="1" applyProtection="1">
      <alignment horizontal="left"/>
    </xf>
    <xf numFmtId="166" fontId="11" fillId="0" borderId="0" xfId="1" applyNumberFormat="1" applyFont="1" applyFill="1" applyBorder="1" applyProtection="1"/>
    <xf numFmtId="0" fontId="11" fillId="0" borderId="7" xfId="0" applyFont="1" applyFill="1" applyBorder="1" applyProtection="1"/>
    <xf numFmtId="166" fontId="11" fillId="12" borderId="1" xfId="1" applyNumberFormat="1" applyFont="1" applyFill="1" applyBorder="1" applyProtection="1"/>
    <xf numFmtId="165" fontId="11" fillId="0" borderId="1" xfId="3" applyNumberFormat="1" applyFont="1" applyFill="1" applyBorder="1" applyAlignment="1" applyProtection="1">
      <alignment horizontal="left" vertical="top" wrapText="1"/>
    </xf>
    <xf numFmtId="1" fontId="68" fillId="0" borderId="9" xfId="1" applyNumberFormat="1" applyFont="1" applyFill="1" applyBorder="1" applyAlignment="1" applyProtection="1">
      <alignment horizontal="right"/>
    </xf>
    <xf numFmtId="3" fontId="11" fillId="13" borderId="1" xfId="1" applyNumberFormat="1" applyFont="1" applyFill="1" applyBorder="1" applyProtection="1"/>
    <xf numFmtId="3" fontId="11" fillId="13" borderId="2" xfId="1" applyNumberFormat="1" applyFont="1" applyFill="1" applyBorder="1" applyProtection="1"/>
    <xf numFmtId="0" fontId="15" fillId="0" borderId="12" xfId="0" applyFont="1" applyBorder="1" applyAlignment="1" applyProtection="1">
      <alignment vertical="center"/>
    </xf>
    <xf numFmtId="167" fontId="40" fillId="3" borderId="1" xfId="1" applyNumberFormat="1" applyFont="1" applyFill="1" applyBorder="1" applyAlignment="1" applyProtection="1">
      <alignment horizontal="center" vertical="center" wrapText="1"/>
    </xf>
    <xf numFmtId="1" fontId="39" fillId="8" borderId="1" xfId="1" applyNumberFormat="1" applyFont="1" applyFill="1" applyBorder="1" applyAlignment="1" applyProtection="1">
      <alignment horizontal="center" vertical="center" wrapText="1"/>
    </xf>
    <xf numFmtId="0" fontId="15" fillId="0" borderId="4" xfId="0" applyFont="1" applyBorder="1" applyProtection="1"/>
    <xf numFmtId="165" fontId="15" fillId="0" borderId="2" xfId="3" applyNumberFormat="1" applyFont="1" applyFill="1" applyBorder="1" applyAlignment="1" applyProtection="1">
      <alignment horizontal="left"/>
    </xf>
    <xf numFmtId="0" fontId="69" fillId="0" borderId="2" xfId="0" applyFont="1" applyFill="1" applyBorder="1" applyAlignment="1" applyProtection="1">
      <alignment horizontal="center" vertical="top" wrapText="1"/>
    </xf>
    <xf numFmtId="165" fontId="15" fillId="0" borderId="18" xfId="3" applyNumberFormat="1" applyFont="1" applyFill="1" applyBorder="1" applyProtection="1">
      <protection locked="0"/>
    </xf>
    <xf numFmtId="0" fontId="15" fillId="0" borderId="5" xfId="0" applyFont="1" applyBorder="1" applyProtection="1"/>
    <xf numFmtId="0" fontId="15" fillId="0" borderId="6" xfId="0" applyFont="1" applyBorder="1" applyProtection="1"/>
    <xf numFmtId="165" fontId="15" fillId="0" borderId="1" xfId="3" applyNumberFormat="1" applyFont="1" applyFill="1" applyBorder="1" applyAlignment="1" applyProtection="1">
      <alignment horizontal="left"/>
    </xf>
    <xf numFmtId="166" fontId="15" fillId="3" borderId="1" xfId="1" applyNumberFormat="1" applyFont="1" applyFill="1" applyBorder="1" applyProtection="1"/>
    <xf numFmtId="3" fontId="15" fillId="6" borderId="1" xfId="1" applyNumberFormat="1" applyFont="1" applyFill="1" applyBorder="1" applyProtection="1">
      <protection locked="0"/>
    </xf>
    <xf numFmtId="164" fontId="15" fillId="0" borderId="3" xfId="1" applyNumberFormat="1" applyFont="1" applyFill="1" applyBorder="1" applyAlignment="1" applyProtection="1">
      <alignment horizontal="left"/>
    </xf>
    <xf numFmtId="164" fontId="15" fillId="0" borderId="0" xfId="1" applyNumberFormat="1" applyFont="1" applyFill="1" applyBorder="1" applyAlignment="1" applyProtection="1">
      <alignment horizontal="left"/>
    </xf>
    <xf numFmtId="166" fontId="15" fillId="0" borderId="0" xfId="1" applyNumberFormat="1" applyFont="1" applyFill="1" applyBorder="1" applyProtection="1"/>
    <xf numFmtId="0" fontId="15" fillId="0" borderId="0" xfId="0" applyFont="1" applyFill="1" applyBorder="1" applyProtection="1"/>
    <xf numFmtId="0" fontId="15" fillId="0" borderId="7" xfId="0" applyFont="1" applyFill="1" applyBorder="1" applyProtection="1"/>
    <xf numFmtId="166" fontId="15" fillId="12" borderId="1" xfId="1" applyNumberFormat="1" applyFont="1" applyFill="1" applyBorder="1" applyProtection="1"/>
    <xf numFmtId="165" fontId="15" fillId="0" borderId="1" xfId="3" applyNumberFormat="1" applyFont="1" applyFill="1" applyBorder="1" applyAlignment="1" applyProtection="1">
      <alignment horizontal="left" vertical="top" wrapText="1"/>
    </xf>
    <xf numFmtId="165" fontId="70" fillId="0" borderId="1" xfId="3" applyNumberFormat="1" applyFont="1" applyFill="1" applyBorder="1" applyAlignment="1" applyProtection="1">
      <alignment horizontal="left"/>
    </xf>
    <xf numFmtId="165" fontId="15" fillId="0" borderId="9" xfId="3" applyNumberFormat="1" applyFont="1" applyFill="1" applyBorder="1" applyAlignment="1" applyProtection="1">
      <alignment horizontal="left"/>
    </xf>
    <xf numFmtId="1" fontId="71" fillId="0" borderId="9" xfId="1" applyNumberFormat="1" applyFont="1" applyFill="1" applyBorder="1" applyAlignment="1" applyProtection="1">
      <alignment horizontal="right"/>
    </xf>
    <xf numFmtId="3" fontId="15" fillId="13" borderId="1" xfId="1" applyNumberFormat="1" applyFont="1" applyFill="1" applyBorder="1" applyProtection="1"/>
    <xf numFmtId="3" fontId="15" fillId="13" borderId="2" xfId="1" applyNumberFormat="1" applyFont="1" applyFill="1" applyBorder="1" applyProtection="1"/>
    <xf numFmtId="164" fontId="15" fillId="5" borderId="1" xfId="1" applyNumberFormat="1" applyFont="1" applyFill="1" applyBorder="1" applyProtection="1"/>
    <xf numFmtId="166" fontId="15" fillId="12" borderId="12" xfId="1" applyNumberFormat="1" applyFont="1" applyFill="1" applyBorder="1" applyProtection="1"/>
    <xf numFmtId="1" fontId="71" fillId="0" borderId="2" xfId="1" applyNumberFormat="1" applyFont="1" applyFill="1" applyBorder="1" applyAlignment="1" applyProtection="1">
      <alignment horizontal="right"/>
    </xf>
    <xf numFmtId="0" fontId="20" fillId="0" borderId="0" xfId="0" applyFont="1" applyBorder="1" applyProtection="1"/>
    <xf numFmtId="0" fontId="20" fillId="0" borderId="0" xfId="0" applyFont="1" applyFill="1" applyBorder="1" applyProtection="1"/>
    <xf numFmtId="0" fontId="11" fillId="0" borderId="0" xfId="0" applyFont="1" applyBorder="1" applyProtection="1"/>
    <xf numFmtId="165" fontId="15" fillId="0" borderId="0" xfId="3" applyNumberFormat="1" applyFont="1" applyFill="1" applyBorder="1" applyAlignment="1" applyProtection="1">
      <alignment horizontal="center" textRotation="90" wrapText="1"/>
    </xf>
    <xf numFmtId="166" fontId="15" fillId="3" borderId="9" xfId="1" applyNumberFormat="1" applyFont="1" applyFill="1" applyBorder="1" applyProtection="1"/>
    <xf numFmtId="0" fontId="13" fillId="0" borderId="0" xfId="0" applyFont="1" applyBorder="1" applyProtection="1"/>
    <xf numFmtId="0" fontId="13" fillId="0" borderId="0" xfId="0" applyFont="1" applyFill="1" applyBorder="1" applyProtection="1"/>
    <xf numFmtId="0" fontId="15" fillId="0" borderId="0" xfId="0" applyFont="1" applyBorder="1" applyProtection="1"/>
    <xf numFmtId="166" fontId="15" fillId="12" borderId="9" xfId="1" applyNumberFormat="1" applyFont="1" applyFill="1" applyBorder="1" applyAlignment="1" applyProtection="1">
      <protection locked="0"/>
    </xf>
    <xf numFmtId="166" fontId="15" fillId="22" borderId="9" xfId="1" applyNumberFormat="1" applyFont="1" applyFill="1" applyBorder="1" applyAlignment="1" applyProtection="1">
      <protection locked="0"/>
    </xf>
    <xf numFmtId="164" fontId="15" fillId="5" borderId="1" xfId="1" applyNumberFormat="1" applyFont="1" applyFill="1" applyBorder="1" applyAlignment="1" applyProtection="1">
      <alignment horizontal="left"/>
    </xf>
    <xf numFmtId="0" fontId="69" fillId="0" borderId="0" xfId="0" applyFont="1" applyFill="1" applyBorder="1" applyAlignment="1" applyProtection="1">
      <alignment vertical="top" wrapText="1"/>
    </xf>
    <xf numFmtId="0" fontId="72" fillId="0" borderId="0" xfId="0" applyFont="1" applyFill="1" applyBorder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left"/>
    </xf>
    <xf numFmtId="0" fontId="15" fillId="0" borderId="9" xfId="0" applyFont="1" applyFill="1" applyBorder="1" applyAlignment="1" applyProtection="1">
      <alignment horizontal="left"/>
    </xf>
    <xf numFmtId="0" fontId="15" fillId="0" borderId="10" xfId="0" applyFont="1" applyFill="1" applyBorder="1" applyProtection="1"/>
    <xf numFmtId="0" fontId="15" fillId="0" borderId="2" xfId="0" applyFont="1" applyFill="1" applyBorder="1" applyProtection="1"/>
    <xf numFmtId="166" fontId="71" fillId="17" borderId="1" xfId="1" applyNumberFormat="1" applyFont="1" applyFill="1" applyBorder="1" applyAlignment="1" applyProtection="1">
      <alignment horizontal="right"/>
    </xf>
    <xf numFmtId="0" fontId="15" fillId="0" borderId="9" xfId="0" applyFont="1" applyBorder="1" applyProtection="1"/>
    <xf numFmtId="0" fontId="15" fillId="0" borderId="4" xfId="0" applyFont="1" applyBorder="1" applyAlignment="1" applyProtection="1">
      <alignment vertical="top" wrapText="1"/>
    </xf>
    <xf numFmtId="0" fontId="15" fillId="0" borderId="5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165" fontId="66" fillId="0" borderId="2" xfId="3" applyNumberFormat="1" applyFont="1" applyFill="1" applyBorder="1" applyAlignment="1" applyProtection="1">
      <alignment horizontal="center"/>
    </xf>
    <xf numFmtId="165" fontId="11" fillId="0" borderId="18" xfId="3" applyNumberFormat="1" applyFont="1" applyFill="1" applyBorder="1" applyAlignment="1" applyProtection="1">
      <alignment horizontal="left"/>
    </xf>
    <xf numFmtId="166" fontId="11" fillId="3" borderId="18" xfId="1" applyNumberFormat="1" applyFont="1" applyFill="1" applyBorder="1" applyProtection="1"/>
    <xf numFmtId="3" fontId="11" fillId="6" borderId="18" xfId="1" applyNumberFormat="1" applyFont="1" applyFill="1" applyBorder="1" applyProtection="1">
      <protection locked="0"/>
    </xf>
    <xf numFmtId="165" fontId="11" fillId="0" borderId="9" xfId="3" applyNumberFormat="1" applyFont="1" applyFill="1" applyBorder="1" applyAlignment="1" applyProtection="1">
      <alignment horizontal="left"/>
    </xf>
    <xf numFmtId="165" fontId="11" fillId="0" borderId="9" xfId="3" applyNumberFormat="1" applyFont="1" applyFill="1" applyBorder="1" applyAlignment="1" applyProtection="1">
      <alignment horizontal="left"/>
    </xf>
    <xf numFmtId="3" fontId="9" fillId="6" borderId="2" xfId="0" applyNumberFormat="1" applyFont="1" applyFill="1" applyBorder="1" applyAlignment="1" applyProtection="1">
      <alignment horizontal="right" vertical="center"/>
      <protection locked="0"/>
    </xf>
    <xf numFmtId="166" fontId="11" fillId="3" borderId="1" xfId="1" applyNumberFormat="1" applyFont="1" applyFill="1" applyBorder="1" applyProtection="1"/>
    <xf numFmtId="166" fontId="11" fillId="3" borderId="9" xfId="1" applyNumberFormat="1" applyFont="1" applyFill="1" applyBorder="1" applyProtection="1"/>
    <xf numFmtId="0" fontId="11" fillId="0" borderId="0" xfId="0" applyFont="1" applyProtection="1"/>
    <xf numFmtId="166" fontId="11" fillId="12" borderId="12" xfId="1" applyNumberFormat="1" applyFont="1" applyFill="1" applyBorder="1" applyProtection="1"/>
    <xf numFmtId="166" fontId="11" fillId="22" borderId="9" xfId="1" applyNumberFormat="1" applyFont="1" applyFill="1" applyBorder="1" applyAlignment="1" applyProtection="1">
      <protection locked="0"/>
    </xf>
    <xf numFmtId="166" fontId="11" fillId="22" borderId="1" xfId="1" applyNumberFormat="1" applyFont="1" applyFill="1" applyBorder="1" applyAlignment="1" applyProtection="1">
      <protection locked="0"/>
    </xf>
    <xf numFmtId="164" fontId="11" fillId="5" borderId="1" xfId="1" applyNumberFormat="1" applyFont="1" applyFill="1" applyBorder="1" applyProtection="1"/>
    <xf numFmtId="1" fontId="68" fillId="0" borderId="2" xfId="1" applyNumberFormat="1" applyFont="1" applyFill="1" applyBorder="1" applyAlignment="1" applyProtection="1">
      <alignment horizontal="right"/>
    </xf>
    <xf numFmtId="165" fontId="11" fillId="0" borderId="9" xfId="3" applyNumberFormat="1" applyFont="1" applyFill="1" applyBorder="1" applyAlignment="1" applyProtection="1">
      <alignment horizontal="left"/>
    </xf>
    <xf numFmtId="165" fontId="11" fillId="0" borderId="9" xfId="3" applyNumberFormat="1" applyFont="1" applyFill="1" applyBorder="1" applyAlignment="1" applyProtection="1">
      <alignment horizontal="left"/>
    </xf>
    <xf numFmtId="3" fontId="11" fillId="6" borderId="1" xfId="0" applyNumberFormat="1" applyFont="1" applyFill="1" applyBorder="1" applyAlignment="1" applyProtection="1">
      <alignment horizontal="right" vertical="center"/>
      <protection locked="0"/>
    </xf>
    <xf numFmtId="166" fontId="11" fillId="6" borderId="9" xfId="1" applyNumberFormat="1" applyFont="1" applyFill="1" applyBorder="1" applyAlignment="1" applyProtection="1">
      <protection locked="0"/>
    </xf>
    <xf numFmtId="166" fontId="11" fillId="6" borderId="1" xfId="1" applyNumberFormat="1" applyFont="1" applyFill="1" applyBorder="1" applyAlignment="1" applyProtection="1">
      <protection locked="0"/>
    </xf>
    <xf numFmtId="164" fontId="11" fillId="5" borderId="1" xfId="1" applyNumberFormat="1" applyFont="1" applyFill="1" applyBorder="1" applyAlignment="1" applyProtection="1">
      <alignment horizontal="left"/>
    </xf>
    <xf numFmtId="1" fontId="11" fillId="0" borderId="12" xfId="0" applyNumberFormat="1" applyFont="1" applyFill="1" applyBorder="1" applyAlignment="1" applyProtection="1">
      <alignment horizontal="left"/>
    </xf>
    <xf numFmtId="164" fontId="20" fillId="0" borderId="0" xfId="1" applyNumberFormat="1" applyFont="1" applyProtection="1"/>
    <xf numFmtId="164" fontId="20" fillId="0" borderId="0" xfId="1" applyNumberFormat="1" applyFont="1" applyBorder="1" applyAlignment="1" applyProtection="1">
      <alignment vertical="top" wrapText="1"/>
    </xf>
    <xf numFmtId="164" fontId="21" fillId="2" borderId="1" xfId="1" applyNumberFormat="1" applyFont="1" applyFill="1" applyBorder="1" applyAlignment="1" applyProtection="1"/>
    <xf numFmtId="164" fontId="13" fillId="0" borderId="0" xfId="1" applyNumberFormat="1" applyFont="1" applyProtection="1"/>
    <xf numFmtId="164" fontId="20" fillId="5" borderId="1" xfId="1" applyNumberFormat="1" applyFont="1" applyFill="1" applyBorder="1" applyAlignment="1">
      <alignment horizontal="center"/>
    </xf>
    <xf numFmtId="164" fontId="65" fillId="0" borderId="0" xfId="1" applyNumberFormat="1" applyFont="1" applyBorder="1"/>
    <xf numFmtId="164" fontId="20" fillId="5" borderId="1" xfId="1" applyNumberFormat="1" applyFont="1" applyFill="1" applyBorder="1" applyAlignment="1">
      <alignment horizontal="center" vertical="center"/>
    </xf>
    <xf numFmtId="3" fontId="11" fillId="6" borderId="18" xfId="0" applyNumberFormat="1" applyFont="1" applyFill="1" applyBorder="1" applyAlignment="1" applyProtection="1">
      <alignment vertical="center"/>
      <protection locked="0"/>
    </xf>
    <xf numFmtId="0" fontId="73" fillId="30" borderId="1" xfId="0" applyFont="1" applyFill="1" applyBorder="1"/>
    <xf numFmtId="165" fontId="11" fillId="0" borderId="9" xfId="3" applyNumberFormat="1" applyFont="1" applyFill="1" applyBorder="1" applyAlignment="1" applyProtection="1">
      <alignment horizontal="left"/>
    </xf>
    <xf numFmtId="166" fontId="11" fillId="12" borderId="9" xfId="1" applyNumberFormat="1" applyFont="1" applyFill="1" applyBorder="1" applyAlignment="1" applyProtection="1">
      <protection locked="0"/>
    </xf>
    <xf numFmtId="3" fontId="16" fillId="27" borderId="0" xfId="1" applyNumberFormat="1" applyFont="1" applyFill="1" applyBorder="1" applyAlignment="1" applyProtection="1">
      <alignment horizontal="right" vertical="center"/>
      <protection locked="0"/>
    </xf>
    <xf numFmtId="1" fontId="14" fillId="3" borderId="1" xfId="1" applyNumberFormat="1" applyFont="1" applyFill="1" applyBorder="1" applyAlignment="1">
      <alignment horizontal="center" vertical="center"/>
    </xf>
    <xf numFmtId="167" fontId="14" fillId="4" borderId="1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3" fontId="16" fillId="27" borderId="0" xfId="1" applyNumberFormat="1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 applyProtection="1">
      <alignment horizontal="left" vertical="top" wrapText="1"/>
      <protection locked="0"/>
    </xf>
    <xf numFmtId="0" fontId="9" fillId="17" borderId="0" xfId="0" applyFont="1" applyFill="1" applyAlignment="1" applyProtection="1">
      <alignment vertical="center"/>
    </xf>
    <xf numFmtId="0" fontId="9" fillId="17" borderId="0" xfId="0" applyFont="1" applyFill="1" applyBorder="1" applyAlignment="1" applyProtection="1">
      <alignment vertical="center"/>
    </xf>
    <xf numFmtId="169" fontId="16" fillId="30" borderId="1" xfId="8" applyNumberFormat="1" applyFont="1" applyFill="1" applyBorder="1"/>
    <xf numFmtId="165" fontId="11" fillId="0" borderId="9" xfId="3" applyNumberFormat="1" applyFont="1" applyFill="1" applyBorder="1" applyAlignment="1" applyProtection="1">
      <alignment horizontal="left"/>
    </xf>
    <xf numFmtId="0" fontId="76" fillId="0" borderId="0" xfId="0" applyFont="1"/>
    <xf numFmtId="0" fontId="16" fillId="0" borderId="0" xfId="0" applyFont="1"/>
    <xf numFmtId="0" fontId="14" fillId="2" borderId="1" xfId="0" applyFont="1" applyFill="1" applyBorder="1" applyAlignment="1" applyProtection="1">
      <alignment horizontal="left" vertical="top" wrapText="1"/>
    </xf>
    <xf numFmtId="0" fontId="16" fillId="6" borderId="1" xfId="0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>
      <alignment horizontal="right"/>
    </xf>
    <xf numFmtId="164" fontId="23" fillId="19" borderId="9" xfId="1" applyNumberFormat="1" applyFont="1" applyFill="1" applyBorder="1" applyAlignment="1" applyProtection="1">
      <alignment horizontal="left" vertical="center" wrapText="1"/>
    </xf>
    <xf numFmtId="0" fontId="53" fillId="0" borderId="0" xfId="0" applyFont="1" applyAlignment="1" applyProtection="1">
      <alignment horizontal="left" vertical="center"/>
    </xf>
    <xf numFmtId="0" fontId="53" fillId="0" borderId="0" xfId="0" applyFont="1" applyFill="1" applyAlignment="1" applyProtection="1">
      <alignment vertical="center"/>
    </xf>
    <xf numFmtId="164" fontId="36" fillId="0" borderId="0" xfId="1" applyNumberFormat="1" applyFont="1" applyAlignment="1" applyProtection="1">
      <alignment horizontal="left" vertical="center"/>
    </xf>
    <xf numFmtId="167" fontId="23" fillId="4" borderId="1" xfId="1" applyNumberFormat="1" applyFont="1" applyFill="1" applyBorder="1" applyAlignment="1" applyProtection="1">
      <alignment horizontal="center" vertical="center" wrapText="1"/>
    </xf>
    <xf numFmtId="164" fontId="36" fillId="0" borderId="0" xfId="1" applyNumberFormat="1" applyFont="1" applyAlignment="1" applyProtection="1">
      <alignment horizontal="left" vertical="center" wrapText="1"/>
    </xf>
    <xf numFmtId="164" fontId="36" fillId="0" borderId="0" xfId="1" applyNumberFormat="1" applyFont="1" applyBorder="1" applyAlignment="1" applyProtection="1">
      <alignment vertical="center" wrapText="1"/>
    </xf>
    <xf numFmtId="0" fontId="53" fillId="3" borderId="12" xfId="0" applyFont="1" applyFill="1" applyBorder="1" applyAlignment="1" applyProtection="1">
      <alignment horizontal="center" vertical="center" wrapText="1"/>
    </xf>
    <xf numFmtId="164" fontId="53" fillId="3" borderId="12" xfId="1" applyNumberFormat="1" applyFont="1" applyFill="1" applyBorder="1" applyAlignment="1" applyProtection="1">
      <alignment horizontal="center" vertical="center" wrapText="1"/>
    </xf>
    <xf numFmtId="166" fontId="53" fillId="4" borderId="1" xfId="1" applyNumberFormat="1" applyFont="1" applyFill="1" applyBorder="1" applyAlignment="1" applyProtection="1">
      <alignment horizontal="center" vertical="top" wrapText="1"/>
    </xf>
    <xf numFmtId="164" fontId="23" fillId="10" borderId="9" xfId="1" applyNumberFormat="1" applyFont="1" applyFill="1" applyBorder="1" applyAlignment="1" applyProtection="1">
      <alignment horizontal="left" vertical="center" wrapText="1"/>
    </xf>
    <xf numFmtId="164" fontId="53" fillId="2" borderId="9" xfId="1" applyNumberFormat="1" applyFont="1" applyFill="1" applyBorder="1" applyAlignment="1" applyProtection="1">
      <alignment horizontal="left" vertical="center" indent="2"/>
    </xf>
    <xf numFmtId="164" fontId="53" fillId="2" borderId="2" xfId="1" applyNumberFormat="1" applyFont="1" applyFill="1" applyBorder="1" applyAlignment="1" applyProtection="1">
      <alignment horizontal="left" vertical="center" indent="2"/>
    </xf>
    <xf numFmtId="164" fontId="23" fillId="5" borderId="32" xfId="1" applyNumberFormat="1" applyFont="1" applyFill="1" applyBorder="1" applyAlignment="1" applyProtection="1">
      <alignment horizontal="left" vertical="center"/>
    </xf>
    <xf numFmtId="164" fontId="11" fillId="2" borderId="1" xfId="1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164" fontId="20" fillId="0" borderId="0" xfId="1" applyNumberFormat="1" applyFont="1" applyAlignment="1" applyProtection="1">
      <alignment horizontal="left"/>
    </xf>
    <xf numFmtId="164" fontId="20" fillId="0" borderId="0" xfId="1" applyNumberFormat="1" applyFont="1" applyBorder="1" applyAlignment="1" applyProtection="1">
      <alignment horizontal="left" vertical="top" wrapText="1"/>
    </xf>
    <xf numFmtId="0" fontId="21" fillId="4" borderId="1" xfId="0" applyFont="1" applyFill="1" applyBorder="1" applyAlignment="1">
      <alignment horizontal="left"/>
    </xf>
    <xf numFmtId="0" fontId="77" fillId="4" borderId="1" xfId="0" applyFont="1" applyFill="1" applyBorder="1" applyAlignment="1">
      <alignment horizontal="left"/>
    </xf>
    <xf numFmtId="0" fontId="77" fillId="4" borderId="12" xfId="0" applyFont="1" applyFill="1" applyBorder="1" applyAlignment="1">
      <alignment horizontal="left"/>
    </xf>
    <xf numFmtId="164" fontId="13" fillId="5" borderId="1" xfId="1" applyNumberFormat="1" applyFont="1" applyFill="1" applyBorder="1" applyAlignment="1" applyProtection="1">
      <alignment horizontal="centerContinuous"/>
    </xf>
    <xf numFmtId="164" fontId="16" fillId="3" borderId="12" xfId="1" applyNumberFormat="1" applyFont="1" applyFill="1" applyBorder="1" applyAlignment="1" applyProtection="1">
      <alignment horizontal="center" vertical="center" wrapText="1"/>
    </xf>
    <xf numFmtId="0" fontId="16" fillId="4" borderId="12" xfId="1" applyNumberFormat="1" applyFont="1" applyFill="1" applyBorder="1" applyAlignment="1" applyProtection="1">
      <alignment horizontal="center" vertical="center" textRotation="90" wrapText="1"/>
    </xf>
    <xf numFmtId="164" fontId="16" fillId="4" borderId="12" xfId="1" applyNumberFormat="1" applyFont="1" applyFill="1" applyBorder="1" applyAlignment="1" applyProtection="1">
      <alignment horizontal="center" vertical="center" textRotation="90" wrapText="1"/>
    </xf>
    <xf numFmtId="164" fontId="16" fillId="5" borderId="12" xfId="1" applyNumberFormat="1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>
      <alignment horizontal="left" wrapText="1"/>
    </xf>
    <xf numFmtId="164" fontId="16" fillId="3" borderId="1" xfId="1" applyNumberFormat="1" applyFont="1" applyFill="1" applyBorder="1" applyAlignment="1" applyProtection="1">
      <alignment horizontal="centerContinuous"/>
    </xf>
    <xf numFmtId="164" fontId="16" fillId="4" borderId="1" xfId="1" applyNumberFormat="1" applyFont="1" applyFill="1" applyBorder="1" applyAlignment="1" applyProtection="1"/>
    <xf numFmtId="164" fontId="16" fillId="5" borderId="1" xfId="1" applyNumberFormat="1" applyFont="1" applyFill="1" applyBorder="1" applyAlignment="1" applyProtection="1"/>
    <xf numFmtId="164" fontId="14" fillId="5" borderId="1" xfId="1" applyNumberFormat="1" applyFont="1" applyFill="1" applyBorder="1" applyAlignment="1" applyProtection="1"/>
    <xf numFmtId="164" fontId="14" fillId="5" borderId="9" xfId="1" applyNumberFormat="1" applyFont="1" applyFill="1" applyBorder="1" applyAlignment="1" applyProtection="1"/>
    <xf numFmtId="164" fontId="16" fillId="5" borderId="2" xfId="1" applyNumberFormat="1" applyFont="1" applyFill="1" applyBorder="1" applyAlignment="1" applyProtection="1"/>
    <xf numFmtId="164" fontId="14" fillId="5" borderId="10" xfId="1" applyNumberFormat="1" applyFont="1" applyFill="1" applyBorder="1" applyAlignment="1" applyProtection="1"/>
    <xf numFmtId="164" fontId="14" fillId="5" borderId="2" xfId="1" applyNumberFormat="1" applyFont="1" applyFill="1" applyBorder="1" applyAlignment="1" applyProtection="1"/>
    <xf numFmtId="164" fontId="14" fillId="5" borderId="1" xfId="1" applyNumberFormat="1" applyFont="1" applyFill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center" vertical="top"/>
    </xf>
    <xf numFmtId="164" fontId="10" fillId="10" borderId="1" xfId="1" applyNumberFormat="1" applyFont="1" applyFill="1" applyBorder="1" applyAlignment="1" applyProtection="1">
      <alignment vertical="top" wrapText="1"/>
    </xf>
    <xf numFmtId="164" fontId="10" fillId="10" borderId="9" xfId="1" applyNumberFormat="1" applyFont="1" applyFill="1" applyBorder="1" applyAlignment="1" applyProtection="1">
      <alignment vertical="top" wrapText="1"/>
    </xf>
    <xf numFmtId="164" fontId="10" fillId="10" borderId="10" xfId="1" applyNumberFormat="1" applyFont="1" applyFill="1" applyBorder="1" applyAlignment="1" applyProtection="1">
      <alignment vertical="top" wrapText="1"/>
    </xf>
    <xf numFmtId="164" fontId="10" fillId="10" borderId="2" xfId="1" applyNumberFormat="1" applyFont="1" applyFill="1" applyBorder="1" applyAlignment="1" applyProtection="1">
      <alignment vertical="top" wrapText="1"/>
    </xf>
    <xf numFmtId="165" fontId="9" fillId="0" borderId="0" xfId="3" applyNumberFormat="1" applyFont="1" applyFill="1" applyBorder="1" applyAlignment="1" applyProtection="1">
      <alignment horizontal="center" textRotation="90" wrapText="1"/>
    </xf>
    <xf numFmtId="165" fontId="9" fillId="0" borderId="0" xfId="3" applyNumberFormat="1" applyFont="1" applyFill="1" applyBorder="1" applyAlignment="1" applyProtection="1">
      <alignment horizontal="center" vertical="center" textRotation="90" wrapText="1"/>
    </xf>
    <xf numFmtId="165" fontId="9" fillId="0" borderId="3" xfId="3" applyNumberFormat="1" applyFont="1" applyFill="1" applyBorder="1" applyAlignment="1" applyProtection="1"/>
    <xf numFmtId="165" fontId="9" fillId="0" borderId="0" xfId="3" applyNumberFormat="1" applyFont="1" applyFill="1" applyBorder="1" applyAlignment="1" applyProtection="1"/>
    <xf numFmtId="165" fontId="9" fillId="0" borderId="7" xfId="3" applyNumberFormat="1" applyFont="1" applyFill="1" applyBorder="1" applyAlignment="1" applyProtection="1"/>
    <xf numFmtId="165" fontId="9" fillId="0" borderId="11" xfId="3" applyNumberFormat="1" applyFont="1" applyFill="1" applyBorder="1" applyAlignment="1" applyProtection="1">
      <alignment horizontal="center"/>
    </xf>
    <xf numFmtId="165" fontId="9" fillId="0" borderId="8" xfId="3" applyNumberFormat="1" applyFont="1" applyFill="1" applyBorder="1" applyAlignment="1" applyProtection="1">
      <alignment horizontal="center"/>
    </xf>
    <xf numFmtId="165" fontId="9" fillId="0" borderId="13" xfId="3" applyNumberFormat="1" applyFont="1" applyFill="1" applyBorder="1" applyAlignment="1" applyProtection="1">
      <alignment horizontal="center"/>
    </xf>
    <xf numFmtId="165" fontId="9" fillId="0" borderId="3" xfId="3" applyNumberFormat="1" applyFont="1" applyFill="1" applyBorder="1" applyAlignment="1" applyProtection="1">
      <alignment horizontal="center"/>
    </xf>
    <xf numFmtId="165" fontId="9" fillId="0" borderId="0" xfId="3" applyNumberFormat="1" applyFont="1" applyFill="1" applyBorder="1" applyAlignment="1" applyProtection="1">
      <alignment horizontal="center"/>
    </xf>
    <xf numFmtId="165" fontId="9" fillId="0" borderId="7" xfId="3" applyNumberFormat="1" applyFont="1" applyFill="1" applyBorder="1" applyAlignment="1" applyProtection="1">
      <alignment horizontal="center"/>
    </xf>
    <xf numFmtId="165" fontId="9" fillId="0" borderId="4" xfId="3" applyNumberFormat="1" applyFont="1" applyFill="1" applyBorder="1" applyAlignment="1" applyProtection="1">
      <alignment horizontal="center"/>
    </xf>
    <xf numFmtId="165" fontId="9" fillId="0" borderId="5" xfId="3" applyNumberFormat="1" applyFont="1" applyFill="1" applyBorder="1" applyAlignment="1" applyProtection="1">
      <alignment horizontal="center"/>
    </xf>
    <xf numFmtId="165" fontId="9" fillId="0" borderId="6" xfId="3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left"/>
    </xf>
    <xf numFmtId="0" fontId="9" fillId="0" borderId="9" xfId="0" applyFont="1" applyFill="1" applyBorder="1" applyAlignment="1" applyProtection="1">
      <alignment horizontal="left"/>
    </xf>
    <xf numFmtId="0" fontId="9" fillId="0" borderId="10" xfId="0" applyFont="1" applyFill="1" applyBorder="1" applyProtection="1"/>
    <xf numFmtId="0" fontId="9" fillId="0" borderId="2" xfId="0" applyFont="1" applyFill="1" applyBorder="1" applyProtection="1"/>
    <xf numFmtId="166" fontId="9" fillId="0" borderId="9" xfId="0" applyNumberFormat="1" applyFont="1" applyFill="1" applyBorder="1" applyAlignment="1" applyProtection="1">
      <alignment horizontal="left"/>
    </xf>
    <xf numFmtId="1" fontId="42" fillId="0" borderId="2" xfId="1" applyNumberFormat="1" applyFont="1" applyFill="1" applyBorder="1" applyAlignment="1" applyProtection="1">
      <alignment horizontal="right"/>
    </xf>
    <xf numFmtId="3" fontId="9" fillId="14" borderId="9" xfId="1" applyNumberFormat="1" applyFont="1" applyFill="1" applyBorder="1" applyAlignment="1" applyProtection="1"/>
    <xf numFmtId="3" fontId="9" fillId="14" borderId="1" xfId="1" applyNumberFormat="1" applyFont="1" applyFill="1" applyBorder="1" applyAlignment="1" applyProtection="1"/>
    <xf numFmtId="3" fontId="9" fillId="0" borderId="9" xfId="1" applyNumberFormat="1" applyFont="1" applyFill="1" applyBorder="1" applyAlignment="1" applyProtection="1"/>
    <xf numFmtId="3" fontId="9" fillId="0" borderId="1" xfId="1" applyNumberFormat="1" applyFont="1" applyFill="1" applyBorder="1" applyAlignment="1" applyProtection="1"/>
    <xf numFmtId="165" fontId="17" fillId="0" borderId="2" xfId="3" applyNumberFormat="1" applyFont="1" applyFill="1" applyBorder="1" applyAlignment="1" applyProtection="1">
      <alignment horizontal="center"/>
    </xf>
    <xf numFmtId="0" fontId="10" fillId="16" borderId="9" xfId="0" applyFont="1" applyFill="1" applyBorder="1" applyAlignment="1" applyProtection="1">
      <alignment horizontal="center" vertical="center" wrapText="1"/>
    </xf>
    <xf numFmtId="1" fontId="9" fillId="0" borderId="9" xfId="1" applyNumberFormat="1" applyFont="1" applyFill="1" applyBorder="1" applyAlignment="1" applyProtection="1"/>
    <xf numFmtId="1" fontId="9" fillId="0" borderId="10" xfId="1" applyNumberFormat="1" applyFont="1" applyFill="1" applyBorder="1" applyAlignment="1" applyProtection="1"/>
    <xf numFmtId="1" fontId="9" fillId="0" borderId="2" xfId="1" applyNumberFormat="1" applyFont="1" applyFill="1" applyBorder="1" applyAlignment="1" applyProtection="1"/>
    <xf numFmtId="1" fontId="9" fillId="0" borderId="9" xfId="1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left"/>
    </xf>
    <xf numFmtId="1" fontId="9" fillId="0" borderId="0" xfId="1" applyNumberFormat="1" applyFont="1" applyFill="1" applyBorder="1" applyAlignment="1" applyProtection="1">
      <alignment horizontal="right"/>
    </xf>
    <xf numFmtId="1" fontId="9" fillId="0" borderId="0" xfId="1" applyNumberFormat="1" applyFont="1" applyFill="1" applyBorder="1" applyAlignment="1" applyProtection="1"/>
    <xf numFmtId="165" fontId="10" fillId="0" borderId="1" xfId="3" applyNumberFormat="1" applyFont="1" applyFill="1" applyBorder="1" applyAlignment="1" applyProtection="1">
      <alignment horizontal="left"/>
    </xf>
    <xf numFmtId="166" fontId="10" fillId="3" borderId="1" xfId="1" applyNumberFormat="1" applyFont="1" applyFill="1" applyBorder="1" applyProtection="1"/>
    <xf numFmtId="166" fontId="10" fillId="12" borderId="1" xfId="1" applyNumberFormat="1" applyFont="1" applyFill="1" applyBorder="1" applyProtection="1"/>
    <xf numFmtId="0" fontId="9" fillId="17" borderId="0" xfId="0" applyFont="1" applyFill="1" applyProtection="1"/>
    <xf numFmtId="165" fontId="11" fillId="17" borderId="0" xfId="3" applyNumberFormat="1" applyFont="1" applyFill="1" applyBorder="1" applyAlignment="1" applyProtection="1">
      <alignment horizontal="center" textRotation="90" wrapText="1"/>
    </xf>
    <xf numFmtId="0" fontId="9" fillId="17" borderId="12" xfId="0" applyFont="1" applyFill="1" applyBorder="1" applyAlignment="1" applyProtection="1">
      <alignment vertical="center"/>
    </xf>
    <xf numFmtId="165" fontId="11" fillId="17" borderId="0" xfId="3" applyNumberFormat="1" applyFont="1" applyFill="1" applyBorder="1" applyAlignment="1" applyProtection="1">
      <alignment horizontal="center" vertical="center" textRotation="90" wrapText="1"/>
    </xf>
    <xf numFmtId="0" fontId="9" fillId="17" borderId="4" xfId="0" applyFont="1" applyFill="1" applyBorder="1" applyAlignment="1" applyProtection="1">
      <alignment horizontal="center" vertical="center"/>
    </xf>
    <xf numFmtId="165" fontId="11" fillId="17" borderId="1" xfId="3" applyNumberFormat="1" applyFont="1" applyFill="1" applyBorder="1" applyAlignment="1" applyProtection="1">
      <alignment horizontal="left"/>
    </xf>
    <xf numFmtId="0" fontId="11" fillId="17" borderId="0" xfId="0" applyFont="1" applyFill="1" applyBorder="1" applyProtection="1"/>
    <xf numFmtId="0" fontId="9" fillId="17" borderId="0" xfId="0" applyFont="1" applyFill="1" applyBorder="1" applyProtection="1"/>
    <xf numFmtId="0" fontId="16" fillId="17" borderId="0" xfId="0" applyFont="1" applyFill="1" applyBorder="1" applyProtection="1"/>
    <xf numFmtId="165" fontId="11" fillId="17" borderId="9" xfId="3" applyNumberFormat="1" applyFont="1" applyFill="1" applyBorder="1" applyAlignment="1" applyProtection="1">
      <alignment horizontal="left"/>
    </xf>
    <xf numFmtId="0" fontId="6" fillId="17" borderId="0" xfId="0" applyFont="1" applyFill="1" applyBorder="1" applyAlignment="1" applyProtection="1">
      <alignment vertical="top" wrapText="1"/>
    </xf>
    <xf numFmtId="0" fontId="19" fillId="17" borderId="0" xfId="0" applyFont="1" applyFill="1" applyBorder="1" applyAlignment="1" applyProtection="1">
      <alignment vertical="top" wrapText="1"/>
    </xf>
    <xf numFmtId="0" fontId="11" fillId="17" borderId="1" xfId="0" applyFont="1" applyFill="1" applyBorder="1" applyAlignment="1" applyProtection="1">
      <alignment horizontal="left"/>
    </xf>
    <xf numFmtId="0" fontId="11" fillId="17" borderId="9" xfId="0" applyFont="1" applyFill="1" applyBorder="1" applyAlignment="1" applyProtection="1">
      <alignment horizontal="left"/>
    </xf>
    <xf numFmtId="0" fontId="11" fillId="17" borderId="10" xfId="0" applyFont="1" applyFill="1" applyBorder="1" applyProtection="1"/>
    <xf numFmtId="0" fontId="11" fillId="17" borderId="2" xfId="0" applyFont="1" applyFill="1" applyBorder="1" applyProtection="1"/>
    <xf numFmtId="165" fontId="57" fillId="17" borderId="1" xfId="3" applyNumberFormat="1" applyFont="1" applyFill="1" applyBorder="1" applyAlignment="1" applyProtection="1">
      <alignment horizontal="left"/>
    </xf>
    <xf numFmtId="0" fontId="9" fillId="17" borderId="9" xfId="0" applyFont="1" applyFill="1" applyBorder="1" applyProtection="1"/>
    <xf numFmtId="165" fontId="9" fillId="17" borderId="1" xfId="3" applyNumberFormat="1" applyFont="1" applyFill="1" applyBorder="1" applyAlignment="1" applyProtection="1">
      <alignment horizontal="left"/>
    </xf>
    <xf numFmtId="166" fontId="9" fillId="17" borderId="9" xfId="1" applyNumberFormat="1" applyFont="1" applyFill="1" applyBorder="1" applyAlignment="1" applyProtection="1">
      <protection locked="0"/>
    </xf>
    <xf numFmtId="164" fontId="9" fillId="17" borderId="3" xfId="1" applyNumberFormat="1" applyFont="1" applyFill="1" applyBorder="1" applyAlignment="1" applyProtection="1">
      <alignment horizontal="left"/>
    </xf>
    <xf numFmtId="164" fontId="9" fillId="17" borderId="0" xfId="1" applyNumberFormat="1" applyFont="1" applyFill="1" applyBorder="1" applyAlignment="1" applyProtection="1">
      <alignment horizontal="left"/>
    </xf>
    <xf numFmtId="166" fontId="9" fillId="17" borderId="0" xfId="1" applyNumberFormat="1" applyFont="1" applyFill="1" applyBorder="1" applyProtection="1"/>
    <xf numFmtId="0" fontId="9" fillId="17" borderId="7" xfId="0" applyFont="1" applyFill="1" applyBorder="1" applyProtection="1"/>
    <xf numFmtId="165" fontId="9" fillId="17" borderId="1" xfId="3" applyNumberFormat="1" applyFont="1" applyFill="1" applyBorder="1" applyAlignment="1" applyProtection="1">
      <alignment horizontal="left" vertical="top" wrapText="1"/>
    </xf>
    <xf numFmtId="3" fontId="9" fillId="17" borderId="1" xfId="1" applyNumberFormat="1" applyFont="1" applyFill="1" applyBorder="1" applyProtection="1"/>
    <xf numFmtId="3" fontId="9" fillId="17" borderId="2" xfId="1" applyNumberFormat="1" applyFont="1" applyFill="1" applyBorder="1" applyProtection="1"/>
    <xf numFmtId="164" fontId="24" fillId="32" borderId="1" xfId="1" applyNumberFormat="1" applyFont="1" applyFill="1" applyBorder="1" applyAlignment="1" applyProtection="1">
      <alignment vertical="top" wrapText="1"/>
    </xf>
    <xf numFmtId="167" fontId="22" fillId="27" borderId="18" xfId="1" applyNumberFormat="1" applyFont="1" applyFill="1" applyBorder="1" applyAlignment="1" applyProtection="1">
      <alignment horizontal="center" vertical="center" wrapText="1"/>
    </xf>
    <xf numFmtId="1" fontId="10" fillId="27" borderId="18" xfId="1" applyNumberFormat="1" applyFont="1" applyFill="1" applyBorder="1" applyAlignment="1" applyProtection="1">
      <alignment horizontal="center" vertical="center" wrapText="1"/>
    </xf>
    <xf numFmtId="166" fontId="9" fillId="27" borderId="1" xfId="1" applyNumberFormat="1" applyFont="1" applyFill="1" applyBorder="1" applyProtection="1"/>
    <xf numFmtId="166" fontId="9" fillId="27" borderId="9" xfId="1" applyNumberFormat="1" applyFont="1" applyFill="1" applyBorder="1" applyProtection="1"/>
    <xf numFmtId="166" fontId="9" fillId="27" borderId="12" xfId="1" applyNumberFormat="1" applyFont="1" applyFill="1" applyBorder="1" applyProtection="1"/>
    <xf numFmtId="166" fontId="9" fillId="27" borderId="9" xfId="1" applyNumberFormat="1" applyFont="1" applyFill="1" applyBorder="1" applyAlignment="1" applyProtection="1">
      <protection locked="0"/>
    </xf>
    <xf numFmtId="164" fontId="9" fillId="27" borderId="1" xfId="1" applyNumberFormat="1" applyFont="1" applyFill="1" applyBorder="1" applyAlignment="1" applyProtection="1">
      <alignment horizontal="left"/>
    </xf>
    <xf numFmtId="164" fontId="9" fillId="27" borderId="1" xfId="1" applyNumberFormat="1" applyFont="1" applyFill="1" applyBorder="1" applyProtection="1"/>
    <xf numFmtId="1" fontId="28" fillId="17" borderId="2" xfId="1" applyNumberFormat="1" applyFont="1" applyFill="1" applyBorder="1" applyAlignment="1" applyProtection="1">
      <alignment horizontal="right"/>
    </xf>
    <xf numFmtId="0" fontId="9" fillId="17" borderId="0" xfId="0" applyFont="1" applyFill="1" applyBorder="1" applyAlignment="1">
      <alignment vertical="center"/>
    </xf>
    <xf numFmtId="0" fontId="9" fillId="17" borderId="0" xfId="0" applyFont="1" applyFill="1" applyAlignment="1">
      <alignment vertical="center"/>
    </xf>
    <xf numFmtId="0" fontId="10" fillId="17" borderId="0" xfId="0" applyFont="1" applyFill="1" applyBorder="1" applyAlignment="1" applyProtection="1">
      <alignment horizontal="center" vertical="center" wrapText="1"/>
    </xf>
    <xf numFmtId="0" fontId="10" fillId="17" borderId="0" xfId="0" applyFont="1" applyFill="1" applyAlignment="1" applyProtection="1">
      <alignment horizontal="center" vertical="center" wrapText="1"/>
    </xf>
    <xf numFmtId="3" fontId="9" fillId="17" borderId="0" xfId="0" applyNumberFormat="1" applyFont="1" applyFill="1" applyAlignment="1" applyProtection="1">
      <alignment vertical="center"/>
    </xf>
    <xf numFmtId="164" fontId="18" fillId="17" borderId="0" xfId="1" applyNumberFormat="1" applyFont="1" applyFill="1" applyAlignment="1">
      <alignment horizontal="center"/>
    </xf>
    <xf numFmtId="169" fontId="9" fillId="17" borderId="0" xfId="1" applyNumberFormat="1" applyFont="1" applyFill="1" applyAlignment="1" applyProtection="1">
      <alignment vertical="center"/>
    </xf>
    <xf numFmtId="0" fontId="10" fillId="17" borderId="0" xfId="0" applyFont="1" applyFill="1" applyAlignment="1" applyProtection="1">
      <alignment vertical="center"/>
    </xf>
    <xf numFmtId="0" fontId="9" fillId="17" borderId="0" xfId="0" applyFont="1" applyFill="1" applyAlignment="1" applyProtection="1">
      <alignment horizontal="left" vertical="center"/>
    </xf>
    <xf numFmtId="0" fontId="10" fillId="17" borderId="1" xfId="0" applyFont="1" applyFill="1" applyBorder="1" applyAlignment="1" applyProtection="1">
      <alignment horizontal="left" vertical="center" wrapText="1"/>
    </xf>
    <xf numFmtId="0" fontId="10" fillId="17" borderId="0" xfId="0" applyFont="1" applyFill="1" applyAlignment="1" applyProtection="1">
      <alignment horizontal="left" vertical="center" wrapText="1"/>
    </xf>
    <xf numFmtId="0" fontId="9" fillId="17" borderId="14" xfId="0" applyFont="1" applyFill="1" applyBorder="1" applyAlignment="1" applyProtection="1">
      <alignment vertical="center"/>
    </xf>
    <xf numFmtId="49" fontId="9" fillId="17" borderId="14" xfId="0" applyNumberFormat="1" applyFont="1" applyFill="1" applyBorder="1" applyAlignment="1" applyProtection="1">
      <alignment vertical="center"/>
    </xf>
    <xf numFmtId="0" fontId="9" fillId="17" borderId="14" xfId="0" applyFont="1" applyFill="1" applyBorder="1" applyAlignment="1" applyProtection="1">
      <alignment horizontal="left" vertical="center"/>
    </xf>
    <xf numFmtId="0" fontId="9" fillId="17" borderId="15" xfId="0" applyFont="1" applyFill="1" applyBorder="1" applyAlignment="1" applyProtection="1">
      <alignment vertical="center"/>
    </xf>
    <xf numFmtId="49" fontId="9" fillId="17" borderId="15" xfId="0" applyNumberFormat="1" applyFont="1" applyFill="1" applyBorder="1" applyAlignment="1" applyProtection="1">
      <alignment vertical="center"/>
    </xf>
    <xf numFmtId="0" fontId="9" fillId="17" borderId="15" xfId="0" applyFont="1" applyFill="1" applyBorder="1" applyAlignment="1" applyProtection="1">
      <alignment horizontal="left" vertical="center"/>
    </xf>
    <xf numFmtId="0" fontId="9" fillId="17" borderId="16" xfId="0" applyFont="1" applyFill="1" applyBorder="1" applyAlignment="1" applyProtection="1">
      <alignment vertical="center"/>
    </xf>
    <xf numFmtId="0" fontId="9" fillId="17" borderId="16" xfId="0" applyFont="1" applyFill="1" applyBorder="1" applyAlignment="1" applyProtection="1">
      <alignment horizontal="left" vertical="center"/>
    </xf>
    <xf numFmtId="3" fontId="9" fillId="17" borderId="0" xfId="0" applyNumberFormat="1" applyFont="1" applyFill="1" applyAlignment="1" applyProtection="1">
      <alignment horizontal="left" vertical="center"/>
    </xf>
    <xf numFmtId="0" fontId="9" fillId="17" borderId="0" xfId="0" applyFont="1" applyFill="1" applyBorder="1" applyAlignment="1" applyProtection="1">
      <alignment horizontal="left" vertical="center"/>
    </xf>
    <xf numFmtId="169" fontId="21" fillId="30" borderId="1" xfId="1" applyNumberFormat="1" applyFont="1" applyFill="1" applyBorder="1"/>
    <xf numFmtId="3" fontId="11" fillId="5" borderId="11" xfId="1" applyNumberFormat="1" applyFont="1" applyFill="1" applyBorder="1" applyAlignment="1" applyProtection="1"/>
    <xf numFmtId="3" fontId="11" fillId="5" borderId="13" xfId="1" applyNumberFormat="1" applyFont="1" applyFill="1" applyBorder="1" applyAlignment="1" applyProtection="1"/>
    <xf numFmtId="164" fontId="21" fillId="10" borderId="1" xfId="1" applyNumberFormat="1" applyFont="1" applyFill="1" applyBorder="1" applyAlignment="1" applyProtection="1">
      <alignment vertical="center" wrapText="1"/>
    </xf>
    <xf numFmtId="3" fontId="11" fillId="6" borderId="1" xfId="1" applyNumberFormat="1" applyFont="1" applyFill="1" applyBorder="1" applyAlignment="1" applyProtection="1">
      <alignment horizontal="right"/>
      <protection locked="0"/>
    </xf>
    <xf numFmtId="0" fontId="9" fillId="31" borderId="0" xfId="0" applyFont="1" applyFill="1" applyProtection="1"/>
    <xf numFmtId="164" fontId="16" fillId="0" borderId="0" xfId="1" applyNumberFormat="1" applyFont="1" applyFill="1" applyBorder="1" applyAlignment="1">
      <alignment horizontal="right" vertical="top"/>
    </xf>
    <xf numFmtId="169" fontId="16" fillId="6" borderId="1" xfId="1" applyNumberFormat="1" applyFont="1" applyFill="1" applyBorder="1" applyAlignment="1" applyProtection="1">
      <alignment vertical="center"/>
      <protection locked="0"/>
    </xf>
    <xf numFmtId="0" fontId="9" fillId="17" borderId="1" xfId="0" applyFont="1" applyFill="1" applyBorder="1" applyAlignment="1" applyProtection="1">
      <alignment horizontal="left" vertical="center"/>
    </xf>
    <xf numFmtId="3" fontId="9" fillId="17" borderId="2" xfId="1" applyNumberFormat="1" applyFont="1" applyFill="1" applyBorder="1" applyAlignment="1" applyProtection="1">
      <alignment vertical="center"/>
    </xf>
    <xf numFmtId="0" fontId="9" fillId="17" borderId="9" xfId="0" applyFont="1" applyFill="1" applyBorder="1" applyAlignment="1" applyProtection="1">
      <alignment horizontal="left" vertical="center"/>
    </xf>
    <xf numFmtId="0" fontId="9" fillId="17" borderId="2" xfId="0" applyFont="1" applyFill="1" applyBorder="1" applyAlignment="1" applyProtection="1">
      <alignment horizontal="left" vertical="center"/>
    </xf>
    <xf numFmtId="3" fontId="9" fillId="17" borderId="1" xfId="1" applyNumberFormat="1" applyFont="1" applyFill="1" applyBorder="1" applyAlignment="1" applyProtection="1">
      <alignment vertical="center"/>
    </xf>
    <xf numFmtId="3" fontId="10" fillId="17" borderId="9" xfId="0" applyNumberFormat="1" applyFont="1" applyFill="1" applyBorder="1" applyAlignment="1" applyProtection="1">
      <alignment vertical="center"/>
    </xf>
    <xf numFmtId="3" fontId="10" fillId="17" borderId="2" xfId="0" applyNumberFormat="1" applyFont="1" applyFill="1" applyBorder="1" applyAlignment="1" applyProtection="1">
      <alignment vertical="center"/>
    </xf>
    <xf numFmtId="3" fontId="9" fillId="17" borderId="9" xfId="1" applyNumberFormat="1" applyFont="1" applyFill="1" applyBorder="1" applyAlignment="1" applyProtection="1">
      <alignment vertical="center"/>
    </xf>
    <xf numFmtId="3" fontId="9" fillId="17" borderId="1" xfId="0" applyNumberFormat="1" applyFont="1" applyFill="1" applyBorder="1" applyAlignment="1" applyProtection="1">
      <alignment vertical="center"/>
      <protection locked="0"/>
    </xf>
    <xf numFmtId="3" fontId="9" fillId="17" borderId="1" xfId="0" applyNumberFormat="1" applyFont="1" applyFill="1" applyBorder="1" applyAlignment="1" applyProtection="1">
      <alignment horizontal="right" vertical="center"/>
      <protection locked="0"/>
    </xf>
    <xf numFmtId="3" fontId="10" fillId="17" borderId="2" xfId="0" applyNumberFormat="1" applyFont="1" applyFill="1" applyBorder="1" applyAlignment="1" applyProtection="1">
      <alignment horizontal="right" vertical="center"/>
      <protection locked="0"/>
    </xf>
    <xf numFmtId="3" fontId="10" fillId="17" borderId="1" xfId="0" applyNumberFormat="1" applyFont="1" applyFill="1" applyBorder="1" applyAlignment="1" applyProtection="1">
      <alignment horizontal="right" vertical="center"/>
      <protection locked="0"/>
    </xf>
    <xf numFmtId="3" fontId="9" fillId="17" borderId="9" xfId="0" applyNumberFormat="1" applyFont="1" applyFill="1" applyBorder="1" applyAlignment="1" applyProtection="1">
      <alignment vertical="center"/>
    </xf>
    <xf numFmtId="3" fontId="9" fillId="17" borderId="10" xfId="0" applyNumberFormat="1" applyFont="1" applyFill="1" applyBorder="1" applyAlignment="1" applyProtection="1">
      <alignment vertical="center"/>
    </xf>
    <xf numFmtId="3" fontId="9" fillId="17" borderId="2" xfId="0" applyNumberFormat="1" applyFont="1" applyFill="1" applyBorder="1" applyAlignment="1" applyProtection="1">
      <alignment vertical="center"/>
    </xf>
    <xf numFmtId="0" fontId="5" fillId="17" borderId="1" xfId="0" applyFont="1" applyFill="1" applyBorder="1" applyAlignment="1" applyProtection="1">
      <alignment horizontal="center" vertical="center" wrapText="1"/>
    </xf>
    <xf numFmtId="3" fontId="9" fillId="17" borderId="2" xfId="10" applyNumberFormat="1" applyFont="1" applyFill="1" applyBorder="1" applyAlignment="1" applyProtection="1">
      <alignment vertical="center"/>
    </xf>
    <xf numFmtId="3" fontId="9" fillId="17" borderId="1" xfId="10" applyNumberFormat="1" applyFont="1" applyFill="1" applyBorder="1" applyAlignment="1" applyProtection="1">
      <alignment vertical="center"/>
    </xf>
    <xf numFmtId="169" fontId="9" fillId="17" borderId="1" xfId="1" applyNumberFormat="1" applyFont="1" applyFill="1" applyBorder="1" applyAlignment="1" applyProtection="1">
      <alignment horizontal="right" vertical="center"/>
      <protection locked="0"/>
    </xf>
    <xf numFmtId="3" fontId="9" fillId="17" borderId="0" xfId="0" applyNumberFormat="1" applyFont="1" applyFill="1" applyBorder="1" applyAlignment="1" applyProtection="1">
      <alignment vertical="center"/>
      <protection locked="0"/>
    </xf>
    <xf numFmtId="3" fontId="9" fillId="17" borderId="1" xfId="0" applyNumberFormat="1" applyFont="1" applyFill="1" applyBorder="1" applyAlignment="1" applyProtection="1">
      <alignment vertical="center"/>
    </xf>
    <xf numFmtId="0" fontId="10" fillId="17" borderId="1" xfId="0" applyFont="1" applyFill="1" applyBorder="1" applyAlignment="1" applyProtection="1">
      <alignment horizontal="left" vertical="center"/>
    </xf>
    <xf numFmtId="3" fontId="10" fillId="17" borderId="1" xfId="0" applyNumberFormat="1" applyFont="1" applyFill="1" applyBorder="1" applyAlignment="1" applyProtection="1">
      <alignment vertical="center"/>
    </xf>
    <xf numFmtId="0" fontId="10" fillId="17" borderId="13" xfId="0" applyFont="1" applyFill="1" applyBorder="1" applyAlignment="1" applyProtection="1">
      <alignment horizontal="left" vertical="center"/>
    </xf>
    <xf numFmtId="165" fontId="9" fillId="17" borderId="1" xfId="0" applyNumberFormat="1" applyFont="1" applyFill="1" applyBorder="1" applyAlignment="1" applyProtection="1">
      <alignment horizontal="right" vertical="center"/>
      <protection locked="0"/>
    </xf>
    <xf numFmtId="165" fontId="10" fillId="17" borderId="1" xfId="0" applyNumberFormat="1" applyFont="1" applyFill="1" applyBorder="1" applyAlignment="1" applyProtection="1">
      <alignment vertical="center"/>
    </xf>
    <xf numFmtId="166" fontId="36" fillId="17" borderId="0" xfId="1" applyNumberFormat="1" applyFont="1" applyFill="1" applyBorder="1" applyAlignment="1" applyProtection="1">
      <alignment horizontal="right" vertical="center"/>
    </xf>
    <xf numFmtId="3" fontId="9" fillId="17" borderId="0" xfId="0" applyNumberFormat="1" applyFont="1" applyFill="1" applyBorder="1" applyAlignment="1" applyProtection="1">
      <alignment horizontal="right" vertical="center"/>
      <protection locked="0"/>
    </xf>
    <xf numFmtId="3" fontId="9" fillId="17" borderId="0" xfId="10" applyNumberFormat="1" applyFont="1" applyFill="1" applyBorder="1" applyAlignment="1" applyProtection="1">
      <alignment vertical="center"/>
    </xf>
    <xf numFmtId="3" fontId="9" fillId="17" borderId="0" xfId="0" applyNumberFormat="1" applyFont="1" applyFill="1" applyBorder="1" applyAlignment="1" applyProtection="1">
      <alignment vertical="center"/>
    </xf>
    <xf numFmtId="164" fontId="73" fillId="0" borderId="0" xfId="1" applyNumberFormat="1" applyFont="1" applyAlignment="1" applyProtection="1"/>
    <xf numFmtId="164" fontId="73" fillId="0" borderId="0" xfId="1" applyNumberFormat="1" applyFont="1"/>
    <xf numFmtId="0" fontId="74" fillId="0" borderId="0" xfId="0" applyFont="1" applyBorder="1"/>
    <xf numFmtId="0" fontId="74" fillId="0" borderId="0" xfId="0" applyFont="1"/>
    <xf numFmtId="1" fontId="79" fillId="8" borderId="1" xfId="1" applyNumberFormat="1" applyFont="1" applyFill="1" applyBorder="1" applyAlignment="1">
      <alignment horizontal="center"/>
    </xf>
    <xf numFmtId="1" fontId="79" fillId="0" borderId="0" xfId="1" applyNumberFormat="1" applyFont="1" applyFill="1" applyBorder="1" applyAlignment="1">
      <alignment horizontal="center"/>
    </xf>
    <xf numFmtId="164" fontId="73" fillId="0" borderId="0" xfId="1" applyNumberFormat="1" applyFont="1" applyFill="1" applyBorder="1" applyAlignment="1">
      <alignment vertical="top" wrapText="1"/>
    </xf>
    <xf numFmtId="164" fontId="79" fillId="8" borderId="1" xfId="1" applyNumberFormat="1" applyFont="1" applyFill="1" applyBorder="1" applyAlignment="1">
      <alignment horizontal="center" vertical="top" wrapText="1"/>
    </xf>
    <xf numFmtId="164" fontId="79" fillId="0" borderId="0" xfId="1" applyNumberFormat="1" applyFont="1" applyFill="1" applyBorder="1" applyAlignment="1">
      <alignment horizontal="center" vertical="top" wrapText="1"/>
    </xf>
    <xf numFmtId="164" fontId="73" fillId="0" borderId="0" xfId="1" applyNumberFormat="1" applyFont="1" applyFill="1" applyAlignment="1">
      <alignment vertical="top" wrapText="1"/>
    </xf>
    <xf numFmtId="164" fontId="74" fillId="8" borderId="12" xfId="1" applyNumberFormat="1" applyFont="1" applyFill="1" applyBorder="1" applyAlignment="1" applyProtection="1">
      <alignment horizontal="center" vertical="center" wrapText="1"/>
    </xf>
    <xf numFmtId="164" fontId="74" fillId="8" borderId="1" xfId="1" applyNumberFormat="1" applyFont="1" applyFill="1" applyBorder="1" applyAlignment="1" applyProtection="1">
      <alignment horizontal="center" vertical="center" wrapText="1"/>
    </xf>
    <xf numFmtId="164" fontId="74" fillId="8" borderId="12" xfId="1" applyNumberFormat="1" applyFont="1" applyFill="1" applyBorder="1" applyAlignment="1" applyProtection="1">
      <alignment horizontal="right" vertical="center" wrapText="1"/>
    </xf>
    <xf numFmtId="164" fontId="74" fillId="0" borderId="0" xfId="1" applyNumberFormat="1" applyFont="1" applyFill="1" applyBorder="1" applyAlignment="1" applyProtection="1">
      <alignment horizontal="right" vertical="center" textRotation="90" wrapText="1"/>
    </xf>
    <xf numFmtId="164" fontId="73" fillId="0" borderId="0" xfId="1" applyNumberFormat="1" applyFont="1" applyAlignment="1">
      <alignment vertical="center"/>
    </xf>
    <xf numFmtId="3" fontId="73" fillId="0" borderId="17" xfId="1" applyNumberFormat="1" applyFont="1" applyFill="1" applyBorder="1" applyAlignment="1" applyProtection="1">
      <alignment horizontal="right"/>
      <protection locked="0"/>
    </xf>
    <xf numFmtId="3" fontId="73" fillId="6" borderId="1" xfId="1" applyNumberFormat="1" applyFont="1" applyFill="1" applyBorder="1" applyAlignment="1" applyProtection="1">
      <alignment horizontal="right"/>
      <protection locked="0"/>
    </xf>
    <xf numFmtId="3" fontId="74" fillId="4" borderId="1" xfId="1" applyNumberFormat="1" applyFont="1" applyFill="1" applyBorder="1" applyProtection="1"/>
    <xf numFmtId="164" fontId="80" fillId="17" borderId="0" xfId="1" applyNumberFormat="1" applyFont="1" applyFill="1" applyBorder="1"/>
    <xf numFmtId="164" fontId="73" fillId="17" borderId="0" xfId="1" applyNumberFormat="1" applyFont="1" applyFill="1"/>
    <xf numFmtId="164" fontId="73" fillId="31" borderId="0" xfId="1" applyNumberFormat="1" applyFont="1" applyFill="1"/>
    <xf numFmtId="164" fontId="73" fillId="0" borderId="0" xfId="1" applyNumberFormat="1" applyFont="1" applyBorder="1"/>
    <xf numFmtId="164" fontId="73" fillId="0" borderId="0" xfId="1" applyNumberFormat="1" applyFont="1" applyFill="1" applyBorder="1"/>
    <xf numFmtId="164" fontId="73" fillId="0" borderId="1" xfId="1" applyNumberFormat="1" applyFont="1" applyBorder="1"/>
    <xf numFmtId="3" fontId="81" fillId="5" borderId="1" xfId="1" applyNumberFormat="1" applyFont="1" applyFill="1" applyBorder="1" applyAlignment="1" applyProtection="1"/>
    <xf numFmtId="3" fontId="81" fillId="0" borderId="1" xfId="1" applyNumberFormat="1" applyFont="1" applyFill="1" applyBorder="1" applyAlignment="1" applyProtection="1"/>
    <xf numFmtId="164" fontId="73" fillId="17" borderId="0" xfId="1" applyNumberFormat="1" applyFont="1" applyFill="1" applyBorder="1"/>
    <xf numFmtId="164" fontId="83" fillId="17" borderId="0" xfId="10" applyNumberFormat="1" applyFont="1" applyFill="1" applyBorder="1" applyProtection="1"/>
    <xf numFmtId="0" fontId="84" fillId="17" borderId="0" xfId="0" applyFont="1" applyFill="1"/>
    <xf numFmtId="3" fontId="9" fillId="17" borderId="18" xfId="0" applyNumberFormat="1" applyFont="1" applyFill="1" applyBorder="1" applyAlignment="1" applyProtection="1">
      <alignment vertical="center"/>
      <protection locked="0"/>
    </xf>
    <xf numFmtId="3" fontId="9" fillId="17" borderId="11" xfId="1" applyNumberFormat="1" applyFont="1" applyFill="1" applyBorder="1" applyAlignment="1" applyProtection="1">
      <alignment vertical="center"/>
    </xf>
    <xf numFmtId="3" fontId="9" fillId="17" borderId="13" xfId="1" applyNumberFormat="1" applyFont="1" applyFill="1" applyBorder="1" applyAlignment="1" applyProtection="1">
      <alignment vertical="center"/>
    </xf>
    <xf numFmtId="3" fontId="9" fillId="17" borderId="12" xfId="1" applyNumberFormat="1" applyFont="1" applyFill="1" applyBorder="1" applyAlignment="1" applyProtection="1">
      <alignment vertical="center"/>
    </xf>
    <xf numFmtId="164" fontId="78" fillId="17" borderId="9" xfId="1" applyNumberFormat="1" applyFont="1" applyFill="1" applyBorder="1" applyAlignment="1" applyProtection="1">
      <alignment horizontal="left" vertical="center" wrapText="1"/>
    </xf>
    <xf numFmtId="164" fontId="78" fillId="17" borderId="4" xfId="1" applyNumberFormat="1" applyFont="1" applyFill="1" applyBorder="1" applyAlignment="1" applyProtection="1">
      <alignment horizontal="left" vertical="center" wrapText="1"/>
    </xf>
    <xf numFmtId="3" fontId="10" fillId="17" borderId="2" xfId="1" applyNumberFormat="1" applyFont="1" applyFill="1" applyBorder="1" applyAlignment="1" applyProtection="1">
      <alignment vertical="center"/>
    </xf>
    <xf numFmtId="164" fontId="78" fillId="17" borderId="1" xfId="1" applyNumberFormat="1" applyFont="1" applyFill="1" applyBorder="1" applyAlignment="1" applyProtection="1">
      <alignment horizontal="left" vertical="center" wrapText="1"/>
    </xf>
    <xf numFmtId="164" fontId="64" fillId="17" borderId="9" xfId="1" applyNumberFormat="1" applyFont="1" applyFill="1" applyBorder="1" applyAlignment="1" applyProtection="1">
      <alignment horizontal="left" vertical="center" wrapText="1"/>
    </xf>
    <xf numFmtId="0" fontId="82" fillId="17" borderId="0" xfId="0" applyFont="1" applyFill="1" applyAlignment="1">
      <alignment horizontal="left"/>
    </xf>
    <xf numFmtId="0" fontId="82" fillId="17" borderId="0" xfId="0" applyFont="1" applyFill="1" applyAlignment="1">
      <alignment horizontal="right"/>
    </xf>
    <xf numFmtId="0" fontId="16" fillId="6" borderId="1" xfId="0" applyFont="1" applyFill="1" applyBorder="1" applyAlignment="1" applyProtection="1">
      <alignment horizontal="center" vertical="top" wrapText="1"/>
      <protection locked="0"/>
    </xf>
    <xf numFmtId="0" fontId="9" fillId="6" borderId="1" xfId="0" applyFont="1" applyFill="1" applyBorder="1" applyAlignment="1" applyProtection="1">
      <alignment vertical="top" wrapText="1"/>
      <protection locked="0"/>
    </xf>
    <xf numFmtId="0" fontId="16" fillId="6" borderId="1" xfId="0" applyFont="1" applyFill="1" applyBorder="1" applyAlignment="1" applyProtection="1">
      <alignment vertical="top" wrapText="1"/>
      <protection locked="0"/>
    </xf>
    <xf numFmtId="164" fontId="16" fillId="33" borderId="0" xfId="1" applyNumberFormat="1" applyFont="1" applyFill="1"/>
    <xf numFmtId="0" fontId="0" fillId="34" borderId="0" xfId="0" applyFill="1"/>
    <xf numFmtId="0" fontId="0" fillId="17" borderId="0" xfId="0" applyFill="1"/>
    <xf numFmtId="3" fontId="56" fillId="6" borderId="1" xfId="1" applyNumberFormat="1" applyFont="1" applyFill="1" applyBorder="1" applyAlignment="1" applyProtection="1">
      <alignment horizontal="center"/>
      <protection locked="0"/>
    </xf>
    <xf numFmtId="164" fontId="16" fillId="17" borderId="0" xfId="1" applyNumberFormat="1" applyFont="1" applyFill="1"/>
    <xf numFmtId="3" fontId="73" fillId="6" borderId="1" xfId="1" applyNumberFormat="1" applyFont="1" applyFill="1" applyBorder="1" applyAlignment="1" applyProtection="1">
      <alignment horizontal="left"/>
      <protection locked="0"/>
    </xf>
    <xf numFmtId="3" fontId="73" fillId="6" borderId="1" xfId="1" applyNumberFormat="1" applyFont="1" applyFill="1" applyBorder="1" applyAlignment="1" applyProtection="1">
      <protection locked="0"/>
    </xf>
    <xf numFmtId="164" fontId="73" fillId="17" borderId="0" xfId="1" applyNumberFormat="1" applyFont="1" applyFill="1" applyAlignment="1" applyProtection="1"/>
    <xf numFmtId="0" fontId="74" fillId="17" borderId="0" xfId="0" applyFont="1" applyFill="1"/>
    <xf numFmtId="164" fontId="73" fillId="17" borderId="0" xfId="1" applyNumberFormat="1" applyFont="1" applyFill="1" applyAlignment="1">
      <alignment vertical="top" wrapText="1"/>
    </xf>
    <xf numFmtId="164" fontId="73" fillId="17" borderId="0" xfId="1" applyNumberFormat="1" applyFont="1" applyFill="1" applyAlignment="1">
      <alignment vertical="center"/>
    </xf>
    <xf numFmtId="1" fontId="79" fillId="17" borderId="0" xfId="1" applyNumberFormat="1" applyFont="1" applyFill="1" applyBorder="1" applyAlignment="1">
      <alignment horizontal="center"/>
    </xf>
    <xf numFmtId="164" fontId="79" fillId="17" borderId="0" xfId="1" applyNumberFormat="1" applyFont="1" applyFill="1" applyBorder="1" applyAlignment="1">
      <alignment horizontal="center" vertical="top" wrapText="1"/>
    </xf>
    <xf numFmtId="164" fontId="74" fillId="17" borderId="0" xfId="1" applyNumberFormat="1" applyFont="1" applyFill="1" applyBorder="1" applyAlignment="1" applyProtection="1">
      <alignment horizontal="right" vertical="center" textRotation="90" wrapText="1"/>
    </xf>
    <xf numFmtId="3" fontId="73" fillId="17" borderId="17" xfId="1" applyNumberFormat="1" applyFont="1" applyFill="1" applyBorder="1" applyAlignment="1" applyProtection="1">
      <alignment horizontal="right"/>
      <protection locked="0"/>
    </xf>
    <xf numFmtId="3" fontId="81" fillId="17" borderId="9" xfId="1" applyNumberFormat="1" applyFont="1" applyFill="1" applyBorder="1" applyAlignment="1" applyProtection="1"/>
    <xf numFmtId="3" fontId="75" fillId="6" borderId="1" xfId="1" applyNumberFormat="1" applyFont="1" applyFill="1" applyBorder="1" applyAlignment="1" applyProtection="1">
      <alignment horizontal="left"/>
      <protection locked="0"/>
    </xf>
    <xf numFmtId="3" fontId="75" fillId="6" borderId="1" xfId="1" applyNumberFormat="1" applyFont="1" applyFill="1" applyBorder="1" applyAlignment="1" applyProtection="1">
      <alignment horizontal="right"/>
      <protection locked="0"/>
    </xf>
    <xf numFmtId="3" fontId="85" fillId="6" borderId="1" xfId="1" applyNumberFormat="1" applyFont="1" applyFill="1" applyBorder="1" applyAlignment="1" applyProtection="1">
      <alignment horizontal="right"/>
      <protection locked="0"/>
    </xf>
    <xf numFmtId="3" fontId="86" fillId="6" borderId="1" xfId="1" applyNumberFormat="1" applyFont="1" applyFill="1" applyBorder="1" applyAlignment="1" applyProtection="1">
      <alignment horizontal="right"/>
      <protection locked="0"/>
    </xf>
    <xf numFmtId="3" fontId="87" fillId="6" borderId="1" xfId="1" applyNumberFormat="1" applyFont="1" applyFill="1" applyBorder="1" applyAlignment="1" applyProtection="1">
      <alignment horizontal="right"/>
      <protection locked="0"/>
    </xf>
    <xf numFmtId="3" fontId="88" fillId="6" borderId="1" xfId="1" applyNumberFormat="1" applyFont="1" applyFill="1" applyBorder="1" applyAlignment="1" applyProtection="1">
      <alignment horizontal="right"/>
      <protection locked="0"/>
    </xf>
    <xf numFmtId="3" fontId="89" fillId="6" borderId="1" xfId="1" applyNumberFormat="1" applyFont="1" applyFill="1" applyBorder="1" applyAlignment="1" applyProtection="1">
      <alignment horizontal="right"/>
      <protection locked="0"/>
    </xf>
    <xf numFmtId="169" fontId="9" fillId="17" borderId="0" xfId="1" applyNumberFormat="1" applyFont="1" applyFill="1" applyBorder="1" applyAlignment="1" applyProtection="1">
      <alignment vertical="center"/>
    </xf>
    <xf numFmtId="169" fontId="9" fillId="17" borderId="0" xfId="1" applyNumberFormat="1" applyFont="1" applyFill="1" applyBorder="1" applyAlignment="1" applyProtection="1">
      <alignment horizontal="right" vertical="center"/>
      <protection locked="0"/>
    </xf>
    <xf numFmtId="164" fontId="16" fillId="17" borderId="0" xfId="1" applyNumberFormat="1" applyFont="1" applyFill="1" applyAlignment="1" applyProtection="1">
      <alignment vertical="center"/>
    </xf>
    <xf numFmtId="0" fontId="9" fillId="17" borderId="0" xfId="0" applyFont="1" applyFill="1" applyAlignment="1" applyProtection="1">
      <alignment horizontal="left"/>
    </xf>
    <xf numFmtId="164" fontId="16" fillId="17" borderId="0" xfId="1" applyNumberFormat="1" applyFont="1" applyFill="1" applyProtection="1"/>
    <xf numFmtId="164" fontId="16" fillId="17" borderId="0" xfId="1" applyNumberFormat="1" applyFont="1" applyFill="1" applyAlignment="1" applyProtection="1">
      <alignment horizontal="left"/>
    </xf>
    <xf numFmtId="164" fontId="16" fillId="17" borderId="0" xfId="1" applyNumberFormat="1" applyFont="1" applyFill="1" applyBorder="1" applyAlignment="1" applyProtection="1">
      <alignment vertical="top" wrapText="1"/>
    </xf>
    <xf numFmtId="164" fontId="16" fillId="17" borderId="0" xfId="1" applyNumberFormat="1" applyFont="1" applyFill="1" applyBorder="1" applyAlignment="1" applyProtection="1">
      <alignment horizontal="left" vertical="top" wrapText="1"/>
    </xf>
    <xf numFmtId="164" fontId="16" fillId="17" borderId="0" xfId="1" applyNumberFormat="1" applyFont="1" applyFill="1" applyAlignment="1" applyProtection="1">
      <alignment vertical="top" wrapText="1"/>
    </xf>
    <xf numFmtId="164" fontId="13" fillId="27" borderId="1" xfId="1" applyNumberFormat="1" applyFont="1" applyFill="1" applyBorder="1" applyAlignment="1" applyProtection="1">
      <alignment horizontal="center" vertical="center" textRotation="90" wrapText="1"/>
    </xf>
    <xf numFmtId="164" fontId="13" fillId="27" borderId="9" xfId="1" applyNumberFormat="1" applyFont="1" applyFill="1" applyBorder="1" applyAlignment="1" applyProtection="1">
      <alignment horizontal="center" vertical="center" textRotation="90" wrapText="1"/>
    </xf>
    <xf numFmtId="164" fontId="13" fillId="27" borderId="2" xfId="1" applyNumberFormat="1" applyFont="1" applyFill="1" applyBorder="1" applyAlignment="1" applyProtection="1">
      <alignment horizontal="center" vertical="center" textRotation="90" wrapText="1"/>
    </xf>
    <xf numFmtId="164" fontId="59" fillId="27" borderId="1" xfId="1" applyNumberFormat="1" applyFont="1" applyFill="1" applyBorder="1" applyAlignment="1" applyProtection="1"/>
    <xf numFmtId="0" fontId="59" fillId="27" borderId="9" xfId="0" applyFont="1" applyFill="1" applyBorder="1" applyAlignment="1">
      <alignment horizontal="left"/>
    </xf>
    <xf numFmtId="164" fontId="61" fillId="27" borderId="1" xfId="1" applyNumberFormat="1" applyFont="1" applyFill="1" applyBorder="1" applyAlignment="1" applyProtection="1"/>
    <xf numFmtId="164" fontId="58" fillId="27" borderId="1" xfId="1" applyNumberFormat="1" applyFont="1" applyFill="1" applyBorder="1" applyAlignment="1" applyProtection="1">
      <alignment horizontal="center"/>
    </xf>
    <xf numFmtId="0" fontId="58" fillId="27" borderId="9" xfId="0" applyFont="1" applyFill="1" applyBorder="1" applyAlignment="1">
      <alignment horizontal="left"/>
    </xf>
    <xf numFmtId="164" fontId="30" fillId="27" borderId="1" xfId="1" applyNumberFormat="1" applyFont="1" applyFill="1" applyBorder="1" applyAlignment="1" applyProtection="1"/>
    <xf numFmtId="164" fontId="62" fillId="17" borderId="0" xfId="1" applyNumberFormat="1" applyFont="1" applyFill="1" applyProtection="1"/>
    <xf numFmtId="164" fontId="48" fillId="27" borderId="39" xfId="1" applyNumberFormat="1" applyFont="1" applyFill="1" applyBorder="1" applyAlignment="1" applyProtection="1"/>
    <xf numFmtId="164" fontId="24" fillId="17" borderId="10" xfId="1" applyNumberFormat="1" applyFont="1" applyFill="1" applyBorder="1" applyAlignment="1" applyProtection="1">
      <alignment horizontal="left" vertical="center" wrapText="1"/>
    </xf>
    <xf numFmtId="164" fontId="24" fillId="17" borderId="2" xfId="1" applyNumberFormat="1" applyFont="1" applyFill="1" applyBorder="1" applyAlignment="1" applyProtection="1">
      <alignment horizontal="left" vertical="center" wrapText="1"/>
    </xf>
    <xf numFmtId="164" fontId="24" fillId="17" borderId="4" xfId="1" applyNumberFormat="1" applyFont="1" applyFill="1" applyBorder="1" applyAlignment="1" applyProtection="1">
      <alignment horizontal="left" vertical="center" wrapText="1"/>
    </xf>
    <xf numFmtId="164" fontId="24" fillId="17" borderId="5" xfId="1" applyNumberFormat="1" applyFont="1" applyFill="1" applyBorder="1" applyAlignment="1" applyProtection="1">
      <alignment horizontal="left" vertical="center" wrapText="1"/>
    </xf>
    <xf numFmtId="164" fontId="24" fillId="17" borderId="6" xfId="1" applyNumberFormat="1" applyFont="1" applyFill="1" applyBorder="1" applyAlignment="1" applyProtection="1">
      <alignment horizontal="left" vertical="center" wrapText="1"/>
    </xf>
    <xf numFmtId="164" fontId="46" fillId="17" borderId="4" xfId="1" applyNumberFormat="1" applyFont="1" applyFill="1" applyBorder="1" applyAlignment="1" applyProtection="1">
      <alignment horizontal="left" vertical="center" wrapText="1"/>
    </xf>
    <xf numFmtId="164" fontId="46" fillId="17" borderId="5" xfId="1" applyNumberFormat="1" applyFont="1" applyFill="1" applyBorder="1" applyAlignment="1" applyProtection="1">
      <alignment horizontal="left" vertical="center" wrapText="1"/>
    </xf>
    <xf numFmtId="164" fontId="46" fillId="17" borderId="6" xfId="1" applyNumberFormat="1" applyFont="1" applyFill="1" applyBorder="1" applyAlignment="1" applyProtection="1">
      <alignment horizontal="left" vertical="center" wrapText="1"/>
    </xf>
    <xf numFmtId="164" fontId="24" fillId="17" borderId="9" xfId="1" applyNumberFormat="1" applyFont="1" applyFill="1" applyBorder="1" applyAlignment="1" applyProtection="1">
      <alignment horizontal="left" vertical="center" wrapText="1"/>
    </xf>
    <xf numFmtId="164" fontId="46" fillId="17" borderId="4" xfId="1" applyNumberFormat="1" applyFont="1" applyFill="1" applyBorder="1" applyAlignment="1" applyProtection="1">
      <alignment vertical="justify" wrapText="1"/>
    </xf>
    <xf numFmtId="164" fontId="46" fillId="17" borderId="5" xfId="1" applyNumberFormat="1" applyFont="1" applyFill="1" applyBorder="1" applyAlignment="1" applyProtection="1">
      <alignment vertical="justify" wrapText="1"/>
    </xf>
    <xf numFmtId="164" fontId="46" fillId="17" borderId="6" xfId="1" applyNumberFormat="1" applyFont="1" applyFill="1" applyBorder="1" applyAlignment="1" applyProtection="1">
      <alignment vertical="justify" wrapText="1"/>
    </xf>
    <xf numFmtId="0" fontId="25" fillId="17" borderId="9" xfId="0" applyFont="1" applyFill="1" applyBorder="1" applyAlignment="1" applyProtection="1">
      <alignment horizontal="center" vertical="center"/>
    </xf>
    <xf numFmtId="0" fontId="25" fillId="17" borderId="10" xfId="0" applyFont="1" applyFill="1" applyBorder="1" applyAlignment="1" applyProtection="1">
      <alignment horizontal="center" vertical="center"/>
    </xf>
    <xf numFmtId="0" fontId="25" fillId="17" borderId="2" xfId="0" applyFont="1" applyFill="1" applyBorder="1" applyAlignment="1" applyProtection="1">
      <alignment horizontal="center" vertical="center"/>
    </xf>
    <xf numFmtId="164" fontId="46" fillId="17" borderId="9" xfId="1" applyNumberFormat="1" applyFont="1" applyFill="1" applyBorder="1" applyAlignment="1" applyProtection="1">
      <alignment horizontal="left" vertical="center" wrapText="1"/>
    </xf>
    <xf numFmtId="164" fontId="46" fillId="17" borderId="10" xfId="1" applyNumberFormat="1" applyFont="1" applyFill="1" applyBorder="1" applyAlignment="1" applyProtection="1">
      <alignment horizontal="left" vertical="center" wrapText="1"/>
    </xf>
    <xf numFmtId="164" fontId="46" fillId="17" borderId="2" xfId="1" applyNumberFormat="1" applyFont="1" applyFill="1" applyBorder="1" applyAlignment="1" applyProtection="1">
      <alignment horizontal="left" vertical="center" wrapText="1"/>
    </xf>
    <xf numFmtId="164" fontId="46" fillId="17" borderId="1" xfId="1" applyNumberFormat="1" applyFont="1" applyFill="1" applyBorder="1" applyAlignment="1" applyProtection="1">
      <alignment horizontal="left" vertical="center" wrapText="1"/>
    </xf>
    <xf numFmtId="164" fontId="24" fillId="17" borderId="1" xfId="1" applyNumberFormat="1" applyFont="1" applyFill="1" applyBorder="1" applyAlignment="1" applyProtection="1">
      <alignment horizontal="left" vertical="center" wrapText="1"/>
    </xf>
    <xf numFmtId="166" fontId="15" fillId="6" borderId="9" xfId="1" applyNumberFormat="1" applyFont="1" applyFill="1" applyBorder="1" applyAlignment="1" applyProtection="1">
      <protection locked="0"/>
    </xf>
    <xf numFmtId="166" fontId="15" fillId="6" borderId="1" xfId="1" applyNumberFormat="1" applyFont="1" applyFill="1" applyBorder="1" applyAlignment="1" applyProtection="1">
      <protection locked="0"/>
    </xf>
    <xf numFmtId="0" fontId="10" fillId="2" borderId="9" xfId="0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26" fillId="5" borderId="9" xfId="0" applyFont="1" applyFill="1" applyBorder="1" applyAlignment="1" applyProtection="1">
      <alignment horizontal="center" vertical="center"/>
    </xf>
    <xf numFmtId="0" fontId="26" fillId="5" borderId="10" xfId="0" applyFont="1" applyFill="1" applyBorder="1" applyAlignment="1" applyProtection="1">
      <alignment horizontal="center" vertical="center"/>
    </xf>
    <xf numFmtId="0" fontId="26" fillId="5" borderId="2" xfId="0" applyFont="1" applyFill="1" applyBorder="1" applyAlignment="1" applyProtection="1">
      <alignment horizontal="center" vertical="center"/>
    </xf>
    <xf numFmtId="168" fontId="10" fillId="5" borderId="9" xfId="0" applyNumberFormat="1" applyFont="1" applyFill="1" applyBorder="1" applyAlignment="1" applyProtection="1">
      <alignment horizontal="center" vertical="top" wrapText="1"/>
    </xf>
    <xf numFmtId="168" fontId="10" fillId="5" borderId="10" xfId="0" applyNumberFormat="1" applyFont="1" applyFill="1" applyBorder="1" applyAlignment="1" applyProtection="1">
      <alignment horizontal="center" vertical="top" wrapText="1"/>
    </xf>
    <xf numFmtId="168" fontId="10" fillId="5" borderId="2" xfId="0" applyNumberFormat="1" applyFont="1" applyFill="1" applyBorder="1" applyAlignment="1" applyProtection="1">
      <alignment horizontal="center" vertical="top" wrapText="1"/>
    </xf>
    <xf numFmtId="0" fontId="10" fillId="2" borderId="10" xfId="0" applyFont="1" applyFill="1" applyBorder="1" applyAlignment="1" applyProtection="1">
      <alignment horizontal="center" vertical="top" wrapText="1"/>
    </xf>
    <xf numFmtId="0" fontId="9" fillId="2" borderId="9" xfId="0" applyNumberFormat="1" applyFont="1" applyFill="1" applyBorder="1" applyAlignment="1" applyProtection="1">
      <alignment horizontal="left" vertical="top" wrapText="1"/>
    </xf>
    <xf numFmtId="0" fontId="9" fillId="2" borderId="10" xfId="0" applyNumberFormat="1" applyFont="1" applyFill="1" applyBorder="1" applyAlignment="1" applyProtection="1">
      <alignment horizontal="left" vertical="top" wrapText="1"/>
    </xf>
    <xf numFmtId="0" fontId="9" fillId="2" borderId="2" xfId="0" applyNumberFormat="1" applyFont="1" applyFill="1" applyBorder="1" applyAlignment="1" applyProtection="1">
      <alignment horizontal="left" vertical="top" wrapText="1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left"/>
    </xf>
    <xf numFmtId="0" fontId="9" fillId="6" borderId="2" xfId="0" applyFont="1" applyFill="1" applyBorder="1" applyAlignment="1" applyProtection="1">
      <alignment horizontal="left"/>
    </xf>
    <xf numFmtId="0" fontId="9" fillId="6" borderId="9" xfId="0" applyFont="1" applyFill="1" applyBorder="1" applyAlignment="1" applyProtection="1">
      <alignment horizontal="left" vertical="top"/>
    </xf>
    <xf numFmtId="0" fontId="9" fillId="6" borderId="10" xfId="0" applyFont="1" applyFill="1" applyBorder="1" applyAlignment="1" applyProtection="1">
      <alignment horizontal="left" vertical="top"/>
    </xf>
    <xf numFmtId="0" fontId="9" fillId="6" borderId="2" xfId="0" applyFont="1" applyFill="1" applyBorder="1" applyAlignment="1" applyProtection="1">
      <alignment horizontal="left" vertical="top"/>
    </xf>
    <xf numFmtId="0" fontId="25" fillId="2" borderId="10" xfId="0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164" fontId="25" fillId="2" borderId="9" xfId="1" applyNumberFormat="1" applyFont="1" applyFill="1" applyBorder="1" applyAlignment="1" applyProtection="1">
      <alignment horizontal="center" vertical="center"/>
    </xf>
    <xf numFmtId="164" fontId="25" fillId="2" borderId="10" xfId="1" applyNumberFormat="1" applyFont="1" applyFill="1" applyBorder="1" applyAlignment="1" applyProtection="1">
      <alignment horizontal="center" vertical="center"/>
    </xf>
    <xf numFmtId="164" fontId="25" fillId="2" borderId="2" xfId="1" applyNumberFormat="1" applyFont="1" applyFill="1" applyBorder="1" applyAlignment="1" applyProtection="1">
      <alignment horizontal="center" vertical="center"/>
    </xf>
    <xf numFmtId="164" fontId="24" fillId="10" borderId="1" xfId="1" applyNumberFormat="1" applyFont="1" applyFill="1" applyBorder="1" applyAlignment="1" applyProtection="1">
      <alignment horizontal="left" vertical="center" wrapText="1"/>
    </xf>
    <xf numFmtId="164" fontId="10" fillId="5" borderId="9" xfId="1" applyNumberFormat="1" applyFont="1" applyFill="1" applyBorder="1" applyAlignment="1" applyProtection="1">
      <alignment horizontal="center"/>
    </xf>
    <xf numFmtId="164" fontId="10" fillId="5" borderId="10" xfId="1" applyNumberFormat="1" applyFont="1" applyFill="1" applyBorder="1" applyAlignment="1" applyProtection="1">
      <alignment horizontal="center"/>
    </xf>
    <xf numFmtId="164" fontId="10" fillId="5" borderId="2" xfId="1" applyNumberFormat="1" applyFont="1" applyFill="1" applyBorder="1" applyAlignment="1" applyProtection="1">
      <alignment horizontal="center"/>
    </xf>
    <xf numFmtId="3" fontId="16" fillId="6" borderId="9" xfId="1" applyNumberFormat="1" applyFont="1" applyFill="1" applyBorder="1" applyAlignment="1" applyProtection="1">
      <alignment horizontal="left"/>
    </xf>
    <xf numFmtId="3" fontId="16" fillId="6" borderId="10" xfId="1" applyNumberFormat="1" applyFont="1" applyFill="1" applyBorder="1" applyAlignment="1" applyProtection="1">
      <alignment horizontal="left"/>
    </xf>
    <xf numFmtId="3" fontId="16" fillId="6" borderId="2" xfId="1" applyNumberFormat="1" applyFont="1" applyFill="1" applyBorder="1" applyAlignment="1" applyProtection="1">
      <alignment horizontal="left"/>
    </xf>
    <xf numFmtId="0" fontId="25" fillId="2" borderId="9" xfId="0" applyFont="1" applyFill="1" applyBorder="1" applyAlignment="1" applyProtection="1">
      <alignment horizontal="center"/>
    </xf>
    <xf numFmtId="0" fontId="25" fillId="2" borderId="10" xfId="0" applyFont="1" applyFill="1" applyBorder="1" applyAlignment="1" applyProtection="1">
      <alignment horizontal="center"/>
    </xf>
    <xf numFmtId="0" fontId="25" fillId="2" borderId="2" xfId="0" applyFont="1" applyFill="1" applyBorder="1" applyAlignment="1" applyProtection="1">
      <alignment horizontal="center"/>
    </xf>
    <xf numFmtId="1" fontId="14" fillId="3" borderId="1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 wrapText="1"/>
    </xf>
    <xf numFmtId="166" fontId="9" fillId="4" borderId="9" xfId="1" applyNumberFormat="1" applyFont="1" applyFill="1" applyBorder="1" applyAlignment="1" applyProtection="1">
      <alignment horizontal="left" indent="3"/>
    </xf>
    <xf numFmtId="166" fontId="9" fillId="4" borderId="2" xfId="1" applyNumberFormat="1" applyFont="1" applyFill="1" applyBorder="1" applyAlignment="1" applyProtection="1">
      <alignment horizontal="left" indent="3"/>
    </xf>
    <xf numFmtId="164" fontId="24" fillId="19" borderId="9" xfId="1" applyNumberFormat="1" applyFont="1" applyFill="1" applyBorder="1" applyAlignment="1" applyProtection="1">
      <alignment horizontal="center" vertical="center" wrapText="1"/>
    </xf>
    <xf numFmtId="164" fontId="24" fillId="19" borderId="2" xfId="1" applyNumberFormat="1" applyFont="1" applyFill="1" applyBorder="1" applyAlignment="1" applyProtection="1">
      <alignment horizontal="center" vertical="center" wrapText="1"/>
    </xf>
    <xf numFmtId="164" fontId="24" fillId="10" borderId="9" xfId="1" applyNumberFormat="1" applyFont="1" applyFill="1" applyBorder="1" applyAlignment="1" applyProtection="1">
      <alignment horizontal="left" vertical="center" wrapText="1"/>
    </xf>
    <xf numFmtId="164" fontId="24" fillId="10" borderId="2" xfId="1" applyNumberFormat="1" applyFont="1" applyFill="1" applyBorder="1" applyAlignment="1" applyProtection="1">
      <alignment horizontal="left" vertical="center" wrapText="1"/>
    </xf>
    <xf numFmtId="164" fontId="9" fillId="8" borderId="9" xfId="1" applyNumberFormat="1" applyFont="1" applyFill="1" applyBorder="1" applyAlignment="1" applyProtection="1">
      <alignment horizontal="center" vertical="center" wrapText="1"/>
    </xf>
    <xf numFmtId="164" fontId="9" fillId="8" borderId="2" xfId="1" applyNumberFormat="1" applyFont="1" applyFill="1" applyBorder="1" applyAlignment="1" applyProtection="1">
      <alignment horizontal="center" vertical="center" wrapText="1"/>
    </xf>
    <xf numFmtId="164" fontId="24" fillId="5" borderId="9" xfId="1" applyNumberFormat="1" applyFont="1" applyFill="1" applyBorder="1" applyAlignment="1" applyProtection="1">
      <alignment horizontal="center" vertical="center"/>
    </xf>
    <xf numFmtId="164" fontId="24" fillId="5" borderId="2" xfId="1" applyNumberFormat="1" applyFont="1" applyFill="1" applyBorder="1" applyAlignment="1" applyProtection="1">
      <alignment horizontal="center" vertical="center"/>
    </xf>
    <xf numFmtId="164" fontId="24" fillId="19" borderId="10" xfId="1" applyNumberFormat="1" applyFont="1" applyFill="1" applyBorder="1" applyAlignment="1" applyProtection="1">
      <alignment horizontal="center" vertical="center" wrapText="1"/>
    </xf>
    <xf numFmtId="164" fontId="24" fillId="10" borderId="9" xfId="1" applyNumberFormat="1" applyFont="1" applyFill="1" applyBorder="1" applyAlignment="1" applyProtection="1">
      <alignment horizontal="center" vertical="center" wrapText="1"/>
    </xf>
    <xf numFmtId="164" fontId="24" fillId="10" borderId="10" xfId="1" applyNumberFormat="1" applyFont="1" applyFill="1" applyBorder="1" applyAlignment="1" applyProtection="1">
      <alignment horizontal="center" vertical="center" wrapText="1"/>
    </xf>
    <xf numFmtId="164" fontId="24" fillId="10" borderId="2" xfId="1" applyNumberFormat="1" applyFont="1" applyFill="1" applyBorder="1" applyAlignment="1" applyProtection="1">
      <alignment horizontal="center" vertical="center" wrapText="1"/>
    </xf>
    <xf numFmtId="3" fontId="73" fillId="6" borderId="9" xfId="1" applyNumberFormat="1" applyFont="1" applyFill="1" applyBorder="1" applyAlignment="1" applyProtection="1">
      <alignment horizontal="left"/>
    </xf>
    <xf numFmtId="3" fontId="73" fillId="6" borderId="10" xfId="1" applyNumberFormat="1" applyFont="1" applyFill="1" applyBorder="1" applyAlignment="1" applyProtection="1">
      <alignment horizontal="left"/>
    </xf>
    <xf numFmtId="3" fontId="73" fillId="6" borderId="2" xfId="1" applyNumberFormat="1" applyFont="1" applyFill="1" applyBorder="1" applyAlignment="1" applyProtection="1">
      <alignment horizontal="left"/>
    </xf>
    <xf numFmtId="1" fontId="79" fillId="8" borderId="1" xfId="1" applyNumberFormat="1" applyFont="1" applyFill="1" applyBorder="1" applyAlignment="1">
      <alignment horizontal="center"/>
    </xf>
    <xf numFmtId="164" fontId="79" fillId="8" borderId="9" xfId="1" applyNumberFormat="1" applyFont="1" applyFill="1" applyBorder="1" applyAlignment="1">
      <alignment horizontal="center" vertical="top" wrapText="1"/>
    </xf>
    <xf numFmtId="164" fontId="79" fillId="8" borderId="2" xfId="1" applyNumberFormat="1" applyFont="1" applyFill="1" applyBorder="1" applyAlignment="1">
      <alignment horizontal="center" vertical="top" wrapText="1"/>
    </xf>
    <xf numFmtId="164" fontId="79" fillId="8" borderId="1" xfId="1" applyNumberFormat="1" applyFont="1" applyFill="1" applyBorder="1" applyAlignment="1">
      <alignment horizontal="center" vertical="top" wrapText="1"/>
    </xf>
    <xf numFmtId="0" fontId="81" fillId="2" borderId="1" xfId="0" applyFont="1" applyFill="1" applyBorder="1" applyAlignment="1" applyProtection="1">
      <alignment horizontal="center"/>
    </xf>
    <xf numFmtId="0" fontId="25" fillId="2" borderId="1" xfId="0" applyFont="1" applyFill="1" applyBorder="1" applyAlignment="1" applyProtection="1">
      <alignment horizontal="center"/>
    </xf>
    <xf numFmtId="166" fontId="9" fillId="4" borderId="9" xfId="1" applyNumberFormat="1" applyFont="1" applyFill="1" applyBorder="1" applyAlignment="1" applyProtection="1">
      <alignment horizontal="center"/>
    </xf>
    <xf numFmtId="166" fontId="9" fillId="4" borderId="2" xfId="1" applyNumberFormat="1" applyFont="1" applyFill="1" applyBorder="1" applyAlignment="1" applyProtection="1">
      <alignment horizontal="center"/>
    </xf>
    <xf numFmtId="166" fontId="9" fillId="4" borderId="10" xfId="1" applyNumberFormat="1" applyFont="1" applyFill="1" applyBorder="1" applyAlignment="1" applyProtection="1">
      <alignment horizontal="center"/>
    </xf>
    <xf numFmtId="165" fontId="11" fillId="0" borderId="9" xfId="3" applyNumberFormat="1" applyFont="1" applyFill="1" applyBorder="1" applyAlignment="1" applyProtection="1">
      <alignment horizontal="center" textRotation="90" wrapText="1"/>
    </xf>
    <xf numFmtId="165" fontId="11" fillId="0" borderId="2" xfId="3" applyNumberFormat="1" applyFont="1" applyFill="1" applyBorder="1" applyAlignment="1" applyProtection="1">
      <alignment horizontal="center" textRotation="90" wrapText="1"/>
    </xf>
    <xf numFmtId="165" fontId="11" fillId="0" borderId="10" xfId="3" applyNumberFormat="1" applyFont="1" applyFill="1" applyBorder="1" applyAlignment="1" applyProtection="1">
      <alignment horizontal="center" textRotation="90" wrapText="1"/>
    </xf>
    <xf numFmtId="164" fontId="24" fillId="19" borderId="9" xfId="1" applyNumberFormat="1" applyFont="1" applyFill="1" applyBorder="1" applyAlignment="1" applyProtection="1">
      <alignment horizontal="left" vertical="center" wrapText="1"/>
    </xf>
    <xf numFmtId="164" fontId="24" fillId="19" borderId="2" xfId="1" applyNumberFormat="1" applyFont="1" applyFill="1" applyBorder="1" applyAlignment="1" applyProtection="1">
      <alignment horizontal="left" vertical="center" wrapText="1"/>
    </xf>
    <xf numFmtId="3" fontId="16" fillId="6" borderId="9" xfId="1" applyNumberFormat="1" applyFont="1" applyFill="1" applyBorder="1" applyAlignment="1" applyProtection="1">
      <alignment horizontal="left" vertical="center"/>
    </xf>
    <xf numFmtId="3" fontId="16" fillId="6" borderId="10" xfId="1" applyNumberFormat="1" applyFont="1" applyFill="1" applyBorder="1" applyAlignment="1" applyProtection="1">
      <alignment horizontal="left" vertical="center"/>
    </xf>
    <xf numFmtId="3" fontId="16" fillId="6" borderId="2" xfId="1" applyNumberFormat="1" applyFont="1" applyFill="1" applyBorder="1" applyAlignment="1" applyProtection="1">
      <alignment horizontal="left" vertical="center"/>
    </xf>
    <xf numFmtId="167" fontId="10" fillId="4" borderId="9" xfId="1" applyNumberFormat="1" applyFont="1" applyFill="1" applyBorder="1" applyAlignment="1" applyProtection="1">
      <alignment horizontal="center" vertical="center" wrapText="1"/>
    </xf>
    <xf numFmtId="167" fontId="10" fillId="4" borderId="10" xfId="1" applyNumberFormat="1" applyFont="1" applyFill="1" applyBorder="1" applyAlignment="1" applyProtection="1">
      <alignment horizontal="center" vertical="center" wrapText="1"/>
    </xf>
    <xf numFmtId="167" fontId="10" fillId="4" borderId="2" xfId="1" applyNumberFormat="1" applyFont="1" applyFill="1" applyBorder="1" applyAlignment="1" applyProtection="1">
      <alignment horizontal="center" vertical="center" wrapText="1"/>
    </xf>
    <xf numFmtId="1" fontId="10" fillId="4" borderId="9" xfId="1" applyNumberFormat="1" applyFont="1" applyFill="1" applyBorder="1" applyAlignment="1" applyProtection="1">
      <alignment horizontal="center" vertical="center"/>
    </xf>
    <xf numFmtId="1" fontId="10" fillId="4" borderId="2" xfId="1" applyNumberFormat="1" applyFont="1" applyFill="1" applyBorder="1" applyAlignment="1" applyProtection="1">
      <alignment horizontal="center" vertical="center"/>
    </xf>
    <xf numFmtId="164" fontId="25" fillId="2" borderId="1" xfId="1" applyNumberFormat="1" applyFont="1" applyFill="1" applyBorder="1" applyAlignment="1" applyProtection="1">
      <alignment horizontal="center" vertical="center"/>
    </xf>
    <xf numFmtId="3" fontId="36" fillId="6" borderId="1" xfId="1" applyNumberFormat="1" applyFont="1" applyFill="1" applyBorder="1" applyAlignment="1" applyProtection="1">
      <alignment horizontal="left" vertical="center"/>
    </xf>
    <xf numFmtId="0" fontId="23" fillId="18" borderId="1" xfId="0" applyFont="1" applyFill="1" applyBorder="1" applyAlignment="1" applyProtection="1">
      <alignment horizontal="center" vertical="center"/>
    </xf>
    <xf numFmtId="0" fontId="23" fillId="18" borderId="12" xfId="0" applyFont="1" applyFill="1" applyBorder="1" applyAlignment="1" applyProtection="1">
      <alignment horizontal="center" vertical="center"/>
    </xf>
    <xf numFmtId="166" fontId="53" fillId="4" borderId="9" xfId="1" applyNumberFormat="1" applyFont="1" applyFill="1" applyBorder="1" applyAlignment="1" applyProtection="1">
      <alignment horizontal="center"/>
    </xf>
    <xf numFmtId="166" fontId="53" fillId="4" borderId="2" xfId="1" applyNumberFormat="1" applyFont="1" applyFill="1" applyBorder="1" applyAlignment="1" applyProtection="1">
      <alignment horizontal="center"/>
    </xf>
    <xf numFmtId="166" fontId="53" fillId="4" borderId="9" xfId="1" applyNumberFormat="1" applyFont="1" applyFill="1" applyBorder="1" applyAlignment="1" applyProtection="1">
      <alignment horizontal="left" indent="3"/>
    </xf>
    <xf numFmtId="166" fontId="53" fillId="4" borderId="2" xfId="1" applyNumberFormat="1" applyFont="1" applyFill="1" applyBorder="1" applyAlignment="1" applyProtection="1">
      <alignment horizontal="left" indent="3"/>
    </xf>
    <xf numFmtId="164" fontId="23" fillId="25" borderId="9" xfId="1" applyNumberFormat="1" applyFont="1" applyFill="1" applyBorder="1" applyAlignment="1" applyProtection="1">
      <alignment horizontal="left" vertical="center" wrapText="1"/>
    </xf>
    <xf numFmtId="164" fontId="23" fillId="25" borderId="2" xfId="1" applyNumberFormat="1" applyFont="1" applyFill="1" applyBorder="1" applyAlignment="1" applyProtection="1">
      <alignment horizontal="left" vertical="center" wrapText="1"/>
    </xf>
    <xf numFmtId="167" fontId="23" fillId="4" borderId="9" xfId="1" applyNumberFormat="1" applyFont="1" applyFill="1" applyBorder="1" applyAlignment="1" applyProtection="1">
      <alignment horizontal="center" vertical="center" wrapText="1"/>
    </xf>
    <xf numFmtId="167" fontId="23" fillId="4" borderId="10" xfId="1" applyNumberFormat="1" applyFont="1" applyFill="1" applyBorder="1" applyAlignment="1" applyProtection="1">
      <alignment horizontal="center" vertical="center" wrapText="1"/>
    </xf>
    <xf numFmtId="167" fontId="23" fillId="4" borderId="2" xfId="1" applyNumberFormat="1" applyFont="1" applyFill="1" applyBorder="1" applyAlignment="1" applyProtection="1">
      <alignment horizontal="center" vertical="center" wrapText="1"/>
    </xf>
    <xf numFmtId="164" fontId="23" fillId="19" borderId="9" xfId="1" applyNumberFormat="1" applyFont="1" applyFill="1" applyBorder="1" applyAlignment="1" applyProtection="1">
      <alignment horizontal="left" vertical="center" wrapText="1"/>
    </xf>
    <xf numFmtId="164" fontId="23" fillId="19" borderId="2" xfId="1" applyNumberFormat="1" applyFont="1" applyFill="1" applyBorder="1" applyAlignment="1" applyProtection="1">
      <alignment horizontal="left" vertical="center" wrapText="1"/>
    </xf>
    <xf numFmtId="164" fontId="24" fillId="10" borderId="4" xfId="1" applyNumberFormat="1" applyFont="1" applyFill="1" applyBorder="1" applyAlignment="1" applyProtection="1">
      <alignment horizontal="left" vertical="center" wrapText="1"/>
    </xf>
    <xf numFmtId="164" fontId="24" fillId="10" borderId="5" xfId="1" applyNumberFormat="1" applyFont="1" applyFill="1" applyBorder="1" applyAlignment="1" applyProtection="1">
      <alignment horizontal="left" vertical="center" wrapText="1"/>
    </xf>
    <xf numFmtId="164" fontId="24" fillId="10" borderId="6" xfId="1" applyNumberFormat="1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top" wrapText="1"/>
    </xf>
    <xf numFmtId="0" fontId="10" fillId="2" borderId="5" xfId="0" applyFont="1" applyFill="1" applyBorder="1" applyAlignment="1" applyProtection="1">
      <alignment horizontal="left" vertical="top" wrapText="1"/>
    </xf>
    <xf numFmtId="0" fontId="10" fillId="2" borderId="6" xfId="0" applyFont="1" applyFill="1" applyBorder="1" applyAlignment="1" applyProtection="1">
      <alignment horizontal="left" vertical="top" wrapText="1"/>
    </xf>
    <xf numFmtId="164" fontId="10" fillId="2" borderId="9" xfId="1" applyNumberFormat="1" applyFont="1" applyFill="1" applyBorder="1" applyAlignment="1" applyProtection="1">
      <alignment horizontal="left"/>
    </xf>
    <xf numFmtId="164" fontId="10" fillId="2" borderId="2" xfId="1" applyNumberFormat="1" applyFont="1" applyFill="1" applyBorder="1" applyAlignment="1" applyProtection="1">
      <alignment horizontal="left"/>
    </xf>
    <xf numFmtId="0" fontId="9" fillId="11" borderId="9" xfId="0" applyFont="1" applyFill="1" applyBorder="1" applyAlignment="1" applyProtection="1">
      <alignment horizontal="left"/>
    </xf>
    <xf numFmtId="0" fontId="9" fillId="11" borderId="10" xfId="0" applyFont="1" applyFill="1" applyBorder="1" applyAlignment="1" applyProtection="1">
      <alignment horizontal="left"/>
    </xf>
    <xf numFmtId="0" fontId="9" fillId="11" borderId="2" xfId="0" applyFont="1" applyFill="1" applyBorder="1" applyAlignment="1" applyProtection="1">
      <alignment horizontal="left"/>
    </xf>
    <xf numFmtId="164" fontId="10" fillId="2" borderId="9" xfId="0" applyNumberFormat="1" applyFont="1" applyFill="1" applyBorder="1" applyAlignment="1" applyProtection="1">
      <alignment horizontal="left" vertical="top" wrapText="1"/>
    </xf>
    <xf numFmtId="164" fontId="10" fillId="2" borderId="2" xfId="0" applyNumberFormat="1" applyFont="1" applyFill="1" applyBorder="1" applyAlignment="1" applyProtection="1">
      <alignment horizontal="left" vertical="top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18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11" borderId="9" xfId="0" applyFont="1" applyFill="1" applyBorder="1" applyAlignment="1" applyProtection="1">
      <alignment horizontal="left" vertical="top" wrapText="1"/>
    </xf>
    <xf numFmtId="0" fontId="10" fillId="11" borderId="2" xfId="0" applyFont="1" applyFill="1" applyBorder="1" applyAlignment="1" applyProtection="1">
      <alignment horizontal="left" vertical="top" wrapText="1"/>
    </xf>
    <xf numFmtId="164" fontId="9" fillId="11" borderId="9" xfId="1" applyNumberFormat="1" applyFont="1" applyFill="1" applyBorder="1" applyAlignment="1" applyProtection="1">
      <alignment horizontal="left" vertical="center" wrapText="1"/>
    </xf>
    <xf numFmtId="164" fontId="9" fillId="11" borderId="10" xfId="1" applyNumberFormat="1" applyFont="1" applyFill="1" applyBorder="1" applyAlignment="1" applyProtection="1">
      <alignment horizontal="left" vertical="center" wrapText="1"/>
    </xf>
    <xf numFmtId="164" fontId="9" fillId="11" borderId="2" xfId="1" applyNumberFormat="1" applyFont="1" applyFill="1" applyBorder="1" applyAlignment="1" applyProtection="1">
      <alignment horizontal="left" vertical="center" wrapText="1"/>
    </xf>
    <xf numFmtId="0" fontId="25" fillId="2" borderId="9" xfId="0" applyFont="1" applyFill="1" applyBorder="1" applyAlignment="1" applyProtection="1">
      <alignment horizontal="center" vertical="top" wrapText="1"/>
    </xf>
    <xf numFmtId="0" fontId="25" fillId="2" borderId="10" xfId="0" applyFont="1" applyFill="1" applyBorder="1" applyAlignment="1" applyProtection="1">
      <alignment horizontal="center" vertical="top" wrapText="1"/>
    </xf>
    <xf numFmtId="0" fontId="0" fillId="2" borderId="10" xfId="0" applyFill="1" applyBorder="1" applyProtection="1"/>
    <xf numFmtId="0" fontId="0" fillId="2" borderId="2" xfId="0" applyFill="1" applyBorder="1" applyProtection="1"/>
    <xf numFmtId="164" fontId="24" fillId="10" borderId="1" xfId="1" applyNumberFormat="1" applyFont="1" applyFill="1" applyBorder="1" applyAlignment="1" applyProtection="1">
      <alignment horizontal="left" vertical="top" wrapText="1"/>
    </xf>
    <xf numFmtId="0" fontId="21" fillId="16" borderId="9" xfId="0" applyFont="1" applyFill="1" applyBorder="1" applyAlignment="1" applyProtection="1">
      <alignment horizontal="center" vertical="top" wrapText="1"/>
    </xf>
    <xf numFmtId="0" fontId="21" fillId="16" borderId="10" xfId="0" applyFont="1" applyFill="1" applyBorder="1" applyAlignment="1" applyProtection="1">
      <alignment horizontal="center" vertical="top" wrapText="1"/>
    </xf>
    <xf numFmtId="0" fontId="21" fillId="16" borderId="2" xfId="0" applyFont="1" applyFill="1" applyBorder="1" applyAlignment="1" applyProtection="1">
      <alignment horizontal="center" vertical="top" wrapText="1"/>
    </xf>
    <xf numFmtId="1" fontId="11" fillId="0" borderId="9" xfId="1" applyNumberFormat="1" applyFont="1" applyFill="1" applyBorder="1" applyAlignment="1" applyProtection="1">
      <alignment horizontal="left"/>
    </xf>
    <xf numFmtId="1" fontId="11" fillId="0" borderId="10" xfId="1" applyNumberFormat="1" applyFont="1" applyFill="1" applyBorder="1" applyAlignment="1" applyProtection="1">
      <alignment horizontal="left"/>
    </xf>
    <xf numFmtId="1" fontId="11" fillId="0" borderId="2" xfId="1" applyNumberFormat="1" applyFont="1" applyFill="1" applyBorder="1" applyAlignment="1" applyProtection="1">
      <alignment horizontal="left"/>
    </xf>
    <xf numFmtId="0" fontId="21" fillId="2" borderId="11" xfId="0" applyFont="1" applyFill="1" applyBorder="1" applyAlignment="1" applyProtection="1">
      <alignment horizontal="center" vertical="top" wrapText="1"/>
    </xf>
    <xf numFmtId="0" fontId="21" fillId="2" borderId="8" xfId="0" applyFont="1" applyFill="1" applyBorder="1" applyAlignment="1" applyProtection="1">
      <alignment horizontal="center" vertical="top" wrapText="1"/>
    </xf>
    <xf numFmtId="0" fontId="21" fillId="2" borderId="13" xfId="0" applyFont="1" applyFill="1" applyBorder="1" applyAlignment="1" applyProtection="1">
      <alignment horizontal="center" vertical="top" wrapText="1"/>
    </xf>
    <xf numFmtId="0" fontId="25" fillId="5" borderId="11" xfId="0" applyFont="1" applyFill="1" applyBorder="1" applyAlignment="1" applyProtection="1">
      <alignment horizontal="center" vertical="center" wrapText="1"/>
    </xf>
    <xf numFmtId="0" fontId="25" fillId="5" borderId="8" xfId="0" applyFont="1" applyFill="1" applyBorder="1" applyAlignment="1" applyProtection="1">
      <alignment horizontal="center" vertical="center" wrapText="1"/>
    </xf>
    <xf numFmtId="0" fontId="25" fillId="5" borderId="13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5" fillId="5" borderId="5" xfId="0" applyFont="1" applyFill="1" applyBorder="1" applyAlignment="1" applyProtection="1">
      <alignment horizontal="center" vertical="center" wrapText="1"/>
    </xf>
    <xf numFmtId="0" fontId="25" fillId="5" borderId="6" xfId="0" applyFont="1" applyFill="1" applyBorder="1" applyAlignment="1" applyProtection="1">
      <alignment horizontal="center" vertical="center" wrapText="1"/>
    </xf>
    <xf numFmtId="165" fontId="11" fillId="0" borderId="8" xfId="3" applyNumberFormat="1" applyFont="1" applyFill="1" applyBorder="1" applyAlignment="1" applyProtection="1">
      <alignment horizontal="center"/>
    </xf>
    <xf numFmtId="0" fontId="25" fillId="2" borderId="2" xfId="0" applyFont="1" applyFill="1" applyBorder="1" applyAlignment="1" applyProtection="1">
      <alignment horizontal="center" vertical="top" wrapText="1"/>
    </xf>
    <xf numFmtId="165" fontId="25" fillId="2" borderId="9" xfId="0" applyNumberFormat="1" applyFont="1" applyFill="1" applyBorder="1" applyAlignment="1" applyProtection="1">
      <alignment horizontal="center" vertical="top" wrapText="1"/>
    </xf>
    <xf numFmtId="165" fontId="11" fillId="0" borderId="11" xfId="3" applyNumberFormat="1" applyFont="1" applyFill="1" applyBorder="1" applyAlignment="1" applyProtection="1">
      <alignment horizontal="center"/>
    </xf>
    <xf numFmtId="165" fontId="11" fillId="0" borderId="13" xfId="3" applyNumberFormat="1" applyFont="1" applyFill="1" applyBorder="1" applyAlignment="1" applyProtection="1">
      <alignment horizontal="center"/>
    </xf>
    <xf numFmtId="165" fontId="11" fillId="0" borderId="3" xfId="3" applyNumberFormat="1" applyFont="1" applyFill="1" applyBorder="1" applyAlignment="1" applyProtection="1">
      <alignment horizontal="center"/>
    </xf>
    <xf numFmtId="165" fontId="11" fillId="0" borderId="0" xfId="3" applyNumberFormat="1" applyFont="1" applyFill="1" applyBorder="1" applyAlignment="1" applyProtection="1">
      <alignment horizontal="center"/>
    </xf>
    <xf numFmtId="165" fontId="11" fillId="0" borderId="7" xfId="3" applyNumberFormat="1" applyFont="1" applyFill="1" applyBorder="1" applyAlignment="1" applyProtection="1">
      <alignment horizontal="center"/>
    </xf>
    <xf numFmtId="165" fontId="11" fillId="0" borderId="4" xfId="3" applyNumberFormat="1" applyFont="1" applyFill="1" applyBorder="1" applyAlignment="1" applyProtection="1">
      <alignment horizontal="center"/>
    </xf>
    <xf numFmtId="165" fontId="11" fillId="0" borderId="5" xfId="3" applyNumberFormat="1" applyFont="1" applyFill="1" applyBorder="1" applyAlignment="1" applyProtection="1">
      <alignment horizontal="center"/>
    </xf>
    <xf numFmtId="165" fontId="11" fillId="0" borderId="6" xfId="3" applyNumberFormat="1" applyFont="1" applyFill="1" applyBorder="1" applyAlignment="1" applyProtection="1">
      <alignment horizontal="center"/>
    </xf>
    <xf numFmtId="0" fontId="25" fillId="2" borderId="4" xfId="0" applyFont="1" applyFill="1" applyBorder="1" applyAlignment="1" applyProtection="1">
      <alignment horizontal="center" vertical="top" wrapText="1"/>
    </xf>
    <xf numFmtId="0" fontId="25" fillId="2" borderId="5" xfId="0" applyFont="1" applyFill="1" applyBorder="1" applyAlignment="1" applyProtection="1">
      <alignment horizontal="center" vertical="top" wrapText="1"/>
    </xf>
    <xf numFmtId="0" fontId="25" fillId="2" borderId="6" xfId="0" applyFont="1" applyFill="1" applyBorder="1" applyAlignment="1" applyProtection="1">
      <alignment horizontal="center" vertical="top" wrapText="1"/>
    </xf>
    <xf numFmtId="165" fontId="25" fillId="2" borderId="4" xfId="0" applyNumberFormat="1" applyFont="1" applyFill="1" applyBorder="1" applyAlignment="1" applyProtection="1">
      <alignment horizontal="center" vertical="top" wrapText="1"/>
    </xf>
    <xf numFmtId="1" fontId="57" fillId="0" borderId="9" xfId="1" applyNumberFormat="1" applyFont="1" applyFill="1" applyBorder="1" applyAlignment="1" applyProtection="1">
      <alignment horizontal="left"/>
    </xf>
    <xf numFmtId="1" fontId="57" fillId="0" borderId="10" xfId="1" applyNumberFormat="1" applyFont="1" applyFill="1" applyBorder="1" applyAlignment="1" applyProtection="1">
      <alignment horizontal="left"/>
    </xf>
    <xf numFmtId="1" fontId="57" fillId="0" borderId="2" xfId="1" applyNumberFormat="1" applyFont="1" applyFill="1" applyBorder="1" applyAlignment="1" applyProtection="1">
      <alignment horizontal="left"/>
    </xf>
    <xf numFmtId="1" fontId="11" fillId="0" borderId="11" xfId="1" applyNumberFormat="1" applyFont="1" applyFill="1" applyBorder="1" applyAlignment="1" applyProtection="1">
      <alignment horizontal="left"/>
    </xf>
    <xf numFmtId="1" fontId="11" fillId="0" borderId="8" xfId="1" applyNumberFormat="1" applyFont="1" applyFill="1" applyBorder="1" applyAlignment="1" applyProtection="1">
      <alignment horizontal="left"/>
    </xf>
    <xf numFmtId="1" fontId="11" fillId="0" borderId="13" xfId="1" applyNumberFormat="1" applyFont="1" applyFill="1" applyBorder="1" applyAlignment="1" applyProtection="1">
      <alignment horizontal="left"/>
    </xf>
    <xf numFmtId="1" fontId="11" fillId="0" borderId="4" xfId="1" applyNumberFormat="1" applyFont="1" applyFill="1" applyBorder="1" applyAlignment="1" applyProtection="1">
      <alignment horizontal="center"/>
    </xf>
    <xf numFmtId="1" fontId="11" fillId="0" borderId="5" xfId="1" applyNumberFormat="1" applyFont="1" applyFill="1" applyBorder="1" applyAlignment="1" applyProtection="1">
      <alignment horizontal="center"/>
    </xf>
    <xf numFmtId="1" fontId="11" fillId="0" borderId="6" xfId="1" applyNumberFormat="1" applyFont="1" applyFill="1" applyBorder="1" applyAlignment="1" applyProtection="1">
      <alignment horizontal="center"/>
    </xf>
    <xf numFmtId="164" fontId="9" fillId="14" borderId="9" xfId="1" applyNumberFormat="1" applyFont="1" applyFill="1" applyBorder="1" applyAlignment="1" applyProtection="1">
      <alignment horizontal="left"/>
    </xf>
    <xf numFmtId="164" fontId="9" fillId="14" borderId="10" xfId="1" applyNumberFormat="1" applyFont="1" applyFill="1" applyBorder="1" applyAlignment="1" applyProtection="1">
      <alignment horizontal="left"/>
    </xf>
    <xf numFmtId="164" fontId="9" fillId="14" borderId="2" xfId="1" applyNumberFormat="1" applyFont="1" applyFill="1" applyBorder="1" applyAlignment="1" applyProtection="1">
      <alignment horizontal="left"/>
    </xf>
    <xf numFmtId="164" fontId="9" fillId="0" borderId="9" xfId="1" applyNumberFormat="1" applyFont="1" applyFill="1" applyBorder="1" applyAlignment="1" applyProtection="1">
      <alignment horizontal="left"/>
    </xf>
    <xf numFmtId="164" fontId="9" fillId="0" borderId="10" xfId="1" applyNumberFormat="1" applyFont="1" applyFill="1" applyBorder="1" applyAlignment="1" applyProtection="1">
      <alignment horizontal="left"/>
    </xf>
    <xf numFmtId="164" fontId="9" fillId="0" borderId="2" xfId="1" applyNumberFormat="1" applyFont="1" applyFill="1" applyBorder="1" applyAlignment="1" applyProtection="1">
      <alignment horizontal="left"/>
    </xf>
    <xf numFmtId="166" fontId="9" fillId="6" borderId="11" xfId="1" applyNumberFormat="1" applyFont="1" applyFill="1" applyBorder="1" applyAlignment="1" applyProtection="1">
      <alignment horizontal="center"/>
      <protection locked="0"/>
    </xf>
    <xf numFmtId="166" fontId="9" fillId="6" borderId="8" xfId="1" applyNumberFormat="1" applyFont="1" applyFill="1" applyBorder="1" applyAlignment="1" applyProtection="1">
      <alignment horizontal="center"/>
      <protection locked="0"/>
    </xf>
    <xf numFmtId="166" fontId="9" fillId="6" borderId="13" xfId="1" applyNumberFormat="1" applyFont="1" applyFill="1" applyBorder="1" applyAlignment="1" applyProtection="1">
      <alignment horizontal="center"/>
      <protection locked="0"/>
    </xf>
    <xf numFmtId="166" fontId="9" fillId="6" borderId="3" xfId="1" applyNumberFormat="1" applyFont="1" applyFill="1" applyBorder="1" applyAlignment="1" applyProtection="1">
      <alignment horizontal="center"/>
      <protection locked="0"/>
    </xf>
    <xf numFmtId="166" fontId="9" fillId="6" borderId="0" xfId="1" applyNumberFormat="1" applyFont="1" applyFill="1" applyBorder="1" applyAlignment="1" applyProtection="1">
      <alignment horizontal="center"/>
      <protection locked="0"/>
    </xf>
    <xf numFmtId="166" fontId="9" fillId="6" borderId="7" xfId="1" applyNumberFormat="1" applyFont="1" applyFill="1" applyBorder="1" applyAlignment="1" applyProtection="1">
      <alignment horizontal="center"/>
      <protection locked="0"/>
    </xf>
    <xf numFmtId="166" fontId="9" fillId="6" borderId="4" xfId="1" applyNumberFormat="1" applyFont="1" applyFill="1" applyBorder="1" applyAlignment="1" applyProtection="1">
      <alignment horizontal="center"/>
      <protection locked="0"/>
    </xf>
    <xf numFmtId="166" fontId="9" fillId="6" borderId="5" xfId="1" applyNumberFormat="1" applyFont="1" applyFill="1" applyBorder="1" applyAlignment="1" applyProtection="1">
      <alignment horizontal="center"/>
      <protection locked="0"/>
    </xf>
    <xf numFmtId="166" fontId="9" fillId="6" borderId="6" xfId="1" applyNumberFormat="1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</xf>
    <xf numFmtId="164" fontId="24" fillId="10" borderId="12" xfId="1" applyNumberFormat="1" applyFont="1" applyFill="1" applyBorder="1" applyAlignment="1" applyProtection="1">
      <alignment horizontal="left" vertical="top" wrapText="1"/>
    </xf>
    <xf numFmtId="165" fontId="11" fillId="0" borderId="9" xfId="3" applyNumberFormat="1" applyFont="1" applyFill="1" applyBorder="1" applyAlignment="1" applyProtection="1">
      <alignment horizontal="left"/>
    </xf>
    <xf numFmtId="165" fontId="11" fillId="0" borderId="10" xfId="3" applyNumberFormat="1" applyFont="1" applyFill="1" applyBorder="1" applyAlignment="1" applyProtection="1">
      <alignment horizontal="left"/>
    </xf>
    <xf numFmtId="166" fontId="11" fillId="0" borderId="0" xfId="1" applyNumberFormat="1" applyFont="1" applyFill="1" applyBorder="1" applyAlignment="1" applyProtection="1">
      <alignment horizontal="left"/>
      <protection locked="0"/>
    </xf>
    <xf numFmtId="165" fontId="11" fillId="0" borderId="2" xfId="3" applyNumberFormat="1" applyFont="1" applyFill="1" applyBorder="1" applyAlignment="1" applyProtection="1">
      <alignment horizontal="left"/>
    </xf>
    <xf numFmtId="164" fontId="24" fillId="10" borderId="10" xfId="1" applyNumberFormat="1" applyFont="1" applyFill="1" applyBorder="1" applyAlignment="1" applyProtection="1">
      <alignment horizontal="center" vertical="top" wrapText="1"/>
    </xf>
    <xf numFmtId="164" fontId="24" fillId="10" borderId="2" xfId="1" applyNumberFormat="1" applyFont="1" applyFill="1" applyBorder="1" applyAlignment="1" applyProtection="1">
      <alignment horizontal="center" vertical="top" wrapText="1"/>
    </xf>
    <xf numFmtId="166" fontId="11" fillId="0" borderId="9" xfId="1" applyNumberFormat="1" applyFont="1" applyFill="1" applyBorder="1" applyAlignment="1" applyProtection="1">
      <alignment horizontal="left"/>
    </xf>
    <xf numFmtId="166" fontId="11" fillId="0" borderId="10" xfId="1" applyNumberFormat="1" applyFont="1" applyFill="1" applyBorder="1" applyAlignment="1" applyProtection="1">
      <alignment horizontal="left"/>
    </xf>
    <xf numFmtId="166" fontId="11" fillId="0" borderId="2" xfId="1" applyNumberFormat="1" applyFont="1" applyFill="1" applyBorder="1" applyAlignment="1" applyProtection="1">
      <alignment horizontal="left"/>
    </xf>
    <xf numFmtId="0" fontId="21" fillId="2" borderId="9" xfId="0" applyFont="1" applyFill="1" applyBorder="1" applyAlignment="1" applyProtection="1">
      <alignment horizontal="center" vertical="top" wrapText="1"/>
    </xf>
    <xf numFmtId="0" fontId="21" fillId="2" borderId="10" xfId="0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166" fontId="11" fillId="0" borderId="9" xfId="1" applyNumberFormat="1" applyFont="1" applyFill="1" applyBorder="1" applyAlignment="1" applyProtection="1">
      <alignment horizontal="left"/>
      <protection locked="0"/>
    </xf>
    <xf numFmtId="166" fontId="11" fillId="0" borderId="10" xfId="1" applyNumberFormat="1" applyFont="1" applyFill="1" applyBorder="1" applyAlignment="1" applyProtection="1">
      <alignment horizontal="left"/>
      <protection locked="0"/>
    </xf>
    <xf numFmtId="166" fontId="11" fillId="0" borderId="2" xfId="1" applyNumberFormat="1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left" vertical="top" wrapText="1"/>
    </xf>
    <xf numFmtId="166" fontId="11" fillId="6" borderId="11" xfId="1" applyNumberFormat="1" applyFont="1" applyFill="1" applyBorder="1" applyAlignment="1" applyProtection="1">
      <alignment horizontal="center"/>
      <protection locked="0"/>
    </xf>
    <xf numFmtId="166" fontId="11" fillId="6" borderId="8" xfId="1" applyNumberFormat="1" applyFont="1" applyFill="1" applyBorder="1" applyAlignment="1" applyProtection="1">
      <alignment horizontal="center"/>
      <protection locked="0"/>
    </xf>
    <xf numFmtId="166" fontId="11" fillId="6" borderId="13" xfId="1" applyNumberFormat="1" applyFont="1" applyFill="1" applyBorder="1" applyAlignment="1" applyProtection="1">
      <alignment horizontal="center"/>
      <protection locked="0"/>
    </xf>
    <xf numFmtId="166" fontId="11" fillId="6" borderId="3" xfId="1" applyNumberFormat="1" applyFont="1" applyFill="1" applyBorder="1" applyAlignment="1" applyProtection="1">
      <alignment horizontal="center"/>
      <protection locked="0"/>
    </xf>
    <xf numFmtId="166" fontId="11" fillId="6" borderId="0" xfId="1" applyNumberFormat="1" applyFont="1" applyFill="1" applyBorder="1" applyAlignment="1" applyProtection="1">
      <alignment horizontal="center"/>
      <protection locked="0"/>
    </xf>
    <xf numFmtId="166" fontId="11" fillId="6" borderId="7" xfId="1" applyNumberFormat="1" applyFont="1" applyFill="1" applyBorder="1" applyAlignment="1" applyProtection="1">
      <alignment horizontal="center"/>
      <protection locked="0"/>
    </xf>
    <xf numFmtId="166" fontId="11" fillId="6" borderId="4" xfId="1" applyNumberFormat="1" applyFont="1" applyFill="1" applyBorder="1" applyAlignment="1" applyProtection="1">
      <alignment horizontal="center"/>
      <protection locked="0"/>
    </xf>
    <xf numFmtId="166" fontId="11" fillId="6" borderId="5" xfId="1" applyNumberFormat="1" applyFont="1" applyFill="1" applyBorder="1" applyAlignment="1" applyProtection="1">
      <alignment horizontal="center"/>
      <protection locked="0"/>
    </xf>
    <xf numFmtId="166" fontId="11" fillId="6" borderId="6" xfId="1" applyNumberFormat="1" applyFont="1" applyFill="1" applyBorder="1" applyAlignment="1" applyProtection="1">
      <alignment horizontal="center"/>
      <protection locked="0"/>
    </xf>
    <xf numFmtId="0" fontId="39" fillId="16" borderId="9" xfId="0" applyFont="1" applyFill="1" applyBorder="1" applyAlignment="1" applyProtection="1">
      <alignment horizontal="center" vertical="top" wrapText="1"/>
    </xf>
    <xf numFmtId="0" fontId="39" fillId="16" borderId="10" xfId="0" applyFont="1" applyFill="1" applyBorder="1" applyAlignment="1" applyProtection="1">
      <alignment horizontal="center" vertical="top" wrapText="1"/>
    </xf>
    <xf numFmtId="0" fontId="39" fillId="16" borderId="2" xfId="0" applyFont="1" applyFill="1" applyBorder="1" applyAlignment="1" applyProtection="1">
      <alignment horizontal="center" vertical="top" wrapText="1"/>
    </xf>
    <xf numFmtId="0" fontId="39" fillId="2" borderId="11" xfId="0" applyFont="1" applyFill="1" applyBorder="1" applyAlignment="1" applyProtection="1">
      <alignment horizontal="center" vertical="top" wrapText="1"/>
    </xf>
    <xf numFmtId="0" fontId="39" fillId="2" borderId="8" xfId="0" applyFont="1" applyFill="1" applyBorder="1" applyAlignment="1" applyProtection="1">
      <alignment horizontal="center" vertical="top" wrapText="1"/>
    </xf>
    <xf numFmtId="0" fontId="39" fillId="2" borderId="13" xfId="0" applyFont="1" applyFill="1" applyBorder="1" applyAlignment="1" applyProtection="1">
      <alignment horizontal="center" vertical="top" wrapText="1"/>
    </xf>
    <xf numFmtId="1" fontId="15" fillId="0" borderId="9" xfId="1" applyNumberFormat="1" applyFont="1" applyFill="1" applyBorder="1" applyAlignment="1" applyProtection="1">
      <alignment horizontal="left"/>
    </xf>
    <xf numFmtId="1" fontId="15" fillId="0" borderId="10" xfId="1" applyNumberFormat="1" applyFont="1" applyFill="1" applyBorder="1" applyAlignment="1" applyProtection="1">
      <alignment horizontal="left"/>
    </xf>
    <xf numFmtId="1" fontId="15" fillId="0" borderId="2" xfId="1" applyNumberFormat="1" applyFont="1" applyFill="1" applyBorder="1" applyAlignment="1" applyProtection="1">
      <alignment horizontal="left"/>
    </xf>
    <xf numFmtId="165" fontId="15" fillId="0" borderId="11" xfId="3" applyNumberFormat="1" applyFont="1" applyFill="1" applyBorder="1" applyAlignment="1" applyProtection="1">
      <alignment horizontal="center"/>
    </xf>
    <xf numFmtId="165" fontId="15" fillId="0" borderId="8" xfId="3" applyNumberFormat="1" applyFont="1" applyFill="1" applyBorder="1" applyAlignment="1" applyProtection="1">
      <alignment horizontal="center"/>
    </xf>
    <xf numFmtId="165" fontId="15" fillId="0" borderId="13" xfId="3" applyNumberFormat="1" applyFont="1" applyFill="1" applyBorder="1" applyAlignment="1" applyProtection="1">
      <alignment horizontal="center"/>
    </xf>
    <xf numFmtId="165" fontId="15" fillId="0" borderId="3" xfId="3" applyNumberFormat="1" applyFont="1" applyFill="1" applyBorder="1" applyAlignment="1" applyProtection="1">
      <alignment horizontal="center"/>
    </xf>
    <xf numFmtId="165" fontId="15" fillId="0" borderId="0" xfId="3" applyNumberFormat="1" applyFont="1" applyFill="1" applyBorder="1" applyAlignment="1" applyProtection="1">
      <alignment horizontal="center"/>
    </xf>
    <xf numFmtId="165" fontId="15" fillId="0" borderId="7" xfId="3" applyNumberFormat="1" applyFont="1" applyFill="1" applyBorder="1" applyAlignment="1" applyProtection="1">
      <alignment horizontal="center"/>
    </xf>
    <xf numFmtId="165" fontId="15" fillId="0" borderId="4" xfId="3" applyNumberFormat="1" applyFont="1" applyFill="1" applyBorder="1" applyAlignment="1" applyProtection="1">
      <alignment horizontal="center"/>
    </xf>
    <xf numFmtId="165" fontId="15" fillId="0" borderId="5" xfId="3" applyNumberFormat="1" applyFont="1" applyFill="1" applyBorder="1" applyAlignment="1" applyProtection="1">
      <alignment horizontal="center"/>
    </xf>
    <xf numFmtId="165" fontId="15" fillId="0" borderId="6" xfId="3" applyNumberFormat="1" applyFont="1" applyFill="1" applyBorder="1" applyAlignment="1" applyProtection="1">
      <alignment horizontal="center"/>
    </xf>
    <xf numFmtId="0" fontId="39" fillId="5" borderId="11" xfId="0" applyFont="1" applyFill="1" applyBorder="1" applyAlignment="1" applyProtection="1">
      <alignment horizontal="center" vertical="center" wrapText="1"/>
    </xf>
    <xf numFmtId="0" fontId="39" fillId="5" borderId="8" xfId="0" applyFont="1" applyFill="1" applyBorder="1" applyAlignment="1" applyProtection="1">
      <alignment horizontal="center" vertical="center" wrapText="1"/>
    </xf>
    <xf numFmtId="0" fontId="39" fillId="5" borderId="13" xfId="0" applyFont="1" applyFill="1" applyBorder="1" applyAlignment="1" applyProtection="1">
      <alignment horizontal="center" vertical="center" wrapText="1"/>
    </xf>
    <xf numFmtId="0" fontId="39" fillId="5" borderId="4" xfId="0" applyFont="1" applyFill="1" applyBorder="1" applyAlignment="1" applyProtection="1">
      <alignment horizontal="center" vertical="center" wrapText="1"/>
    </xf>
    <xf numFmtId="0" fontId="39" fillId="5" borderId="5" xfId="0" applyFont="1" applyFill="1" applyBorder="1" applyAlignment="1" applyProtection="1">
      <alignment horizontal="center" vertical="center" wrapText="1"/>
    </xf>
    <xf numFmtId="0" fontId="39" fillId="5" borderId="6" xfId="0" applyFont="1" applyFill="1" applyBorder="1" applyAlignment="1" applyProtection="1">
      <alignment horizontal="center" vertical="center" wrapText="1"/>
    </xf>
    <xf numFmtId="0" fontId="39" fillId="2" borderId="9" xfId="0" applyFont="1" applyFill="1" applyBorder="1" applyAlignment="1" applyProtection="1">
      <alignment horizontal="center" vertical="top" wrapText="1"/>
    </xf>
    <xf numFmtId="0" fontId="39" fillId="2" borderId="10" xfId="0" applyFont="1" applyFill="1" applyBorder="1" applyAlignment="1" applyProtection="1">
      <alignment horizontal="center" vertical="top" wrapText="1"/>
    </xf>
    <xf numFmtId="0" fontId="15" fillId="2" borderId="10" xfId="0" applyFont="1" applyFill="1" applyBorder="1" applyProtection="1"/>
    <xf numFmtId="0" fontId="15" fillId="2" borderId="2" xfId="0" applyFont="1" applyFill="1" applyBorder="1" applyProtection="1"/>
    <xf numFmtId="164" fontId="15" fillId="14" borderId="9" xfId="1" applyNumberFormat="1" applyFont="1" applyFill="1" applyBorder="1" applyAlignment="1" applyProtection="1">
      <alignment horizontal="left"/>
    </xf>
    <xf numFmtId="164" fontId="15" fillId="14" borderId="10" xfId="1" applyNumberFormat="1" applyFont="1" applyFill="1" applyBorder="1" applyAlignment="1" applyProtection="1">
      <alignment horizontal="left"/>
    </xf>
    <xf numFmtId="164" fontId="15" fillId="14" borderId="2" xfId="1" applyNumberFormat="1" applyFont="1" applyFill="1" applyBorder="1" applyAlignment="1" applyProtection="1">
      <alignment horizontal="left"/>
    </xf>
    <xf numFmtId="0" fontId="15" fillId="0" borderId="9" xfId="0" applyFont="1" applyBorder="1" applyAlignment="1" applyProtection="1">
      <alignment horizontal="left"/>
    </xf>
    <xf numFmtId="0" fontId="15" fillId="0" borderId="10" xfId="0" applyFont="1" applyBorder="1" applyAlignment="1" applyProtection="1">
      <alignment horizontal="left"/>
    </xf>
    <xf numFmtId="0" fontId="15" fillId="0" borderId="2" xfId="0" applyFont="1" applyBorder="1" applyAlignment="1" applyProtection="1">
      <alignment horizontal="left"/>
    </xf>
    <xf numFmtId="164" fontId="15" fillId="0" borderId="9" xfId="1" applyNumberFormat="1" applyFont="1" applyFill="1" applyBorder="1" applyAlignment="1" applyProtection="1">
      <alignment horizontal="left"/>
    </xf>
    <xf numFmtId="164" fontId="15" fillId="0" borderId="10" xfId="1" applyNumberFormat="1" applyFont="1" applyFill="1" applyBorder="1" applyAlignment="1" applyProtection="1">
      <alignment horizontal="left"/>
    </xf>
    <xf numFmtId="164" fontId="15" fillId="0" borderId="2" xfId="1" applyNumberFormat="1" applyFont="1" applyFill="1" applyBorder="1" applyAlignment="1" applyProtection="1">
      <alignment horizontal="left"/>
    </xf>
    <xf numFmtId="165" fontId="15" fillId="0" borderId="9" xfId="3" applyNumberFormat="1" applyFont="1" applyFill="1" applyBorder="1" applyAlignment="1" applyProtection="1">
      <alignment horizontal="left"/>
    </xf>
    <xf numFmtId="165" fontId="15" fillId="0" borderId="10" xfId="3" applyNumberFormat="1" applyFont="1" applyFill="1" applyBorder="1" applyAlignment="1" applyProtection="1">
      <alignment horizontal="left"/>
    </xf>
    <xf numFmtId="165" fontId="15" fillId="0" borderId="2" xfId="3" applyNumberFormat="1" applyFont="1" applyFill="1" applyBorder="1" applyAlignment="1" applyProtection="1">
      <alignment horizontal="left"/>
    </xf>
    <xf numFmtId="1" fontId="70" fillId="0" borderId="9" xfId="1" applyNumberFormat="1" applyFont="1" applyFill="1" applyBorder="1" applyAlignment="1" applyProtection="1">
      <alignment horizontal="left"/>
    </xf>
    <xf numFmtId="1" fontId="70" fillId="0" borderId="10" xfId="1" applyNumberFormat="1" applyFont="1" applyFill="1" applyBorder="1" applyAlignment="1" applyProtection="1">
      <alignment horizontal="left"/>
    </xf>
    <xf numFmtId="1" fontId="70" fillId="0" borderId="2" xfId="1" applyNumberFormat="1" applyFont="1" applyFill="1" applyBorder="1" applyAlignment="1" applyProtection="1">
      <alignment horizontal="left"/>
    </xf>
    <xf numFmtId="1" fontId="15" fillId="0" borderId="11" xfId="1" applyNumberFormat="1" applyFont="1" applyFill="1" applyBorder="1" applyAlignment="1" applyProtection="1">
      <alignment horizontal="left"/>
    </xf>
    <xf numFmtId="1" fontId="15" fillId="0" borderId="8" xfId="1" applyNumberFormat="1" applyFont="1" applyFill="1" applyBorder="1" applyAlignment="1" applyProtection="1">
      <alignment horizontal="left"/>
    </xf>
    <xf numFmtId="1" fontId="15" fillId="0" borderId="13" xfId="1" applyNumberFormat="1" applyFont="1" applyFill="1" applyBorder="1" applyAlignment="1" applyProtection="1">
      <alignment horizontal="left"/>
    </xf>
    <xf numFmtId="1" fontId="15" fillId="0" borderId="4" xfId="1" applyNumberFormat="1" applyFont="1" applyFill="1" applyBorder="1" applyAlignment="1" applyProtection="1">
      <alignment horizontal="center"/>
    </xf>
    <xf numFmtId="1" fontId="15" fillId="0" borderId="5" xfId="1" applyNumberFormat="1" applyFont="1" applyFill="1" applyBorder="1" applyAlignment="1" applyProtection="1">
      <alignment horizontal="center"/>
    </xf>
    <xf numFmtId="1" fontId="15" fillId="0" borderId="6" xfId="1" applyNumberFormat="1" applyFont="1" applyFill="1" applyBorder="1" applyAlignment="1" applyProtection="1">
      <alignment horizontal="center"/>
    </xf>
    <xf numFmtId="166" fontId="15" fillId="6" borderId="11" xfId="1" applyNumberFormat="1" applyFont="1" applyFill="1" applyBorder="1" applyAlignment="1" applyProtection="1">
      <alignment horizontal="center"/>
      <protection locked="0"/>
    </xf>
    <xf numFmtId="166" fontId="15" fillId="6" borderId="8" xfId="1" applyNumberFormat="1" applyFont="1" applyFill="1" applyBorder="1" applyAlignment="1" applyProtection="1">
      <alignment horizontal="center"/>
      <protection locked="0"/>
    </xf>
    <xf numFmtId="166" fontId="15" fillId="6" borderId="13" xfId="1" applyNumberFormat="1" applyFont="1" applyFill="1" applyBorder="1" applyAlignment="1" applyProtection="1">
      <alignment horizontal="center"/>
      <protection locked="0"/>
    </xf>
    <xf numFmtId="166" fontId="15" fillId="6" borderId="3" xfId="1" applyNumberFormat="1" applyFont="1" applyFill="1" applyBorder="1" applyAlignment="1" applyProtection="1">
      <alignment horizontal="center"/>
      <protection locked="0"/>
    </xf>
    <xf numFmtId="166" fontId="15" fillId="6" borderId="0" xfId="1" applyNumberFormat="1" applyFont="1" applyFill="1" applyBorder="1" applyAlignment="1" applyProtection="1">
      <alignment horizontal="center"/>
      <protection locked="0"/>
    </xf>
    <xf numFmtId="166" fontId="15" fillId="6" borderId="7" xfId="1" applyNumberFormat="1" applyFont="1" applyFill="1" applyBorder="1" applyAlignment="1" applyProtection="1">
      <alignment horizontal="center"/>
      <protection locked="0"/>
    </xf>
    <xf numFmtId="166" fontId="15" fillId="6" borderId="4" xfId="1" applyNumberFormat="1" applyFont="1" applyFill="1" applyBorder="1" applyAlignment="1" applyProtection="1">
      <alignment horizontal="center"/>
      <protection locked="0"/>
    </xf>
    <xf numFmtId="166" fontId="15" fillId="6" borderId="5" xfId="1" applyNumberFormat="1" applyFont="1" applyFill="1" applyBorder="1" applyAlignment="1" applyProtection="1">
      <alignment horizontal="center"/>
      <protection locked="0"/>
    </xf>
    <xf numFmtId="166" fontId="15" fillId="6" borderId="6" xfId="1" applyNumberFormat="1" applyFont="1" applyFill="1" applyBorder="1" applyAlignment="1" applyProtection="1">
      <alignment horizontal="center"/>
      <protection locked="0"/>
    </xf>
    <xf numFmtId="166" fontId="15" fillId="0" borderId="0" xfId="1" applyNumberFormat="1" applyFont="1" applyFill="1" applyBorder="1" applyAlignment="1" applyProtection="1">
      <alignment horizontal="left"/>
      <protection locked="0"/>
    </xf>
    <xf numFmtId="167" fontId="24" fillId="10" borderId="9" xfId="1" applyNumberFormat="1" applyFont="1" applyFill="1" applyBorder="1" applyAlignment="1" applyProtection="1">
      <alignment horizontal="left" vertical="top" wrapText="1"/>
    </xf>
    <xf numFmtId="167" fontId="24" fillId="10" borderId="10" xfId="1" applyNumberFormat="1" applyFont="1" applyFill="1" applyBorder="1" applyAlignment="1" applyProtection="1">
      <alignment horizontal="left" vertical="top" wrapText="1"/>
    </xf>
    <xf numFmtId="0" fontId="21" fillId="5" borderId="11" xfId="0" applyFont="1" applyFill="1" applyBorder="1" applyAlignment="1" applyProtection="1">
      <alignment horizontal="center" vertical="center" wrapText="1"/>
    </xf>
    <xf numFmtId="0" fontId="21" fillId="5" borderId="8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21" fillId="5" borderId="6" xfId="0" applyFont="1" applyFill="1" applyBorder="1" applyAlignment="1" applyProtection="1">
      <alignment horizontal="center" vertical="center" wrapText="1"/>
    </xf>
    <xf numFmtId="0" fontId="25" fillId="27" borderId="9" xfId="0" applyFont="1" applyFill="1" applyBorder="1" applyAlignment="1" applyProtection="1">
      <alignment horizontal="center" vertical="top" wrapText="1"/>
    </xf>
    <xf numFmtId="0" fontId="25" fillId="27" borderId="10" xfId="0" applyFont="1" applyFill="1" applyBorder="1" applyAlignment="1" applyProtection="1">
      <alignment horizontal="center" vertical="top" wrapText="1"/>
    </xf>
    <xf numFmtId="0" fontId="25" fillId="27" borderId="2" xfId="0" applyFont="1" applyFill="1" applyBorder="1" applyAlignment="1" applyProtection="1">
      <alignment horizontal="center" vertical="top" wrapText="1"/>
    </xf>
    <xf numFmtId="165" fontId="25" fillId="27" borderId="9" xfId="0" applyNumberFormat="1" applyFont="1" applyFill="1" applyBorder="1" applyAlignment="1" applyProtection="1">
      <alignment horizontal="center" vertical="top" wrapText="1"/>
    </xf>
    <xf numFmtId="0" fontId="21" fillId="17" borderId="9" xfId="0" applyFont="1" applyFill="1" applyBorder="1" applyAlignment="1" applyProtection="1">
      <alignment horizontal="center" vertical="top" wrapText="1"/>
    </xf>
    <xf numFmtId="0" fontId="21" fillId="17" borderId="10" xfId="0" applyFont="1" applyFill="1" applyBorder="1" applyAlignment="1" applyProtection="1">
      <alignment horizontal="center" vertical="top" wrapText="1"/>
    </xf>
    <xf numFmtId="0" fontId="21" fillId="17" borderId="2" xfId="0" applyFont="1" applyFill="1" applyBorder="1" applyAlignment="1" applyProtection="1">
      <alignment horizontal="center" vertical="top" wrapText="1"/>
    </xf>
    <xf numFmtId="0" fontId="21" fillId="27" borderId="11" xfId="0" applyFont="1" applyFill="1" applyBorder="1" applyAlignment="1" applyProtection="1">
      <alignment horizontal="center" vertical="top" wrapText="1"/>
    </xf>
    <xf numFmtId="0" fontId="21" fillId="27" borderId="8" xfId="0" applyFont="1" applyFill="1" applyBorder="1" applyAlignment="1" applyProtection="1">
      <alignment horizontal="center" vertical="top" wrapText="1"/>
    </xf>
    <xf numFmtId="0" fontId="21" fillId="27" borderId="13" xfId="0" applyFont="1" applyFill="1" applyBorder="1" applyAlignment="1" applyProtection="1">
      <alignment horizontal="center" vertical="top" wrapText="1"/>
    </xf>
    <xf numFmtId="0" fontId="0" fillId="27" borderId="10" xfId="0" applyFill="1" applyBorder="1" applyProtection="1"/>
    <xf numFmtId="0" fontId="0" fillId="27" borderId="2" xfId="0" applyFill="1" applyBorder="1" applyProtection="1"/>
    <xf numFmtId="164" fontId="24" fillId="32" borderId="1" xfId="1" applyNumberFormat="1" applyFont="1" applyFill="1" applyBorder="1" applyAlignment="1" applyProtection="1">
      <alignment horizontal="left" vertical="top" wrapText="1"/>
    </xf>
    <xf numFmtId="165" fontId="11" fillId="17" borderId="8" xfId="3" applyNumberFormat="1" applyFont="1" applyFill="1" applyBorder="1" applyAlignment="1" applyProtection="1">
      <alignment horizontal="center"/>
    </xf>
    <xf numFmtId="1" fontId="11" fillId="17" borderId="9" xfId="1" applyNumberFormat="1" applyFont="1" applyFill="1" applyBorder="1" applyAlignment="1" applyProtection="1">
      <alignment horizontal="left"/>
    </xf>
    <xf numFmtId="1" fontId="11" fillId="17" borderId="10" xfId="1" applyNumberFormat="1" applyFont="1" applyFill="1" applyBorder="1" applyAlignment="1" applyProtection="1">
      <alignment horizontal="left"/>
    </xf>
    <xf numFmtId="1" fontId="11" fillId="17" borderId="2" xfId="1" applyNumberFormat="1" applyFont="1" applyFill="1" applyBorder="1" applyAlignment="1" applyProtection="1">
      <alignment horizontal="left"/>
    </xf>
    <xf numFmtId="165" fontId="11" fillId="17" borderId="11" xfId="3" applyNumberFormat="1" applyFont="1" applyFill="1" applyBorder="1" applyAlignment="1" applyProtection="1">
      <alignment horizontal="center"/>
    </xf>
    <xf numFmtId="165" fontId="11" fillId="17" borderId="13" xfId="3" applyNumberFormat="1" applyFont="1" applyFill="1" applyBorder="1" applyAlignment="1" applyProtection="1">
      <alignment horizontal="center"/>
    </xf>
    <xf numFmtId="165" fontId="11" fillId="17" borderId="3" xfId="3" applyNumberFormat="1" applyFont="1" applyFill="1" applyBorder="1" applyAlignment="1" applyProtection="1">
      <alignment horizontal="center"/>
    </xf>
    <xf numFmtId="165" fontId="11" fillId="17" borderId="0" xfId="3" applyNumberFormat="1" applyFont="1" applyFill="1" applyBorder="1" applyAlignment="1" applyProtection="1">
      <alignment horizontal="center"/>
    </xf>
    <xf numFmtId="165" fontId="11" fillId="17" borderId="7" xfId="3" applyNumberFormat="1" applyFont="1" applyFill="1" applyBorder="1" applyAlignment="1" applyProtection="1">
      <alignment horizontal="center"/>
    </xf>
    <xf numFmtId="165" fontId="11" fillId="17" borderId="4" xfId="3" applyNumberFormat="1" applyFont="1" applyFill="1" applyBorder="1" applyAlignment="1" applyProtection="1">
      <alignment horizontal="center"/>
    </xf>
    <xf numFmtId="165" fontId="11" fillId="17" borderId="5" xfId="3" applyNumberFormat="1" applyFont="1" applyFill="1" applyBorder="1" applyAlignment="1" applyProtection="1">
      <alignment horizontal="center"/>
    </xf>
    <xf numFmtId="165" fontId="11" fillId="17" borderId="6" xfId="3" applyNumberFormat="1" applyFont="1" applyFill="1" applyBorder="1" applyAlignment="1" applyProtection="1">
      <alignment horizontal="center"/>
    </xf>
    <xf numFmtId="0" fontId="25" fillId="27" borderId="11" xfId="0" applyFont="1" applyFill="1" applyBorder="1" applyAlignment="1" applyProtection="1">
      <alignment horizontal="center" vertical="center" wrapText="1"/>
    </xf>
    <xf numFmtId="0" fontId="25" fillId="27" borderId="8" xfId="0" applyFont="1" applyFill="1" applyBorder="1" applyAlignment="1" applyProtection="1">
      <alignment horizontal="center" vertical="center" wrapText="1"/>
    </xf>
    <xf numFmtId="0" fontId="25" fillId="27" borderId="13" xfId="0" applyFont="1" applyFill="1" applyBorder="1" applyAlignment="1" applyProtection="1">
      <alignment horizontal="center" vertical="center" wrapText="1"/>
    </xf>
    <xf numFmtId="0" fontId="25" fillId="27" borderId="4" xfId="0" applyFont="1" applyFill="1" applyBorder="1" applyAlignment="1" applyProtection="1">
      <alignment horizontal="center" vertical="center" wrapText="1"/>
    </xf>
    <xf numFmtId="0" fontId="25" fillId="27" borderId="5" xfId="0" applyFont="1" applyFill="1" applyBorder="1" applyAlignment="1" applyProtection="1">
      <alignment horizontal="center" vertical="center" wrapText="1"/>
    </xf>
    <xf numFmtId="0" fontId="25" fillId="27" borderId="6" xfId="0" applyFont="1" applyFill="1" applyBorder="1" applyAlignment="1" applyProtection="1">
      <alignment horizontal="center" vertical="center" wrapText="1"/>
    </xf>
    <xf numFmtId="0" fontId="11" fillId="17" borderId="9" xfId="0" applyFont="1" applyFill="1" applyBorder="1" applyAlignment="1" applyProtection="1">
      <alignment horizontal="left"/>
    </xf>
    <xf numFmtId="0" fontId="11" fillId="17" borderId="10" xfId="0" applyFont="1" applyFill="1" applyBorder="1" applyAlignment="1" applyProtection="1">
      <alignment horizontal="left"/>
    </xf>
    <xf numFmtId="0" fontId="11" fillId="17" borderId="2" xfId="0" applyFont="1" applyFill="1" applyBorder="1" applyAlignment="1" applyProtection="1">
      <alignment horizontal="left"/>
    </xf>
    <xf numFmtId="1" fontId="57" fillId="17" borderId="9" xfId="1" applyNumberFormat="1" applyFont="1" applyFill="1" applyBorder="1" applyAlignment="1" applyProtection="1">
      <alignment horizontal="left"/>
    </xf>
    <xf numFmtId="1" fontId="57" fillId="17" borderId="10" xfId="1" applyNumberFormat="1" applyFont="1" applyFill="1" applyBorder="1" applyAlignment="1" applyProtection="1">
      <alignment horizontal="left"/>
    </xf>
    <xf numFmtId="1" fontId="57" fillId="17" borderId="2" xfId="1" applyNumberFormat="1" applyFont="1" applyFill="1" applyBorder="1" applyAlignment="1" applyProtection="1">
      <alignment horizontal="left"/>
    </xf>
    <xf numFmtId="1" fontId="11" fillId="17" borderId="11" xfId="1" applyNumberFormat="1" applyFont="1" applyFill="1" applyBorder="1" applyAlignment="1" applyProtection="1">
      <alignment horizontal="left"/>
    </xf>
    <xf numFmtId="1" fontId="11" fillId="17" borderId="8" xfId="1" applyNumberFormat="1" applyFont="1" applyFill="1" applyBorder="1" applyAlignment="1" applyProtection="1">
      <alignment horizontal="left"/>
    </xf>
    <xf numFmtId="1" fontId="11" fillId="17" borderId="13" xfId="1" applyNumberFormat="1" applyFont="1" applyFill="1" applyBorder="1" applyAlignment="1" applyProtection="1">
      <alignment horizontal="left"/>
    </xf>
    <xf numFmtId="1" fontId="11" fillId="17" borderId="4" xfId="1" applyNumberFormat="1" applyFont="1" applyFill="1" applyBorder="1" applyAlignment="1" applyProtection="1">
      <alignment horizontal="center"/>
    </xf>
    <xf numFmtId="1" fontId="11" fillId="17" borderId="5" xfId="1" applyNumberFormat="1" applyFont="1" applyFill="1" applyBorder="1" applyAlignment="1" applyProtection="1">
      <alignment horizontal="center"/>
    </xf>
    <xf numFmtId="1" fontId="11" fillId="17" borderId="6" xfId="1" applyNumberFormat="1" applyFont="1" applyFill="1" applyBorder="1" applyAlignment="1" applyProtection="1">
      <alignment horizontal="center"/>
    </xf>
    <xf numFmtId="166" fontId="9" fillId="27" borderId="11" xfId="1" applyNumberFormat="1" applyFont="1" applyFill="1" applyBorder="1" applyAlignment="1" applyProtection="1">
      <alignment horizontal="center"/>
      <protection locked="0"/>
    </xf>
    <xf numFmtId="166" fontId="9" fillId="27" borderId="8" xfId="1" applyNumberFormat="1" applyFont="1" applyFill="1" applyBorder="1" applyAlignment="1" applyProtection="1">
      <alignment horizontal="center"/>
      <protection locked="0"/>
    </xf>
    <xf numFmtId="166" fontId="9" fillId="27" borderId="13" xfId="1" applyNumberFormat="1" applyFont="1" applyFill="1" applyBorder="1" applyAlignment="1" applyProtection="1">
      <alignment horizontal="center"/>
      <protection locked="0"/>
    </xf>
    <xf numFmtId="166" fontId="9" fillId="27" borderId="3" xfId="1" applyNumberFormat="1" applyFont="1" applyFill="1" applyBorder="1" applyAlignment="1" applyProtection="1">
      <alignment horizontal="center"/>
      <protection locked="0"/>
    </xf>
    <xf numFmtId="166" fontId="9" fillId="27" borderId="0" xfId="1" applyNumberFormat="1" applyFont="1" applyFill="1" applyBorder="1" applyAlignment="1" applyProtection="1">
      <alignment horizontal="center"/>
      <protection locked="0"/>
    </xf>
    <xf numFmtId="166" fontId="9" fillId="27" borderId="7" xfId="1" applyNumberFormat="1" applyFont="1" applyFill="1" applyBorder="1" applyAlignment="1" applyProtection="1">
      <alignment horizontal="center"/>
      <protection locked="0"/>
    </xf>
    <xf numFmtId="166" fontId="9" fillId="27" borderId="4" xfId="1" applyNumberFormat="1" applyFont="1" applyFill="1" applyBorder="1" applyAlignment="1" applyProtection="1">
      <alignment horizontal="center"/>
      <protection locked="0"/>
    </xf>
    <xf numFmtId="166" fontId="9" fillId="27" borderId="5" xfId="1" applyNumberFormat="1" applyFont="1" applyFill="1" applyBorder="1" applyAlignment="1" applyProtection="1">
      <alignment horizontal="center"/>
      <protection locked="0"/>
    </xf>
    <xf numFmtId="166" fontId="9" fillId="27" borderId="6" xfId="1" applyNumberFormat="1" applyFont="1" applyFill="1" applyBorder="1" applyAlignment="1" applyProtection="1">
      <alignment horizontal="center"/>
      <protection locked="0"/>
    </xf>
    <xf numFmtId="166" fontId="11" fillId="17" borderId="0" xfId="1" applyNumberFormat="1" applyFont="1" applyFill="1" applyBorder="1" applyAlignment="1" applyProtection="1">
      <alignment horizontal="left"/>
      <protection locked="0"/>
    </xf>
    <xf numFmtId="164" fontId="23" fillId="10" borderId="9" xfId="1" applyNumberFormat="1" applyFont="1" applyFill="1" applyBorder="1" applyAlignment="1" applyProtection="1">
      <alignment horizontal="left" vertical="center" wrapText="1"/>
    </xf>
    <xf numFmtId="164" fontId="23" fillId="10" borderId="2" xfId="1" applyNumberFormat="1" applyFont="1" applyFill="1" applyBorder="1" applyAlignment="1" applyProtection="1">
      <alignment horizontal="left" vertical="center" wrapText="1"/>
    </xf>
    <xf numFmtId="164" fontId="23" fillId="2" borderId="1" xfId="1" applyNumberFormat="1" applyFont="1" applyFill="1" applyBorder="1" applyAlignment="1" applyProtection="1">
      <alignment horizontal="center" vertical="center"/>
    </xf>
    <xf numFmtId="164" fontId="15" fillId="5" borderId="1" xfId="1" applyNumberFormat="1" applyFont="1" applyFill="1" applyBorder="1" applyAlignment="1" applyProtection="1">
      <alignment horizontal="center"/>
    </xf>
    <xf numFmtId="164" fontId="25" fillId="2" borderId="9" xfId="1" applyNumberFormat="1" applyFont="1" applyFill="1" applyBorder="1" applyAlignment="1" applyProtection="1">
      <alignment horizontal="center"/>
    </xf>
    <xf numFmtId="164" fontId="25" fillId="2" borderId="10" xfId="1" applyNumberFormat="1" applyFont="1" applyFill="1" applyBorder="1" applyAlignment="1" applyProtection="1">
      <alignment horizontal="center"/>
    </xf>
    <xf numFmtId="164" fontId="25" fillId="2" borderId="2" xfId="1" applyNumberFormat="1" applyFont="1" applyFill="1" applyBorder="1" applyAlignment="1" applyProtection="1">
      <alignment horizontal="center"/>
    </xf>
    <xf numFmtId="167" fontId="14" fillId="4" borderId="1" xfId="1" applyNumberFormat="1" applyFont="1" applyFill="1" applyBorder="1" applyAlignment="1" applyProtection="1">
      <alignment horizontal="center" vertical="center"/>
    </xf>
    <xf numFmtId="164" fontId="10" fillId="5" borderId="9" xfId="1" applyNumberFormat="1" applyFont="1" applyFill="1" applyBorder="1" applyAlignment="1" applyProtection="1">
      <alignment horizontal="left"/>
    </xf>
    <xf numFmtId="164" fontId="10" fillId="5" borderId="10" xfId="1" applyNumberFormat="1" applyFont="1" applyFill="1" applyBorder="1" applyAlignment="1" applyProtection="1">
      <alignment horizontal="left"/>
    </xf>
    <xf numFmtId="164" fontId="13" fillId="27" borderId="12" xfId="1" applyNumberFormat="1" applyFont="1" applyFill="1" applyBorder="1" applyAlignment="1" applyProtection="1">
      <alignment horizontal="center" vertical="center" wrapText="1"/>
    </xf>
    <xf numFmtId="164" fontId="13" fillId="27" borderId="11" xfId="1" applyNumberFormat="1" applyFont="1" applyFill="1" applyBorder="1" applyAlignment="1" applyProtection="1">
      <alignment horizontal="center" vertical="center" wrapText="1"/>
    </xf>
    <xf numFmtId="164" fontId="10" fillId="27" borderId="40" xfId="1" applyNumberFormat="1" applyFont="1" applyFill="1" applyBorder="1" applyAlignment="1" applyProtection="1">
      <alignment horizontal="center"/>
    </xf>
    <xf numFmtId="164" fontId="10" fillId="27" borderId="41" xfId="1" applyNumberFormat="1" applyFont="1" applyFill="1" applyBorder="1" applyAlignment="1" applyProtection="1">
      <alignment horizontal="center"/>
    </xf>
    <xf numFmtId="164" fontId="35" fillId="27" borderId="9" xfId="1" applyNumberFormat="1" applyFont="1" applyFill="1" applyBorder="1" applyAlignment="1" applyProtection="1">
      <alignment horizontal="center" vertical="center"/>
    </xf>
    <xf numFmtId="164" fontId="35" fillId="27" borderId="10" xfId="1" applyNumberFormat="1" applyFont="1" applyFill="1" applyBorder="1" applyAlignment="1" applyProtection="1">
      <alignment horizontal="center" vertical="center"/>
    </xf>
    <xf numFmtId="164" fontId="35" fillId="27" borderId="2" xfId="1" applyNumberFormat="1" applyFont="1" applyFill="1" applyBorder="1" applyAlignment="1" applyProtection="1">
      <alignment horizontal="center" vertical="center"/>
    </xf>
    <xf numFmtId="167" fontId="14" fillId="27" borderId="1" xfId="1" applyNumberFormat="1" applyFont="1" applyFill="1" applyBorder="1" applyAlignment="1" applyProtection="1">
      <alignment horizontal="center" vertical="center"/>
    </xf>
    <xf numFmtId="167" fontId="14" fillId="27" borderId="2" xfId="1" applyNumberFormat="1" applyFont="1" applyFill="1" applyBorder="1" applyAlignment="1" applyProtection="1">
      <alignment horizontal="center" vertical="center"/>
    </xf>
    <xf numFmtId="167" fontId="14" fillId="27" borderId="9" xfId="1" applyNumberFormat="1" applyFont="1" applyFill="1" applyBorder="1" applyAlignment="1" applyProtection="1">
      <alignment horizontal="center" vertical="center"/>
    </xf>
    <xf numFmtId="167" fontId="14" fillId="27" borderId="10" xfId="1" applyNumberFormat="1" applyFont="1" applyFill="1" applyBorder="1" applyAlignment="1" applyProtection="1">
      <alignment horizontal="center" vertical="center"/>
    </xf>
    <xf numFmtId="164" fontId="13" fillId="27" borderId="8" xfId="1" applyNumberFormat="1" applyFont="1" applyFill="1" applyBorder="1" applyAlignment="1" applyProtection="1">
      <alignment horizontal="center" vertical="center" wrapText="1"/>
    </xf>
    <xf numFmtId="164" fontId="10" fillId="5" borderId="25" xfId="1" applyNumberFormat="1" applyFont="1" applyFill="1" applyBorder="1" applyAlignment="1" applyProtection="1">
      <alignment horizontal="left"/>
    </xf>
    <xf numFmtId="164" fontId="10" fillId="5" borderId="26" xfId="1" applyNumberFormat="1" applyFont="1" applyFill="1" applyBorder="1" applyAlignment="1" applyProtection="1">
      <alignment horizontal="left"/>
    </xf>
    <xf numFmtId="164" fontId="10" fillId="2" borderId="9" xfId="1" applyNumberFormat="1" applyFont="1" applyFill="1" applyBorder="1" applyAlignment="1" applyProtection="1">
      <alignment horizontal="center" vertical="center"/>
    </xf>
    <xf numFmtId="164" fontId="10" fillId="2" borderId="10" xfId="1" applyNumberFormat="1" applyFont="1" applyFill="1" applyBorder="1" applyAlignment="1" applyProtection="1">
      <alignment horizontal="center" vertical="center"/>
    </xf>
    <xf numFmtId="164" fontId="10" fillId="2" borderId="2" xfId="1" applyNumberFormat="1" applyFont="1" applyFill="1" applyBorder="1" applyAlignment="1" applyProtection="1">
      <alignment horizontal="center" vertical="center"/>
    </xf>
    <xf numFmtId="164" fontId="10" fillId="5" borderId="1" xfId="1" applyNumberFormat="1" applyFont="1" applyFill="1" applyBorder="1" applyAlignment="1" applyProtection="1">
      <alignment horizontal="center"/>
    </xf>
    <xf numFmtId="167" fontId="14" fillId="3" borderId="1" xfId="1" applyNumberFormat="1" applyFont="1" applyFill="1" applyBorder="1" applyAlignment="1" applyProtection="1">
      <alignment horizontal="center" vertical="center"/>
    </xf>
    <xf numFmtId="164" fontId="14" fillId="5" borderId="9" xfId="1" applyNumberFormat="1" applyFont="1" applyFill="1" applyBorder="1" applyAlignment="1" applyProtection="1">
      <alignment horizontal="center"/>
    </xf>
    <xf numFmtId="164" fontId="14" fillId="5" borderId="2" xfId="1" applyNumberFormat="1" applyFont="1" applyFill="1" applyBorder="1" applyAlignment="1" applyProtection="1">
      <alignment horizontal="center"/>
    </xf>
    <xf numFmtId="164" fontId="14" fillId="5" borderId="9" xfId="1" applyNumberFormat="1" applyFont="1" applyFill="1" applyBorder="1" applyAlignment="1" applyProtection="1">
      <alignment horizontal="left"/>
    </xf>
    <xf numFmtId="164" fontId="14" fillId="5" borderId="2" xfId="1" applyNumberFormat="1" applyFont="1" applyFill="1" applyBorder="1" applyAlignment="1" applyProtection="1">
      <alignment horizontal="left"/>
    </xf>
    <xf numFmtId="0" fontId="39" fillId="2" borderId="9" xfId="0" applyFont="1" applyFill="1" applyBorder="1" applyAlignment="1" applyProtection="1">
      <alignment horizontal="center"/>
    </xf>
    <xf numFmtId="0" fontId="39" fillId="2" borderId="10" xfId="0" applyFont="1" applyFill="1" applyBorder="1" applyAlignment="1" applyProtection="1">
      <alignment horizontal="center"/>
    </xf>
    <xf numFmtId="0" fontId="39" fillId="2" borderId="2" xfId="0" applyFont="1" applyFill="1" applyBorder="1" applyAlignment="1" applyProtection="1">
      <alignment horizontal="center"/>
    </xf>
    <xf numFmtId="0" fontId="25" fillId="2" borderId="9" xfId="1" applyNumberFormat="1" applyFont="1" applyFill="1" applyBorder="1" applyAlignment="1" applyProtection="1">
      <alignment horizontal="center" vertical="center"/>
    </xf>
    <xf numFmtId="0" fontId="25" fillId="2" borderId="10" xfId="1" applyNumberFormat="1" applyFont="1" applyFill="1" applyBorder="1" applyAlignment="1" applyProtection="1">
      <alignment horizontal="center" vertical="center"/>
    </xf>
    <xf numFmtId="0" fontId="25" fillId="2" borderId="2" xfId="1" applyNumberFormat="1" applyFont="1" applyFill="1" applyBorder="1" applyAlignment="1" applyProtection="1">
      <alignment horizontal="center" vertical="center"/>
    </xf>
    <xf numFmtId="164" fontId="10" fillId="2" borderId="9" xfId="1" applyNumberFormat="1" applyFont="1" applyFill="1" applyBorder="1" applyAlignment="1" applyProtection="1">
      <alignment horizontal="center"/>
    </xf>
    <xf numFmtId="164" fontId="10" fillId="2" borderId="10" xfId="1" applyNumberFormat="1" applyFont="1" applyFill="1" applyBorder="1" applyAlignment="1" applyProtection="1">
      <alignment horizontal="center"/>
    </xf>
    <xf numFmtId="165" fontId="9" fillId="0" borderId="5" xfId="3" applyNumberFormat="1" applyFont="1" applyFill="1" applyBorder="1" applyAlignment="1" applyProtection="1">
      <alignment horizontal="center"/>
    </xf>
    <xf numFmtId="0" fontId="10" fillId="16" borderId="9" xfId="0" applyFont="1" applyFill="1" applyBorder="1" applyAlignment="1" applyProtection="1">
      <alignment horizontal="center" vertical="top" wrapText="1"/>
    </xf>
    <xf numFmtId="0" fontId="10" fillId="16" borderId="10" xfId="0" applyFont="1" applyFill="1" applyBorder="1" applyAlignment="1" applyProtection="1">
      <alignment horizontal="center" vertical="top" wrapText="1"/>
    </xf>
    <xf numFmtId="0" fontId="10" fillId="16" borderId="2" xfId="0" applyFont="1" applyFill="1" applyBorder="1" applyAlignment="1" applyProtection="1">
      <alignment horizontal="center" vertical="top" wrapText="1"/>
    </xf>
    <xf numFmtId="1" fontId="9" fillId="0" borderId="9" xfId="1" applyNumberFormat="1" applyFont="1" applyFill="1" applyBorder="1" applyAlignment="1" applyProtection="1">
      <alignment horizontal="left"/>
    </xf>
    <xf numFmtId="1" fontId="9" fillId="0" borderId="10" xfId="1" applyNumberFormat="1" applyFont="1" applyFill="1" applyBorder="1" applyAlignment="1" applyProtection="1">
      <alignment horizontal="left"/>
    </xf>
    <xf numFmtId="1" fontId="9" fillId="0" borderId="2" xfId="1" applyNumberFormat="1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 vertical="top"/>
    </xf>
    <xf numFmtId="165" fontId="10" fillId="2" borderId="9" xfId="0" applyNumberFormat="1" applyFont="1" applyFill="1" applyBorder="1" applyAlignment="1" applyProtection="1">
      <alignment horizontal="center" vertical="top" wrapText="1"/>
    </xf>
    <xf numFmtId="0" fontId="10" fillId="2" borderId="11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13" xfId="0" applyFont="1" applyFill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left"/>
    </xf>
    <xf numFmtId="0" fontId="9" fillId="0" borderId="10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10" fillId="5" borderId="11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16" borderId="9" xfId="0" applyFont="1" applyFill="1" applyBorder="1" applyAlignment="1" applyProtection="1">
      <alignment horizontal="center" vertical="center" wrapText="1"/>
    </xf>
    <xf numFmtId="0" fontId="10" fillId="16" borderId="10" xfId="0" applyFont="1" applyFill="1" applyBorder="1" applyAlignment="1" applyProtection="1">
      <alignment horizontal="center" vertical="center" wrapText="1"/>
    </xf>
    <xf numFmtId="0" fontId="10" fillId="16" borderId="2" xfId="0" applyFont="1" applyFill="1" applyBorder="1" applyAlignment="1" applyProtection="1">
      <alignment horizontal="center" vertical="center" wrapText="1"/>
    </xf>
    <xf numFmtId="165" fontId="9" fillId="0" borderId="9" xfId="3" applyNumberFormat="1" applyFont="1" applyFill="1" applyBorder="1" applyAlignment="1" applyProtection="1">
      <alignment horizontal="left"/>
    </xf>
    <xf numFmtId="165" fontId="9" fillId="0" borderId="10" xfId="3" applyNumberFormat="1" applyFont="1" applyFill="1" applyBorder="1" applyAlignment="1" applyProtection="1">
      <alignment horizontal="left"/>
    </xf>
    <xf numFmtId="165" fontId="9" fillId="0" borderId="2" xfId="3" applyNumberFormat="1" applyFont="1" applyFill="1" applyBorder="1" applyAlignment="1" applyProtection="1">
      <alignment horizontal="left"/>
    </xf>
    <xf numFmtId="1" fontId="9" fillId="0" borderId="11" xfId="1" applyNumberFormat="1" applyFont="1" applyFill="1" applyBorder="1" applyAlignment="1" applyProtection="1">
      <alignment horizontal="left"/>
    </xf>
    <xf numFmtId="1" fontId="9" fillId="0" borderId="8" xfId="1" applyNumberFormat="1" applyFont="1" applyFill="1" applyBorder="1" applyAlignment="1" applyProtection="1">
      <alignment horizontal="left"/>
    </xf>
    <xf numFmtId="1" fontId="9" fillId="0" borderId="13" xfId="1" applyNumberFormat="1" applyFont="1" applyFill="1" applyBorder="1" applyAlignment="1" applyProtection="1">
      <alignment horizontal="left"/>
    </xf>
    <xf numFmtId="1" fontId="9" fillId="0" borderId="4" xfId="1" applyNumberFormat="1" applyFont="1" applyFill="1" applyBorder="1" applyAlignment="1" applyProtection="1">
      <alignment horizontal="center"/>
    </xf>
    <xf numFmtId="1" fontId="9" fillId="0" borderId="5" xfId="1" applyNumberFormat="1" applyFont="1" applyFill="1" applyBorder="1" applyAlignment="1" applyProtection="1">
      <alignment horizontal="center"/>
    </xf>
    <xf numFmtId="1" fontId="9" fillId="0" borderId="6" xfId="1" applyNumberFormat="1" applyFont="1" applyFill="1" applyBorder="1" applyAlignment="1" applyProtection="1">
      <alignment horizontal="center"/>
    </xf>
    <xf numFmtId="0" fontId="9" fillId="2" borderId="10" xfId="0" applyFont="1" applyFill="1" applyBorder="1" applyProtection="1"/>
    <xf numFmtId="0" fontId="9" fillId="2" borderId="2" xfId="0" applyFont="1" applyFill="1" applyBorder="1" applyProtection="1"/>
    <xf numFmtId="164" fontId="9" fillId="2" borderId="9" xfId="1" applyNumberFormat="1" applyFont="1" applyFill="1" applyBorder="1" applyAlignment="1" applyProtection="1">
      <alignment horizontal="left" wrapText="1"/>
    </xf>
    <xf numFmtId="164" fontId="9" fillId="2" borderId="10" xfId="1" applyNumberFormat="1" applyFont="1" applyFill="1" applyBorder="1" applyAlignment="1" applyProtection="1">
      <alignment horizontal="left" wrapText="1"/>
    </xf>
    <xf numFmtId="164" fontId="9" fillId="2" borderId="2" xfId="1" applyNumberFormat="1" applyFont="1" applyFill="1" applyBorder="1" applyAlignment="1" applyProtection="1">
      <alignment horizontal="left" wrapText="1"/>
    </xf>
    <xf numFmtId="0" fontId="9" fillId="0" borderId="8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164" fontId="10" fillId="5" borderId="1" xfId="1" applyNumberFormat="1" applyFont="1" applyFill="1" applyBorder="1" applyAlignment="1" applyProtection="1">
      <alignment horizontal="left"/>
    </xf>
  </cellXfs>
  <cellStyles count="11">
    <cellStyle name="Comma" xfId="1" builtinId="3"/>
    <cellStyle name="Comma 2" xfId="10"/>
    <cellStyle name="Comma 3" xfId="8"/>
    <cellStyle name="Comma 9" xfId="9"/>
    <cellStyle name="Komma 2" xfId="2"/>
    <cellStyle name="Normal" xfId="0" builtinId="0"/>
    <cellStyle name="Normal 2" xfId="7"/>
    <cellStyle name="Percent" xfId="3" builtinId="5"/>
    <cellStyle name="Prozent 2" xfId="4"/>
    <cellStyle name="Prozent 2 2" xfId="6"/>
    <cellStyle name="Standard 2" xfId="5"/>
  </cellStyles>
  <dxfs count="0"/>
  <tableStyles count="0" defaultTableStyle="TableStyleMedium2" defaultPivotStyle="PivotStyleLight16"/>
  <colors>
    <mruColors>
      <color rgb="FF00FFFF"/>
      <color rgb="FFFFFF66"/>
      <color rgb="FFFFFF99"/>
      <color rgb="FFDDDD31"/>
      <color rgb="FFE9EE20"/>
      <color rgb="FF92D050"/>
      <color rgb="FFFF99FF"/>
      <color rgb="FFFFCC00"/>
      <color rgb="FFFFBC15"/>
      <color rgb="FF6AF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37592011524875"/>
          <c:y val="3.6255214173407851E-2"/>
          <c:w val="0.7485725139620707"/>
          <c:h val="0.92321381384965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'(F3) Grafiku shpenz.nenfunks.Br'!$D$3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shpenz.nenfunks.Br'!$D$6:$D$32</c:f>
              <c:numCache>
                <c:formatCode>_ * #,##0_ ;_ * \-#,##0_ ;_ * "-"??_ ;_ @_ </c:formatCode>
                <c:ptCount val="27"/>
                <c:pt idx="0">
                  <c:v>196792965</c:v>
                </c:pt>
                <c:pt idx="1">
                  <c:v>4415703</c:v>
                </c:pt>
                <c:pt idx="2">
                  <c:v>0</c:v>
                </c:pt>
                <c:pt idx="3">
                  <c:v>11570753</c:v>
                </c:pt>
                <c:pt idx="4">
                  <c:v>0</c:v>
                </c:pt>
                <c:pt idx="5">
                  <c:v>1585692</c:v>
                </c:pt>
                <c:pt idx="6">
                  <c:v>5930122</c:v>
                </c:pt>
                <c:pt idx="7">
                  <c:v>213152994</c:v>
                </c:pt>
                <c:pt idx="8">
                  <c:v>0</c:v>
                </c:pt>
                <c:pt idx="9">
                  <c:v>37620677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311473</c:v>
                </c:pt>
                <c:pt idx="14">
                  <c:v>48731493</c:v>
                </c:pt>
                <c:pt idx="15">
                  <c:v>11999999</c:v>
                </c:pt>
                <c:pt idx="16">
                  <c:v>17084331</c:v>
                </c:pt>
                <c:pt idx="17">
                  <c:v>0</c:v>
                </c:pt>
                <c:pt idx="18">
                  <c:v>24247564</c:v>
                </c:pt>
                <c:pt idx="19">
                  <c:v>1020083</c:v>
                </c:pt>
                <c:pt idx="20">
                  <c:v>162011189</c:v>
                </c:pt>
                <c:pt idx="21">
                  <c:v>28558839</c:v>
                </c:pt>
                <c:pt idx="22">
                  <c:v>0</c:v>
                </c:pt>
                <c:pt idx="23">
                  <c:v>0</c:v>
                </c:pt>
                <c:pt idx="24">
                  <c:v>754931278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2C9-BC9D-D5AC217090F8}"/>
            </c:ext>
          </c:extLst>
        </c:ser>
        <c:ser>
          <c:idx val="1"/>
          <c:order val="1"/>
          <c:tx>
            <c:strRef>
              <c:f>'(F3) Grafiku shpenz.nenfunks.Br'!$E$3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shpenz.nenfunks.Br'!$E$6:$E$32</c:f>
              <c:numCache>
                <c:formatCode>_ * #,##0_ ;_ * \-#,##0_ ;_ * "-"??_ ;_ @_ </c:formatCode>
                <c:ptCount val="27"/>
                <c:pt idx="0">
                  <c:v>310542368</c:v>
                </c:pt>
                <c:pt idx="1">
                  <c:v>5108041</c:v>
                </c:pt>
                <c:pt idx="2">
                  <c:v>0</c:v>
                </c:pt>
                <c:pt idx="3">
                  <c:v>13488330</c:v>
                </c:pt>
                <c:pt idx="4">
                  <c:v>0</c:v>
                </c:pt>
                <c:pt idx="5">
                  <c:v>1603935</c:v>
                </c:pt>
                <c:pt idx="6">
                  <c:v>28000050</c:v>
                </c:pt>
                <c:pt idx="7">
                  <c:v>84739057</c:v>
                </c:pt>
                <c:pt idx="8">
                  <c:v>0</c:v>
                </c:pt>
                <c:pt idx="9">
                  <c:v>105911830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1379258</c:v>
                </c:pt>
                <c:pt idx="14">
                  <c:v>72282837</c:v>
                </c:pt>
                <c:pt idx="15">
                  <c:v>272714</c:v>
                </c:pt>
                <c:pt idx="16">
                  <c:v>19881683</c:v>
                </c:pt>
                <c:pt idx="17">
                  <c:v>0</c:v>
                </c:pt>
                <c:pt idx="18">
                  <c:v>10803448</c:v>
                </c:pt>
                <c:pt idx="19">
                  <c:v>17381102</c:v>
                </c:pt>
                <c:pt idx="20">
                  <c:v>171800051</c:v>
                </c:pt>
                <c:pt idx="21">
                  <c:v>41191090</c:v>
                </c:pt>
                <c:pt idx="22">
                  <c:v>0</c:v>
                </c:pt>
                <c:pt idx="23">
                  <c:v>0</c:v>
                </c:pt>
                <c:pt idx="24">
                  <c:v>937920190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7-42C9-BC9D-D5AC217090F8}"/>
            </c:ext>
          </c:extLst>
        </c:ser>
        <c:ser>
          <c:idx val="5"/>
          <c:order val="2"/>
          <c:tx>
            <c:strRef>
              <c:f>'(F3) Grafiku shpenz.nenfunks.Br'!$F$3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shpenz.nenfunks.Br'!$F$6:$F$32</c:f>
              <c:numCache>
                <c:formatCode>_ * #,##0_ ;_ * \-#,##0_ ;_ * "-"??_ ;_ @_ </c:formatCode>
                <c:ptCount val="27"/>
                <c:pt idx="0">
                  <c:v>431325564</c:v>
                </c:pt>
                <c:pt idx="1">
                  <c:v>900000</c:v>
                </c:pt>
                <c:pt idx="2">
                  <c:v>0</c:v>
                </c:pt>
                <c:pt idx="3">
                  <c:v>20596534</c:v>
                </c:pt>
                <c:pt idx="4">
                  <c:v>0</c:v>
                </c:pt>
                <c:pt idx="5">
                  <c:v>1675575</c:v>
                </c:pt>
                <c:pt idx="6">
                  <c:v>50350489</c:v>
                </c:pt>
                <c:pt idx="7">
                  <c:v>175922899</c:v>
                </c:pt>
                <c:pt idx="8">
                  <c:v>0</c:v>
                </c:pt>
                <c:pt idx="9">
                  <c:v>140388286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14372555</c:v>
                </c:pt>
                <c:pt idx="14">
                  <c:v>193698859</c:v>
                </c:pt>
                <c:pt idx="15">
                  <c:v>59359820</c:v>
                </c:pt>
                <c:pt idx="16">
                  <c:v>26000000</c:v>
                </c:pt>
                <c:pt idx="17">
                  <c:v>0</c:v>
                </c:pt>
                <c:pt idx="18">
                  <c:v>20764388</c:v>
                </c:pt>
                <c:pt idx="19">
                  <c:v>35846037</c:v>
                </c:pt>
                <c:pt idx="20">
                  <c:v>216831061</c:v>
                </c:pt>
                <c:pt idx="21">
                  <c:v>23292569</c:v>
                </c:pt>
                <c:pt idx="22">
                  <c:v>0</c:v>
                </c:pt>
                <c:pt idx="23">
                  <c:v>0</c:v>
                </c:pt>
                <c:pt idx="24">
                  <c:v>940463352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2C9-BC9D-D5AC217090F8}"/>
            </c:ext>
          </c:extLst>
        </c:ser>
        <c:ser>
          <c:idx val="9"/>
          <c:order val="3"/>
          <c:tx>
            <c:strRef>
              <c:f>'(F3) Grafiku shpenz.nenfunks.Br'!$G$3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shpenz.nenfunks.Br'!$G$6:$G$32</c:f>
              <c:numCache>
                <c:formatCode>_ * #,##0_ ;_ * \-#,##0_ ;_ * "-"??_ ;_ @_ </c:formatCode>
                <c:ptCount val="27"/>
                <c:pt idx="0">
                  <c:v>378732688</c:v>
                </c:pt>
                <c:pt idx="1">
                  <c:v>0</c:v>
                </c:pt>
                <c:pt idx="2">
                  <c:v>0</c:v>
                </c:pt>
                <c:pt idx="3">
                  <c:v>17429650</c:v>
                </c:pt>
                <c:pt idx="4">
                  <c:v>0</c:v>
                </c:pt>
                <c:pt idx="5">
                  <c:v>1710000</c:v>
                </c:pt>
                <c:pt idx="6">
                  <c:v>42344600</c:v>
                </c:pt>
                <c:pt idx="7">
                  <c:v>205545310</c:v>
                </c:pt>
                <c:pt idx="8">
                  <c:v>0</c:v>
                </c:pt>
                <c:pt idx="9">
                  <c:v>150000000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99335900</c:v>
                </c:pt>
                <c:pt idx="15">
                  <c:v>0</c:v>
                </c:pt>
                <c:pt idx="16">
                  <c:v>36800000</c:v>
                </c:pt>
                <c:pt idx="17">
                  <c:v>0</c:v>
                </c:pt>
                <c:pt idx="18">
                  <c:v>15705000</c:v>
                </c:pt>
                <c:pt idx="19">
                  <c:v>34798500</c:v>
                </c:pt>
                <c:pt idx="20">
                  <c:v>211383000</c:v>
                </c:pt>
                <c:pt idx="21">
                  <c:v>9835000</c:v>
                </c:pt>
                <c:pt idx="22">
                  <c:v>0</c:v>
                </c:pt>
                <c:pt idx="23">
                  <c:v>0</c:v>
                </c:pt>
                <c:pt idx="24">
                  <c:v>957789000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4"/>
          <c:tx>
            <c:strRef>
              <c:f>'(F3) Grafiku shpenz.nenfunks.Br'!$H$3</c:f>
              <c:strCache>
                <c:ptCount val="1"/>
                <c:pt idx="0">
                  <c:v>2023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shpenz.nenfunks.Br'!$H$6:$H$32</c:f>
              <c:numCache>
                <c:formatCode>_ * #,##0_ ;_ * \-#,##0_ ;_ * "-"??_ ;_ @_ </c:formatCode>
                <c:ptCount val="27"/>
                <c:pt idx="0">
                  <c:v>320188860</c:v>
                </c:pt>
                <c:pt idx="1">
                  <c:v>0</c:v>
                </c:pt>
                <c:pt idx="2">
                  <c:v>0</c:v>
                </c:pt>
                <c:pt idx="3">
                  <c:v>17429650</c:v>
                </c:pt>
                <c:pt idx="4">
                  <c:v>0</c:v>
                </c:pt>
                <c:pt idx="5">
                  <c:v>1725000</c:v>
                </c:pt>
                <c:pt idx="6">
                  <c:v>44176460</c:v>
                </c:pt>
                <c:pt idx="7">
                  <c:v>208462000</c:v>
                </c:pt>
                <c:pt idx="8">
                  <c:v>0</c:v>
                </c:pt>
                <c:pt idx="9">
                  <c:v>150000000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102823000</c:v>
                </c:pt>
                <c:pt idx="15">
                  <c:v>0</c:v>
                </c:pt>
                <c:pt idx="16">
                  <c:v>37700000</c:v>
                </c:pt>
                <c:pt idx="17">
                  <c:v>0</c:v>
                </c:pt>
                <c:pt idx="18">
                  <c:v>16795000</c:v>
                </c:pt>
                <c:pt idx="19">
                  <c:v>34848500</c:v>
                </c:pt>
                <c:pt idx="20">
                  <c:v>217722000</c:v>
                </c:pt>
                <c:pt idx="21">
                  <c:v>10130000</c:v>
                </c:pt>
                <c:pt idx="22">
                  <c:v>0</c:v>
                </c:pt>
                <c:pt idx="23">
                  <c:v>0</c:v>
                </c:pt>
                <c:pt idx="24">
                  <c:v>957789000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5"/>
          <c:tx>
            <c:strRef>
              <c:f>'(F3) Grafiku shpenz.nenfunks.Br'!$I$3</c:f>
              <c:strCache>
                <c:ptCount val="1"/>
                <c:pt idx="0">
                  <c:v>2024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'(F3) Grafiku shpenz.nenfunks.Br'!$C$6:$C$32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'(F3) Grafiku shpenz.nenfunks.Br'!$I$6:$I$32</c:f>
              <c:numCache>
                <c:formatCode>_ * #,##0_ ;_ * \-#,##0_ ;_ * "-"??_ ;_ @_ </c:formatCode>
                <c:ptCount val="27"/>
                <c:pt idx="0">
                  <c:v>319549283</c:v>
                </c:pt>
                <c:pt idx="1">
                  <c:v>0</c:v>
                </c:pt>
                <c:pt idx="2">
                  <c:v>0</c:v>
                </c:pt>
                <c:pt idx="3">
                  <c:v>17429650</c:v>
                </c:pt>
                <c:pt idx="4">
                  <c:v>0</c:v>
                </c:pt>
                <c:pt idx="5">
                  <c:v>1770000</c:v>
                </c:pt>
                <c:pt idx="6">
                  <c:v>46049240</c:v>
                </c:pt>
                <c:pt idx="7">
                  <c:v>214454600</c:v>
                </c:pt>
                <c:pt idx="8">
                  <c:v>0</c:v>
                </c:pt>
                <c:pt idx="9">
                  <c:v>150000000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106667600</c:v>
                </c:pt>
                <c:pt idx="15">
                  <c:v>0</c:v>
                </c:pt>
                <c:pt idx="16">
                  <c:v>48600000</c:v>
                </c:pt>
                <c:pt idx="17">
                  <c:v>0</c:v>
                </c:pt>
                <c:pt idx="18">
                  <c:v>17368600</c:v>
                </c:pt>
                <c:pt idx="19">
                  <c:v>34858500</c:v>
                </c:pt>
                <c:pt idx="20">
                  <c:v>224469000</c:v>
                </c:pt>
                <c:pt idx="21">
                  <c:v>10435000</c:v>
                </c:pt>
                <c:pt idx="22">
                  <c:v>0</c:v>
                </c:pt>
                <c:pt idx="23">
                  <c:v>0</c:v>
                </c:pt>
                <c:pt idx="24">
                  <c:v>957789000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6-4F25-8EDA-BFC535A0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83680"/>
        <c:axId val="107785216"/>
      </c:barChart>
      <c:catAx>
        <c:axId val="107783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de-CH" b="1"/>
            </a:pPr>
            <a:endParaRPr lang="en-US"/>
          </a:p>
        </c:txPr>
        <c:crossAx val="107785216"/>
        <c:crosses val="autoZero"/>
        <c:auto val="1"/>
        <c:lblAlgn val="ctr"/>
        <c:lblOffset val="100"/>
        <c:noMultiLvlLbl val="0"/>
      </c:catAx>
      <c:valAx>
        <c:axId val="107785216"/>
        <c:scaling>
          <c:orientation val="minMax"/>
        </c:scaling>
        <c:delete val="0"/>
        <c:axPos val="t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107783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55603575870806"/>
          <c:y val="0.97108666744674244"/>
          <c:w val="0.44684782823199726"/>
          <c:h val="2.1532317995030012E-2"/>
        </c:manualLayout>
      </c:layout>
      <c:overlay val="0"/>
      <c:txPr>
        <a:bodyPr/>
        <a:lstStyle/>
        <a:p>
          <a:pPr>
            <a:defRPr lang="de-CH"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75534684670426"/>
          <c:y val="5.1923388455980546E-2"/>
          <c:w val="0.59579356797267757"/>
          <c:h val="0.88255668496457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'(F5)Grafiku i shpenz.nenf.neto'!$D$3:$D$3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shpenz.nenf.neto'!$D$4:$D$30</c:f>
              <c:numCache>
                <c:formatCode>_ * #,##0_ ;_ * \-#,##0_ ;_ * "-"??_ ;_ @_ </c:formatCode>
                <c:ptCount val="27"/>
                <c:pt idx="0">
                  <c:v>61712979</c:v>
                </c:pt>
                <c:pt idx="1">
                  <c:v>4415703</c:v>
                </c:pt>
                <c:pt idx="2">
                  <c:v>0</c:v>
                </c:pt>
                <c:pt idx="3">
                  <c:v>-6478126</c:v>
                </c:pt>
                <c:pt idx="4">
                  <c:v>0</c:v>
                </c:pt>
                <c:pt idx="5">
                  <c:v>-82041</c:v>
                </c:pt>
                <c:pt idx="6">
                  <c:v>-17252704</c:v>
                </c:pt>
                <c:pt idx="7">
                  <c:v>183207764</c:v>
                </c:pt>
                <c:pt idx="8">
                  <c:v>0</c:v>
                </c:pt>
                <c:pt idx="9">
                  <c:v>-37298791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-26349394</c:v>
                </c:pt>
                <c:pt idx="14">
                  <c:v>6568834</c:v>
                </c:pt>
                <c:pt idx="15">
                  <c:v>11999999</c:v>
                </c:pt>
                <c:pt idx="16">
                  <c:v>-680801</c:v>
                </c:pt>
                <c:pt idx="17">
                  <c:v>0</c:v>
                </c:pt>
                <c:pt idx="18">
                  <c:v>24095664</c:v>
                </c:pt>
                <c:pt idx="19">
                  <c:v>761183</c:v>
                </c:pt>
                <c:pt idx="20">
                  <c:v>37753972</c:v>
                </c:pt>
                <c:pt idx="21">
                  <c:v>18720794</c:v>
                </c:pt>
                <c:pt idx="22">
                  <c:v>0</c:v>
                </c:pt>
                <c:pt idx="23">
                  <c:v>0</c:v>
                </c:pt>
                <c:pt idx="24">
                  <c:v>3265002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2C9-BC9D-D5AC217090F8}"/>
            </c:ext>
          </c:extLst>
        </c:ser>
        <c:ser>
          <c:idx val="1"/>
          <c:order val="1"/>
          <c:tx>
            <c:strRef>
              <c:f>'(F5)Grafiku i shpenz.nenf.neto'!$E$3:$E$3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shpenz.nenf.neto'!$E$4:$E$30</c:f>
              <c:numCache>
                <c:formatCode>_ * #,##0_ ;_ * \-#,##0_ ;_ * "-"??_ ;_ @_ </c:formatCode>
                <c:ptCount val="27"/>
                <c:pt idx="0">
                  <c:v>290303420</c:v>
                </c:pt>
                <c:pt idx="1">
                  <c:v>5108041</c:v>
                </c:pt>
                <c:pt idx="2">
                  <c:v>0</c:v>
                </c:pt>
                <c:pt idx="3">
                  <c:v>-6763802</c:v>
                </c:pt>
                <c:pt idx="4">
                  <c:v>0</c:v>
                </c:pt>
                <c:pt idx="5">
                  <c:v>-71640</c:v>
                </c:pt>
                <c:pt idx="6">
                  <c:v>4318678</c:v>
                </c:pt>
                <c:pt idx="7">
                  <c:v>20657767</c:v>
                </c:pt>
                <c:pt idx="8">
                  <c:v>0</c:v>
                </c:pt>
                <c:pt idx="9">
                  <c:v>28151146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1379258</c:v>
                </c:pt>
                <c:pt idx="14">
                  <c:v>29138856</c:v>
                </c:pt>
                <c:pt idx="15">
                  <c:v>272714</c:v>
                </c:pt>
                <c:pt idx="16">
                  <c:v>2306709</c:v>
                </c:pt>
                <c:pt idx="17">
                  <c:v>0</c:v>
                </c:pt>
                <c:pt idx="18">
                  <c:v>10765948</c:v>
                </c:pt>
                <c:pt idx="19">
                  <c:v>17369102</c:v>
                </c:pt>
                <c:pt idx="20">
                  <c:v>35764463</c:v>
                </c:pt>
                <c:pt idx="21">
                  <c:v>30654651</c:v>
                </c:pt>
                <c:pt idx="22">
                  <c:v>0</c:v>
                </c:pt>
                <c:pt idx="23">
                  <c:v>0</c:v>
                </c:pt>
                <c:pt idx="24">
                  <c:v>5976172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7-42C9-BC9D-D5AC217090F8}"/>
            </c:ext>
          </c:extLst>
        </c:ser>
        <c:ser>
          <c:idx val="5"/>
          <c:order val="2"/>
          <c:tx>
            <c:strRef>
              <c:f>'(F5)Grafiku i shpenz.nenf.neto'!$F$3:$F$3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shpenz.nenf.neto'!$F$4:$F$30</c:f>
              <c:numCache>
                <c:formatCode>_ * #,##0_ ;_ * \-#,##0_ ;_ * "-"??_ ;_ @_ </c:formatCode>
                <c:ptCount val="27"/>
                <c:pt idx="0">
                  <c:v>79327198</c:v>
                </c:pt>
                <c:pt idx="1">
                  <c:v>900000</c:v>
                </c:pt>
                <c:pt idx="2">
                  <c:v>0</c:v>
                </c:pt>
                <c:pt idx="3">
                  <c:v>6314534</c:v>
                </c:pt>
                <c:pt idx="4">
                  <c:v>0</c:v>
                </c:pt>
                <c:pt idx="5">
                  <c:v>0</c:v>
                </c:pt>
                <c:pt idx="6">
                  <c:v>24912489</c:v>
                </c:pt>
                <c:pt idx="7">
                  <c:v>150619899</c:v>
                </c:pt>
                <c:pt idx="8">
                  <c:v>0</c:v>
                </c:pt>
                <c:pt idx="9">
                  <c:v>17288286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-50512445</c:v>
                </c:pt>
                <c:pt idx="14">
                  <c:v>118698859</c:v>
                </c:pt>
                <c:pt idx="15">
                  <c:v>59359820</c:v>
                </c:pt>
                <c:pt idx="16">
                  <c:v>-3060000</c:v>
                </c:pt>
                <c:pt idx="17">
                  <c:v>0</c:v>
                </c:pt>
                <c:pt idx="18">
                  <c:v>20414388</c:v>
                </c:pt>
                <c:pt idx="19">
                  <c:v>35466037</c:v>
                </c:pt>
                <c:pt idx="20">
                  <c:v>74356627</c:v>
                </c:pt>
                <c:pt idx="21">
                  <c:v>13744569</c:v>
                </c:pt>
                <c:pt idx="22">
                  <c:v>0</c:v>
                </c:pt>
                <c:pt idx="23">
                  <c:v>0</c:v>
                </c:pt>
                <c:pt idx="24">
                  <c:v>6000927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2C9-BC9D-D5AC217090F8}"/>
            </c:ext>
          </c:extLst>
        </c:ser>
        <c:ser>
          <c:idx val="9"/>
          <c:order val="3"/>
          <c:tx>
            <c:strRef>
              <c:f>'(F5)Grafiku i shpenz.nenf.neto'!$G$3:$G$3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shpenz.nenf.neto'!$G$4:$G$30</c:f>
              <c:numCache>
                <c:formatCode>_ * #,##0_ ;_ * \-#,##0_ ;_ * "-"??_ ;_ @_ </c:formatCode>
                <c:ptCount val="27"/>
                <c:pt idx="0">
                  <c:v>370728688</c:v>
                </c:pt>
                <c:pt idx="1">
                  <c:v>0</c:v>
                </c:pt>
                <c:pt idx="2">
                  <c:v>0</c:v>
                </c:pt>
                <c:pt idx="3">
                  <c:v>3347650</c:v>
                </c:pt>
                <c:pt idx="4">
                  <c:v>0</c:v>
                </c:pt>
                <c:pt idx="5">
                  <c:v>0</c:v>
                </c:pt>
                <c:pt idx="6">
                  <c:v>18906600</c:v>
                </c:pt>
                <c:pt idx="7">
                  <c:v>185242310</c:v>
                </c:pt>
                <c:pt idx="8">
                  <c:v>0</c:v>
                </c:pt>
                <c:pt idx="9">
                  <c:v>27653625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26640261</c:v>
                </c:pt>
                <c:pt idx="15">
                  <c:v>0</c:v>
                </c:pt>
                <c:pt idx="16">
                  <c:v>8320115</c:v>
                </c:pt>
                <c:pt idx="17">
                  <c:v>0</c:v>
                </c:pt>
                <c:pt idx="18">
                  <c:v>15705000</c:v>
                </c:pt>
                <c:pt idx="19">
                  <c:v>34798500</c:v>
                </c:pt>
                <c:pt idx="20">
                  <c:v>85659000</c:v>
                </c:pt>
                <c:pt idx="21">
                  <c:v>287000</c:v>
                </c:pt>
                <c:pt idx="22">
                  <c:v>0</c:v>
                </c:pt>
                <c:pt idx="23">
                  <c:v>0</c:v>
                </c:pt>
                <c:pt idx="24">
                  <c:v>13781000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4"/>
          <c:tx>
            <c:strRef>
              <c:f>'(F5)Grafiku i shpenz.nenf.neto'!$H$3:$H$3</c:f>
              <c:strCache>
                <c:ptCount val="1"/>
                <c:pt idx="0">
                  <c:v>2023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shpenz.nenf.neto'!$H$4:$H$30</c:f>
              <c:numCache>
                <c:formatCode>_ * #,##0_ ;_ * \-#,##0_ ;_ * "-"??_ ;_ @_ </c:formatCode>
                <c:ptCount val="27"/>
                <c:pt idx="0">
                  <c:v>312184860</c:v>
                </c:pt>
                <c:pt idx="1">
                  <c:v>0</c:v>
                </c:pt>
                <c:pt idx="2">
                  <c:v>0</c:v>
                </c:pt>
                <c:pt idx="3">
                  <c:v>3347650</c:v>
                </c:pt>
                <c:pt idx="4">
                  <c:v>0</c:v>
                </c:pt>
                <c:pt idx="5">
                  <c:v>0</c:v>
                </c:pt>
                <c:pt idx="6">
                  <c:v>20738460</c:v>
                </c:pt>
                <c:pt idx="7">
                  <c:v>188159000</c:v>
                </c:pt>
                <c:pt idx="8">
                  <c:v>0</c:v>
                </c:pt>
                <c:pt idx="9">
                  <c:v>25818430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29100872</c:v>
                </c:pt>
                <c:pt idx="15">
                  <c:v>0</c:v>
                </c:pt>
                <c:pt idx="16">
                  <c:v>8792917</c:v>
                </c:pt>
                <c:pt idx="17">
                  <c:v>0</c:v>
                </c:pt>
                <c:pt idx="18">
                  <c:v>16795000</c:v>
                </c:pt>
                <c:pt idx="19">
                  <c:v>34848500</c:v>
                </c:pt>
                <c:pt idx="20">
                  <c:v>91998000</c:v>
                </c:pt>
                <c:pt idx="21">
                  <c:v>582000</c:v>
                </c:pt>
                <c:pt idx="22">
                  <c:v>0</c:v>
                </c:pt>
                <c:pt idx="23">
                  <c:v>0</c:v>
                </c:pt>
                <c:pt idx="24">
                  <c:v>13781000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5"/>
          <c:tx>
            <c:strRef>
              <c:f>'(F5)Grafiku i shpenz.nenf.neto'!$I$3:$I$3</c:f>
              <c:strCache>
                <c:ptCount val="1"/>
                <c:pt idx="0">
                  <c:v>2024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'(F5)Grafiku i shpenz.nenf.neto'!$C$4:$C$30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'(F5)Grafiku i shpenz.nenf.neto'!$I$4:$I$30</c:f>
              <c:numCache>
                <c:formatCode>_ * #,##0_ ;_ * \-#,##0_ ;_ * "-"??_ ;_ @_ </c:formatCode>
                <c:ptCount val="27"/>
                <c:pt idx="0">
                  <c:v>311545283</c:v>
                </c:pt>
                <c:pt idx="1">
                  <c:v>0</c:v>
                </c:pt>
                <c:pt idx="2">
                  <c:v>0</c:v>
                </c:pt>
                <c:pt idx="3">
                  <c:v>3347650</c:v>
                </c:pt>
                <c:pt idx="4">
                  <c:v>0</c:v>
                </c:pt>
                <c:pt idx="5">
                  <c:v>0</c:v>
                </c:pt>
                <c:pt idx="6">
                  <c:v>22611240</c:v>
                </c:pt>
                <c:pt idx="7">
                  <c:v>194151600</c:v>
                </c:pt>
                <c:pt idx="8">
                  <c:v>0</c:v>
                </c:pt>
                <c:pt idx="9">
                  <c:v>23955706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31839640</c:v>
                </c:pt>
                <c:pt idx="15">
                  <c:v>0</c:v>
                </c:pt>
                <c:pt idx="16">
                  <c:v>19259310</c:v>
                </c:pt>
                <c:pt idx="17">
                  <c:v>0</c:v>
                </c:pt>
                <c:pt idx="18">
                  <c:v>17368600</c:v>
                </c:pt>
                <c:pt idx="19">
                  <c:v>34858500</c:v>
                </c:pt>
                <c:pt idx="20">
                  <c:v>98745000</c:v>
                </c:pt>
                <c:pt idx="21">
                  <c:v>887000</c:v>
                </c:pt>
                <c:pt idx="22">
                  <c:v>0</c:v>
                </c:pt>
                <c:pt idx="23">
                  <c:v>0</c:v>
                </c:pt>
                <c:pt idx="24">
                  <c:v>13781000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5-4F1A-95EE-29D940A1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60672"/>
        <c:axId val="95944704"/>
      </c:barChart>
      <c:catAx>
        <c:axId val="99260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de-CH" b="1"/>
            </a:pPr>
            <a:endParaRPr lang="en-US"/>
          </a:p>
        </c:txPr>
        <c:crossAx val="95944704"/>
        <c:crosses val="autoZero"/>
        <c:auto val="1"/>
        <c:lblAlgn val="ctr"/>
        <c:lblOffset val="100"/>
        <c:noMultiLvlLbl val="0"/>
      </c:catAx>
      <c:valAx>
        <c:axId val="95944704"/>
        <c:scaling>
          <c:orientation val="minMax"/>
        </c:scaling>
        <c:delete val="0"/>
        <c:axPos val="t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en-US"/>
          </a:p>
        </c:txPr>
        <c:crossAx val="99260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1682952281794"/>
          <c:y val="0.94278340272464523"/>
          <c:w val="0.49341976831212414"/>
          <c:h val="4.4263627943133252E-2"/>
        </c:manualLayout>
      </c:layout>
      <c:overlay val="0"/>
      <c:txPr>
        <a:bodyPr/>
        <a:lstStyle/>
        <a:p>
          <a:pPr>
            <a:defRPr lang="de-CH"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46557734720833E-2"/>
          <c:y val="2.3320177279037443E-2"/>
          <c:w val="0.94740348078599457"/>
          <c:h val="0.63295340509724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(F7) Grafiku shpenz.funksion b'!$D$3</c:f>
              <c:strCache>
                <c:ptCount val="1"/>
                <c:pt idx="0">
                  <c:v>2019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b'!$D$4:$D$12</c:f>
              <c:numCache>
                <c:formatCode>_ * #,##0_ ;_ * \-#,##0_ ;_ * "-"??_ ;_ @_ </c:formatCode>
                <c:ptCount val="9"/>
                <c:pt idx="0">
                  <c:v>201208668</c:v>
                </c:pt>
                <c:pt idx="1">
                  <c:v>11570753</c:v>
                </c:pt>
                <c:pt idx="2">
                  <c:v>220668808</c:v>
                </c:pt>
                <c:pt idx="3">
                  <c:v>37620677</c:v>
                </c:pt>
                <c:pt idx="4">
                  <c:v>78127296</c:v>
                </c:pt>
                <c:pt idx="5">
                  <c:v>0</c:v>
                </c:pt>
                <c:pt idx="6">
                  <c:v>25267647</c:v>
                </c:pt>
                <c:pt idx="7">
                  <c:v>190570028</c:v>
                </c:pt>
                <c:pt idx="8">
                  <c:v>754931278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2C9-BC9D-D5AC217090F8}"/>
            </c:ext>
          </c:extLst>
        </c:ser>
        <c:ser>
          <c:idx val="1"/>
          <c:order val="1"/>
          <c:tx>
            <c:strRef>
              <c:f>' (F7) Grafiku shpenz.funksion b'!$E$3</c:f>
              <c:strCache>
                <c:ptCount val="1"/>
                <c:pt idx="0">
                  <c:v>2020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b'!$E$4:$E$12</c:f>
              <c:numCache>
                <c:formatCode>_ * #,##0_ ;_ * \-#,##0_ ;_ * "-"??_ ;_ @_ </c:formatCode>
                <c:ptCount val="9"/>
                <c:pt idx="0">
                  <c:v>315650409</c:v>
                </c:pt>
                <c:pt idx="1">
                  <c:v>13488330</c:v>
                </c:pt>
                <c:pt idx="2">
                  <c:v>114343042</c:v>
                </c:pt>
                <c:pt idx="3">
                  <c:v>105911830</c:v>
                </c:pt>
                <c:pt idx="4">
                  <c:v>93816492</c:v>
                </c:pt>
                <c:pt idx="5">
                  <c:v>0</c:v>
                </c:pt>
                <c:pt idx="6">
                  <c:v>28184550</c:v>
                </c:pt>
                <c:pt idx="7">
                  <c:v>212991141</c:v>
                </c:pt>
                <c:pt idx="8">
                  <c:v>937920190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7-42C9-BC9D-D5AC217090F8}"/>
            </c:ext>
          </c:extLst>
        </c:ser>
        <c:ser>
          <c:idx val="5"/>
          <c:order val="2"/>
          <c:tx>
            <c:strRef>
              <c:f>' (F7) Grafiku shpenz.funksion b'!$F$3</c:f>
              <c:strCache>
                <c:ptCount val="1"/>
                <c:pt idx="0">
                  <c:v>2021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b'!$F$4:$F$12</c:f>
              <c:numCache>
                <c:formatCode>_ * #,##0_ ;_ * \-#,##0_ ;_ * "-"??_ ;_ @_ </c:formatCode>
                <c:ptCount val="9"/>
                <c:pt idx="0">
                  <c:v>432225564</c:v>
                </c:pt>
                <c:pt idx="1">
                  <c:v>20596534</c:v>
                </c:pt>
                <c:pt idx="2">
                  <c:v>227948963</c:v>
                </c:pt>
                <c:pt idx="3">
                  <c:v>140388286</c:v>
                </c:pt>
                <c:pt idx="4">
                  <c:v>293431234</c:v>
                </c:pt>
                <c:pt idx="5">
                  <c:v>0</c:v>
                </c:pt>
                <c:pt idx="6">
                  <c:v>56610425</c:v>
                </c:pt>
                <c:pt idx="7">
                  <c:v>240123630</c:v>
                </c:pt>
                <c:pt idx="8">
                  <c:v>940463352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2C9-BC9D-D5AC217090F8}"/>
            </c:ext>
          </c:extLst>
        </c:ser>
        <c:ser>
          <c:idx val="9"/>
          <c:order val="3"/>
          <c:tx>
            <c:strRef>
              <c:f>' (F7) Grafiku shpenz.funksion b'!$G$3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b'!$G$4:$G$12</c:f>
              <c:numCache>
                <c:formatCode>_ * #,##0_ ;_ * \-#,##0_ ;_ * "-"??_ ;_ @_ </c:formatCode>
                <c:ptCount val="9"/>
                <c:pt idx="0">
                  <c:v>378732688</c:v>
                </c:pt>
                <c:pt idx="1">
                  <c:v>17429650</c:v>
                </c:pt>
                <c:pt idx="2">
                  <c:v>249599910</c:v>
                </c:pt>
                <c:pt idx="3">
                  <c:v>150000000</c:v>
                </c:pt>
                <c:pt idx="4">
                  <c:v>136135900</c:v>
                </c:pt>
                <c:pt idx="5">
                  <c:v>0</c:v>
                </c:pt>
                <c:pt idx="6">
                  <c:v>50503500</c:v>
                </c:pt>
                <c:pt idx="7">
                  <c:v>221218000</c:v>
                </c:pt>
                <c:pt idx="8">
                  <c:v>957789000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4"/>
          <c:tx>
            <c:strRef>
              <c:f>' (F7) Grafiku shpenz.funksion b'!$H$3</c:f>
              <c:strCache>
                <c:ptCount val="1"/>
                <c:pt idx="0">
                  <c:v>2023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b'!$H$4:$H$12</c:f>
              <c:numCache>
                <c:formatCode>_ * #,##0_ ;_ * \-#,##0_ ;_ * "-"??_ ;_ @_ </c:formatCode>
                <c:ptCount val="9"/>
                <c:pt idx="0">
                  <c:v>320188860</c:v>
                </c:pt>
                <c:pt idx="1">
                  <c:v>17429650</c:v>
                </c:pt>
                <c:pt idx="2">
                  <c:v>254363460</c:v>
                </c:pt>
                <c:pt idx="3">
                  <c:v>150000000</c:v>
                </c:pt>
                <c:pt idx="4">
                  <c:v>140523000</c:v>
                </c:pt>
                <c:pt idx="5">
                  <c:v>0</c:v>
                </c:pt>
                <c:pt idx="6">
                  <c:v>51643500</c:v>
                </c:pt>
                <c:pt idx="7">
                  <c:v>227852000</c:v>
                </c:pt>
                <c:pt idx="8">
                  <c:v>957789000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5"/>
          <c:tx>
            <c:strRef>
              <c:f>' (F7) Grafiku shpenz.funksion b'!$I$3</c:f>
              <c:strCache>
                <c:ptCount val="1"/>
                <c:pt idx="0">
                  <c:v>2024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 (F7) Grafiku shpenz.funksion b'!$C$4:$C$12</c:f>
              <c:strCache>
                <c:ptCount val="9"/>
                <c:pt idx="0">
                  <c:v> 01 Shërbimet e Përgjithshme Publike </c:v>
                </c:pt>
                <c:pt idx="1">
                  <c:v> 03 Rendi dhe Siguria Publike </c:v>
                </c:pt>
                <c:pt idx="2">
                  <c:v> 04 Çeshtjet Ekonomike </c:v>
                </c:pt>
                <c:pt idx="3">
                  <c:v> 05 Mbrojtja Mjedisore </c:v>
                </c:pt>
                <c:pt idx="4">
                  <c:v> 06 Strehimi dhe Komoditetet e Komunitetit </c:v>
                </c:pt>
                <c:pt idx="5">
                  <c:v> 07 Shëndetësia </c:v>
                </c:pt>
                <c:pt idx="6">
                  <c:v> 08 Argëtimi, Kultura dhe Feja </c:v>
                </c:pt>
                <c:pt idx="7">
                  <c:v> 09 Arsimi </c:v>
                </c:pt>
                <c:pt idx="8">
                  <c:v> 10 Mbrojtja Sociale </c:v>
                </c:pt>
              </c:strCache>
            </c:strRef>
          </c:cat>
          <c:val>
            <c:numRef>
              <c:f>' (F7) Grafiku shpenz.funksion b'!$I$4:$I$12</c:f>
              <c:numCache>
                <c:formatCode>_ * #,##0_ ;_ * \-#,##0_ ;_ * "-"??_ ;_ @_ </c:formatCode>
                <c:ptCount val="9"/>
                <c:pt idx="0">
                  <c:v>319549283</c:v>
                </c:pt>
                <c:pt idx="1">
                  <c:v>17429650</c:v>
                </c:pt>
                <c:pt idx="2">
                  <c:v>262273840</c:v>
                </c:pt>
                <c:pt idx="3">
                  <c:v>150000000</c:v>
                </c:pt>
                <c:pt idx="4">
                  <c:v>155267600</c:v>
                </c:pt>
                <c:pt idx="5">
                  <c:v>0</c:v>
                </c:pt>
                <c:pt idx="6">
                  <c:v>52227100</c:v>
                </c:pt>
                <c:pt idx="7">
                  <c:v>234904000</c:v>
                </c:pt>
                <c:pt idx="8">
                  <c:v>957789000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5-4F1A-95EE-29D940A1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87968"/>
        <c:axId val="93989504"/>
      </c:barChart>
      <c:catAx>
        <c:axId val="939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lang="de-CH" sz="1100" b="1"/>
            </a:pPr>
            <a:endParaRPr lang="en-US"/>
          </a:p>
        </c:txPr>
        <c:crossAx val="93989504"/>
        <c:crosses val="autoZero"/>
        <c:auto val="1"/>
        <c:lblAlgn val="ctr"/>
        <c:lblOffset val="100"/>
        <c:noMultiLvlLbl val="0"/>
      </c:catAx>
      <c:valAx>
        <c:axId val="93989504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de-CH"/>
            </a:pPr>
            <a:endParaRPr lang="en-US"/>
          </a:p>
        </c:txPr>
        <c:crossAx val="93987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914092061695585"/>
          <c:y val="2.4974146097741793E-2"/>
          <c:w val="0.37760282960274894"/>
          <c:h val="6.0983035584332303E-2"/>
        </c:manualLayout>
      </c:layout>
      <c:overlay val="0"/>
      <c:txPr>
        <a:bodyPr/>
        <a:lstStyle/>
        <a:p>
          <a:pPr>
            <a:defRPr lang="de-CH"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33366352277623E-2"/>
          <c:y val="0.13804080045550021"/>
          <c:w val="0.93447901695616864"/>
          <c:h val="0.822796872613228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'(F9) Grafiku shpenz.programit'!$B$8</c:f>
              <c:strCache>
                <c:ptCount val="1"/>
                <c:pt idx="0">
                  <c:v>E detyrueshme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'(F9) Grafiku shpenz.programit'!$C$7:$H$7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'(F9) Grafiku shpenz.programit'!$C$8:$H$8</c:f>
              <c:numCache>
                <c:formatCode>General</c:formatCode>
                <c:ptCount val="6"/>
                <c:pt idx="0">
                  <c:v>1519965155</c:v>
                </c:pt>
                <c:pt idx="1">
                  <c:v>1822305984</c:v>
                </c:pt>
                <c:pt idx="2">
                  <c:v>2351787988</c:v>
                </c:pt>
                <c:pt idx="3">
                  <c:v>2124608648</c:v>
                </c:pt>
                <c:pt idx="4">
                  <c:v>2082089470</c:v>
                </c:pt>
                <c:pt idx="5">
                  <c:v>2100840473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9-44F6-9B99-AC2569F8F16A}"/>
            </c:ext>
          </c:extLst>
        </c:ser>
        <c:ser>
          <c:idx val="2"/>
          <c:order val="1"/>
          <c:tx>
            <c:strRef>
              <c:f>'(F9) Grafiku shpenz.programit'!$B$9</c:f>
              <c:strCache>
                <c:ptCount val="1"/>
                <c:pt idx="0">
                  <c:v>Plotësuese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'(F9) Grafiku shpenz.programit'!$C$7:$H$7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'(F9) Grafiku shpenz.programit'!$C$9:$H$9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9-44F6-9B99-AC2569F8F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10304"/>
        <c:axId val="108611840"/>
      </c:barChart>
      <c:catAx>
        <c:axId val="1086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lang="de-CH" b="1"/>
            </a:pPr>
            <a:endParaRPr lang="en-US"/>
          </a:p>
        </c:txPr>
        <c:crossAx val="108611840"/>
        <c:crosses val="autoZero"/>
        <c:auto val="1"/>
        <c:lblAlgn val="ctr"/>
        <c:lblOffset val="100"/>
        <c:noMultiLvlLbl val="0"/>
      </c:catAx>
      <c:valAx>
        <c:axId val="10861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108610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487977626537676"/>
          <c:y val="1.058201058201058E-2"/>
          <c:w val="0.25366508317988046"/>
          <c:h val="6.3784526934134514E-2"/>
        </c:manualLayout>
      </c:layout>
      <c:overlay val="0"/>
      <c:txPr>
        <a:bodyPr/>
        <a:lstStyle/>
        <a:p>
          <a:pPr rtl="0">
            <a:defRPr lang="de-CH"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01090986342133E-2"/>
          <c:y val="0.13860055262876267"/>
          <c:w val="0.93125182459242262"/>
          <c:h val="0.825899784109720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'(F9) Grafiku shpenz.programit'!$B$41</c:f>
              <c:strCache>
                <c:ptCount val="1"/>
                <c:pt idx="0">
                  <c:v>I veti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'(F9) Grafiku shpenz.programit'!$C$40:$H$40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'(F9) Grafiku shpenz.programit'!$C$41:$H$41</c:f>
              <c:numCache>
                <c:formatCode>General</c:formatCode>
                <c:ptCount val="6"/>
                <c:pt idx="0">
                  <c:v>335990022</c:v>
                </c:pt>
                <c:pt idx="1">
                  <c:v>586961884</c:v>
                </c:pt>
                <c:pt idx="2">
                  <c:v>1044687084</c:v>
                </c:pt>
                <c:pt idx="3">
                  <c:v>672198088</c:v>
                </c:pt>
                <c:pt idx="4">
                  <c:v>618296360</c:v>
                </c:pt>
                <c:pt idx="5">
                  <c:v>622129983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9-44F6-9B99-AC2569F8F16A}"/>
            </c:ext>
          </c:extLst>
        </c:ser>
        <c:ser>
          <c:idx val="2"/>
          <c:order val="1"/>
          <c:tx>
            <c:strRef>
              <c:f>'(F9) Grafiku shpenz.programit'!$B$42</c:f>
              <c:strCache>
                <c:ptCount val="1"/>
                <c:pt idx="0">
                  <c:v>I deleguar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'(F9) Grafiku shpenz.programit'!$C$40:$H$40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'(F9) Grafiku shpenz.programit'!$C$42:$H$42</c:f>
              <c:numCache>
                <c:formatCode>General</c:formatCode>
                <c:ptCount val="6"/>
                <c:pt idx="0">
                  <c:v>762751236</c:v>
                </c:pt>
                <c:pt idx="1">
                  <c:v>948379406</c:v>
                </c:pt>
                <c:pt idx="2">
                  <c:v>948547352</c:v>
                </c:pt>
                <c:pt idx="3">
                  <c:v>965873000</c:v>
                </c:pt>
                <c:pt idx="4">
                  <c:v>965873000</c:v>
                </c:pt>
                <c:pt idx="5">
                  <c:v>965873000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9-44F6-9B99-AC2569F8F16A}"/>
            </c:ext>
          </c:extLst>
        </c:ser>
        <c:ser>
          <c:idx val="0"/>
          <c:order val="2"/>
          <c:tx>
            <c:strRef>
              <c:f>'(F9) Grafiku shpenz.programit'!$B$43</c:f>
              <c:strCache>
                <c:ptCount val="1"/>
                <c:pt idx="0">
                  <c:v>Transferuar</c:v>
                </c:pt>
              </c:strCache>
            </c:strRef>
          </c:tx>
          <c:invertIfNegative val="0"/>
          <c:cat>
            <c:numRef>
              <c:f>'(F9) Grafiku shpenz.programit'!$C$40:$H$40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'(F9) Grafiku shpenz.programit'!$C$43:$H$43</c:f>
              <c:numCache>
                <c:formatCode>General</c:formatCode>
                <c:ptCount val="6"/>
                <c:pt idx="0">
                  <c:v>421223897</c:v>
                </c:pt>
                <c:pt idx="1">
                  <c:v>286964694</c:v>
                </c:pt>
                <c:pt idx="2">
                  <c:v>358553552</c:v>
                </c:pt>
                <c:pt idx="3">
                  <c:v>486537560</c:v>
                </c:pt>
                <c:pt idx="4">
                  <c:v>497920110</c:v>
                </c:pt>
                <c:pt idx="5">
                  <c:v>512837490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0-4BEB-B3AA-827E23B66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28992"/>
        <c:axId val="108729088"/>
      </c:barChart>
      <c:catAx>
        <c:axId val="1086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lang="de-CH" b="1"/>
            </a:pPr>
            <a:endParaRPr lang="en-US"/>
          </a:p>
        </c:txPr>
        <c:crossAx val="108729088"/>
        <c:crosses val="autoZero"/>
        <c:auto val="1"/>
        <c:lblAlgn val="ctr"/>
        <c:lblOffset val="100"/>
        <c:noMultiLvlLbl val="0"/>
      </c:catAx>
      <c:valAx>
        <c:axId val="10872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108628992"/>
        <c:crosses val="autoZero"/>
        <c:crossBetween val="between"/>
      </c:valAx>
    </c:plotArea>
    <c:legend>
      <c:legendPos val="t"/>
      <c:overlay val="0"/>
      <c:txPr>
        <a:bodyPr/>
        <a:lstStyle/>
        <a:p>
          <a:pPr rtl="0">
            <a:defRPr lang="de-CH"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 sz="1800" b="1" i="0" u="none" strike="noStrike" baseline="0">
                <a:effectLst/>
              </a:rPr>
              <a:t>SHPENZIMET SIPAS KLASIFIKIMIT EKONOMIK </a:t>
            </a:r>
            <a:r>
              <a:rPr lang="de-CH"/>
              <a:t>(BRUTO, TRE VITET</a:t>
            </a:r>
            <a:r>
              <a:rPr lang="de-CH" baseline="0"/>
              <a:t> E ARDHSHME</a:t>
            </a:r>
            <a:r>
              <a:rPr lang="de-CH"/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450371338974828E-2"/>
          <c:y val="0.1260314779933952"/>
          <c:w val="0.92920568158513162"/>
          <c:h val="0.5635714787759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'(F11) Grafiku shpenz.klas.ekon'!$B$4</c:f>
              <c:strCache>
                <c:ptCount val="1"/>
                <c:pt idx="0">
                  <c:v>Pagat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shpenz.klas.ekon'!$C$4:$E$4</c:f>
              <c:numCache>
                <c:formatCode>General</c:formatCode>
                <c:ptCount val="3"/>
                <c:pt idx="0">
                  <c:v>428196583.94999999</c:v>
                </c:pt>
                <c:pt idx="1">
                  <c:v>438654594.88</c:v>
                </c:pt>
                <c:pt idx="2">
                  <c:v>449654063.00000006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9-4605-83EE-D7F17BA87044}"/>
            </c:ext>
          </c:extLst>
        </c:ser>
        <c:ser>
          <c:idx val="1"/>
          <c:order val="1"/>
          <c:tx>
            <c:strRef>
              <c:f>'(F11) Grafiku shpenz.klas.ekon'!$B$5</c:f>
              <c:strCache>
                <c:ptCount val="1"/>
                <c:pt idx="0">
                  <c:v>Sigurimet Shoqërore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shpenz.klas.ekon'!$C$5:$E$5</c:f>
              <c:numCache>
                <c:formatCode>General</c:formatCode>
                <c:ptCount val="3"/>
                <c:pt idx="0">
                  <c:v>85575418.049999997</c:v>
                </c:pt>
                <c:pt idx="1">
                  <c:v>87849619.11999999</c:v>
                </c:pt>
                <c:pt idx="2">
                  <c:v>89810114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9-4605-83EE-D7F17BA87044}"/>
            </c:ext>
          </c:extLst>
        </c:ser>
        <c:ser>
          <c:idx val="2"/>
          <c:order val="2"/>
          <c:tx>
            <c:strRef>
              <c:f>'(F11) Grafiku shpenz.klas.ekon'!$B$6</c:f>
              <c:strCache>
                <c:ptCount val="1"/>
                <c:pt idx="0">
                  <c:v>Mallra dhe shërbime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shpenz.klas.ekon'!$C$6:$E$6</c:f>
              <c:numCache>
                <c:formatCode>General</c:formatCode>
                <c:ptCount val="3"/>
                <c:pt idx="0">
                  <c:v>445861658</c:v>
                </c:pt>
                <c:pt idx="1">
                  <c:v>452373996</c:v>
                </c:pt>
                <c:pt idx="2">
                  <c:v>468708873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9-4605-83EE-D7F17BA87044}"/>
            </c:ext>
          </c:extLst>
        </c:ser>
        <c:ser>
          <c:idx val="3"/>
          <c:order val="3"/>
          <c:tx>
            <c:strRef>
              <c:f>'(F11) Grafiku shpenz.klas.ekon'!$B$7</c:f>
              <c:strCache>
                <c:ptCount val="1"/>
                <c:pt idx="0">
                  <c:v>Subvencione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shpenz.klas.ekon'!$C$7:$E$7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9-4605-83EE-D7F17BA87044}"/>
            </c:ext>
          </c:extLst>
        </c:ser>
        <c:ser>
          <c:idx val="4"/>
          <c:order val="4"/>
          <c:tx>
            <c:strRef>
              <c:f>'(F11) Grafiku shpenz.klas.ekon'!$B$8</c:f>
              <c:strCache>
                <c:ptCount val="1"/>
                <c:pt idx="0">
                  <c:v>Të tjera transferta korrente të brendshme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shpenz.klas.ekon'!$C$8:$E$8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9-4605-83EE-D7F17BA87044}"/>
            </c:ext>
          </c:extLst>
        </c:ser>
        <c:ser>
          <c:idx val="5"/>
          <c:order val="5"/>
          <c:tx>
            <c:strRef>
              <c:f>'(F11) Grafiku shpenz.klas.ekon'!$B$9</c:f>
              <c:strCache>
                <c:ptCount val="1"/>
                <c:pt idx="0">
                  <c:v>Transferta korrente të huaja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9-4605-83EE-D7F17BA87044}"/>
            </c:ext>
          </c:extLst>
        </c:ser>
        <c:ser>
          <c:idx val="6"/>
          <c:order val="6"/>
          <c:tx>
            <c:strRef>
              <c:f>'(F11) Grafiku shpenz.klas.ekon'!$B$10</c:f>
              <c:strCache>
                <c:ptCount val="1"/>
                <c:pt idx="0">
                  <c:v>Transferta për Buxhetet Familiare dhe Individët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shpenz.klas.ekon'!$C$10:$E$10</c:f>
              <c:numCache>
                <c:formatCode>General</c:formatCode>
                <c:ptCount val="3"/>
                <c:pt idx="0">
                  <c:v>931494000</c:v>
                </c:pt>
                <c:pt idx="1">
                  <c:v>931494000</c:v>
                </c:pt>
                <c:pt idx="2">
                  <c:v>931494000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9-4605-83EE-D7F17BA87044}"/>
            </c:ext>
          </c:extLst>
        </c:ser>
        <c:ser>
          <c:idx val="7"/>
          <c:order val="7"/>
          <c:tx>
            <c:strRef>
              <c:f>'(F11) Grafiku shpenz.klas.ekon'!$B$11</c:f>
              <c:strCache>
                <c:ptCount val="1"/>
                <c:pt idx="0">
                  <c:v>Shpenzimet kapitale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shpenz.klas.ekon'!$C$11:$E$11</c:f>
              <c:numCache>
                <c:formatCode>General</c:formatCode>
                <c:ptCount val="3"/>
                <c:pt idx="0">
                  <c:v>270280988</c:v>
                </c:pt>
                <c:pt idx="1">
                  <c:v>209417260</c:v>
                </c:pt>
                <c:pt idx="2">
                  <c:v>209773423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19-4605-83EE-D7F17BA87044}"/>
            </c:ext>
          </c:extLst>
        </c:ser>
        <c:ser>
          <c:idx val="8"/>
          <c:order val="8"/>
          <c:tx>
            <c:strRef>
              <c:f>'(F11) Grafiku shpenz.klas.ekon'!$B$12</c:f>
              <c:strCache>
                <c:ptCount val="1"/>
                <c:pt idx="0">
                  <c:v>Rezerva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19-4605-83EE-D7F17BA87044}"/>
            </c:ext>
          </c:extLst>
        </c:ser>
        <c:ser>
          <c:idx val="9"/>
          <c:order val="9"/>
          <c:tx>
            <c:strRef>
              <c:f>'(F11) Grafiku shpenz.klas.ekon'!$B$13</c:f>
              <c:strCache>
                <c:ptCount val="1"/>
                <c:pt idx="0">
                  <c:v>Interesa per kredi direkte ose bono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shpenz.klas.ekon'!$C$13:$E$13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19-4605-83EE-D7F17BA87044}"/>
            </c:ext>
          </c:extLst>
        </c:ser>
        <c:ser>
          <c:idx val="10"/>
          <c:order val="10"/>
          <c:tx>
            <c:strRef>
              <c:f>'(F11) Grafiku shpenz.klas.ekon'!$B$14</c:f>
              <c:strCache>
                <c:ptCount val="1"/>
                <c:pt idx="0">
                  <c:v>Të tjera</c:v>
                </c:pt>
              </c:strCache>
            </c:strRef>
          </c:tx>
          <c:invertIfNegative val="0"/>
          <c:cat>
            <c:numRef>
              <c:f>'(F11) Grafiku shpenz.klas.ekon'!$C$3:$E$3</c:f>
              <c:numCache>
                <c:formatCode>0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'(F11) Grafiku shpenz.klas.ekon'!$C$14:$E$14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19-4605-83EE-D7F17BA87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170176"/>
        <c:axId val="99171712"/>
      </c:barChart>
      <c:catAx>
        <c:axId val="991701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9171712"/>
        <c:crosses val="autoZero"/>
        <c:auto val="1"/>
        <c:lblAlgn val="ctr"/>
        <c:lblOffset val="100"/>
        <c:noMultiLvlLbl val="0"/>
      </c:catAx>
      <c:valAx>
        <c:axId val="991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917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269625387735981E-2"/>
          <c:y val="0.72794280501111264"/>
          <c:w val="0.96901142843041665"/>
          <c:h val="0.2698087415973098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de-CH" sz="1800"/>
              <a:t>SHPENZIMET</a:t>
            </a:r>
            <a:r>
              <a:rPr lang="de-CH" sz="1800" baseline="0"/>
              <a:t> SIPAS KLASIFIKIMIT EKONOMIK </a:t>
            </a:r>
            <a:r>
              <a:rPr lang="de-CH" sz="1800"/>
              <a:t>(BRUTO, VITI</a:t>
            </a:r>
            <a:r>
              <a:rPr lang="de-CH" sz="1800" baseline="0"/>
              <a:t> ARDHSHEM</a:t>
            </a:r>
            <a:r>
              <a:rPr lang="de-CH" sz="1800"/>
              <a:t>)</a:t>
            </a:r>
            <a:endParaRPr lang="de-CH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625201546128864"/>
          <c:y val="0.16892616772523344"/>
          <c:w val="0.45584344460806375"/>
          <c:h val="0.49988246810228576"/>
        </c:manualLayout>
      </c:layout>
      <c:pieChart>
        <c:varyColors val="1"/>
        <c:ser>
          <c:idx val="0"/>
          <c:order val="0"/>
          <c:tx>
            <c:strRef>
              <c:f>'(F11) Grafiku shpenz.klas.ekon'!$C$3</c:f>
              <c:strCache>
                <c:ptCount val="1"/>
                <c:pt idx="0">
                  <c:v>2022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'(F11) Grafiku shpenz.klas.ekon'!$B$4:$B$14</c:f>
              <c:strCache>
                <c:ptCount val="11"/>
                <c:pt idx="0">
                  <c:v>Pagat</c:v>
                </c:pt>
                <c:pt idx="1">
                  <c:v>Sigurimet Shoqërore</c:v>
                </c:pt>
                <c:pt idx="2">
                  <c:v>Mallra dhe shërbime</c:v>
                </c:pt>
                <c:pt idx="3">
                  <c:v>Subvencione</c:v>
                </c:pt>
                <c:pt idx="4">
                  <c:v>Të tjera transferta korrente të brendshme</c:v>
                </c:pt>
                <c:pt idx="5">
                  <c:v>Transferta korrente të huaja</c:v>
                </c:pt>
                <c:pt idx="6">
                  <c:v>Transferta për Buxhetet Familiare dhe Individët</c:v>
                </c:pt>
                <c:pt idx="7">
                  <c:v>Shpenzimet kapitale</c:v>
                </c:pt>
                <c:pt idx="8">
                  <c:v>Rezerva</c:v>
                </c:pt>
                <c:pt idx="9">
                  <c:v>Interesa per kredi direkte ose bono</c:v>
                </c:pt>
                <c:pt idx="10">
                  <c:v>Të tjera</c:v>
                </c:pt>
              </c:strCache>
            </c:strRef>
          </c:cat>
          <c:val>
            <c:numRef>
              <c:f>'(F11) Grafiku shpenz.klas.ekon'!$C$4:$C$14</c:f>
              <c:numCache>
                <c:formatCode>General</c:formatCode>
                <c:ptCount val="11"/>
                <c:pt idx="0">
                  <c:v>428196583.94999999</c:v>
                </c:pt>
                <c:pt idx="1">
                  <c:v>85575418.049999997</c:v>
                </c:pt>
                <c:pt idx="2">
                  <c:v>445861658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931494000</c:v>
                </c:pt>
                <c:pt idx="7">
                  <c:v>270280988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0-4E7F-88EF-1C639F788E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1.1799870702078621E-2"/>
          <c:y val="0.71751986876286356"/>
          <c:w val="0.97848342822890888"/>
          <c:h val="0.26892081161603082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 baseline="0"/>
              <a:t>Plani i </a:t>
            </a:r>
            <a:r>
              <a:rPr lang="de-CH" sz="1800" b="1" i="0" u="none" strike="noStrike" baseline="0">
                <a:effectLst/>
              </a:rPr>
              <a:t>Amortizimit t</a:t>
            </a:r>
            <a:r>
              <a:rPr lang="sq-AL" sz="1800" b="1" i="0" u="none" strike="noStrike" baseline="0">
                <a:effectLst/>
              </a:rPr>
              <a:t>ë Detyrimeve të Prapambeturave </a:t>
            </a:r>
            <a:endParaRPr lang="de-CH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560386351033708E-2"/>
          <c:y val="8.2172711158963449E-2"/>
          <c:w val="0.93963247979246856"/>
          <c:h val="0.808839903721141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EF-41FB-B755-A9958744A665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EF-41FB-B755-A9958744A665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EF-41FB-B755-A9958744A665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EF-41FB-B755-A9958744A665}"/>
              </c:ext>
            </c:extLst>
          </c:dPt>
          <c:cat>
            <c:multiLvlStrRef>
              <c:f>'(F12) Plani i Amort. Detyrimeve'!$B$5:$H$6</c:f>
              <c:multiLvlStrCache>
                <c:ptCount val="7"/>
                <c:lvl>
                  <c:pt idx="0">
                    <c:v>Stoku i borxhit, 31 Dhjetor</c:v>
                  </c:pt>
                  <c:pt idx="1">
                    <c:v>Amortizimi i detyrimeve të prapambetura gjatë vitit</c:v>
                  </c:pt>
                  <c:pt idx="2">
                    <c:v>Stoku i borxhit, 31 Dhjetor</c:v>
                  </c:pt>
                  <c:pt idx="3">
                    <c:v>Amortizimi i detyrimeve të prapambetura gjatë vitit</c:v>
                  </c:pt>
                  <c:pt idx="4">
                    <c:v>Stoku i borxhit, 31 Dhjetor</c:v>
                  </c:pt>
                  <c:pt idx="5">
                    <c:v>Amortizimi i detyrimeve të prapambetura gjatë vitit</c:v>
                  </c:pt>
                  <c:pt idx="6">
                    <c:v>Stoku i borxhit, 31 Dhjetor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2023</c:v>
                  </c:pt>
                  <c:pt idx="5">
                    <c:v>2024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'(F12) Plani i Amort. Detyrimeve'!$B$7:$H$7</c:f>
              <c:numCache>
                <c:formatCode>0</c:formatCode>
                <c:ptCount val="7"/>
                <c:pt idx="0">
                  <c:v>314843104</c:v>
                </c:pt>
                <c:pt idx="1">
                  <c:v>55384336</c:v>
                </c:pt>
                <c:pt idx="2">
                  <c:v>259458768</c:v>
                </c:pt>
                <c:pt idx="3">
                  <c:v>68415809</c:v>
                </c:pt>
                <c:pt idx="4">
                  <c:v>191042959</c:v>
                </c:pt>
                <c:pt idx="5">
                  <c:v>72126299</c:v>
                </c:pt>
                <c:pt idx="6">
                  <c:v>118916660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EF-41FB-B755-A9958744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72672"/>
        <c:axId val="108574208"/>
      </c:barChart>
      <c:catAx>
        <c:axId val="10857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8574208"/>
        <c:crosses val="autoZero"/>
        <c:auto val="1"/>
        <c:lblAlgn val="ctr"/>
        <c:lblOffset val="100"/>
        <c:noMultiLvlLbl val="0"/>
      </c:catAx>
      <c:valAx>
        <c:axId val="108574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572672"/>
        <c:crosses val="autoZero"/>
        <c:crossBetween val="between"/>
      </c:valAx>
    </c:plotArea>
    <c:plotVisOnly val="1"/>
    <c:dispBlanksAs val="gap"/>
    <c:showDLblsOverMax val="0"/>
  </c:chart>
  <c:printSettings>
    <c:headerFooter>
      <c:oddHeader>&amp;LMEDIUM TERM BUDGET PLAN&amp;ZVersion 04.17&amp;R&amp;B</c:oddHeader>
    </c:headerFooter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de-CH" sz="1600"/>
              <a:t> </a:t>
            </a:r>
            <a:r>
              <a:rPr lang="sq-AL" sz="1600"/>
              <a:t>Përmbledhje </a:t>
            </a:r>
            <a:endParaRPr lang="de-CH" sz="1600"/>
          </a:p>
        </c:rich>
      </c:tx>
      <c:layout>
        <c:manualLayout>
          <c:xMode val="edge"/>
          <c:yMode val="edge"/>
          <c:x val="0.414922832154914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181616088027842E-2"/>
          <c:y val="8.4104986876640545E-2"/>
          <c:w val="0.96065507825760565"/>
          <c:h val="0.82046014248218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'(F13) Përmbledhja e të dhënave'!$A$12</c:f>
              <c:strCache>
                <c:ptCount val="1"/>
                <c:pt idx="0">
                  <c:v> Përfitimi (+)/ Humbja (-) e përgjithshme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DF2-4B5A-BDE5-C034C5D75A0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EDF2-4B5A-BDE5-C034C5D75A0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EDF2-4B5A-BDE5-C034C5D75A0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DF2-4B5A-BDE5-C034C5D75A0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DF2-4B5A-BDE5-C034C5D75A0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B56-47D0-938E-C285F4619793}"/>
              </c:ext>
            </c:extLst>
          </c:dPt>
          <c:cat>
            <c:numRef>
              <c:f>'(F13) Përmbledhja e të dhënave'!$B$3:$G$3</c:f>
              <c:numCache>
                <c:formatCode>0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'(F13) Përmbledhja e të dhënave'!$B$12:$G$12</c:f>
              <c:numCache>
                <c:formatCode>_ * #,##0_ ;_ * \-#,##0_ ;_ * "-"??_ ;_ @_ </c:formatCode>
                <c:ptCount val="6"/>
                <c:pt idx="0">
                  <c:v>245230013.92000008</c:v>
                </c:pt>
                <c:pt idx="1">
                  <c:v>201521445</c:v>
                </c:pt>
                <c:pt idx="2">
                  <c:v>13724869</c:v>
                </c:pt>
                <c:pt idx="3">
                  <c:v>1243384.5413201898</c:v>
                </c:pt>
                <c:pt idx="4">
                  <c:v>9.3114357441663742E-2</c:v>
                </c:pt>
                <c:pt idx="5">
                  <c:v>8.1726054884493351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F2-4B5A-BDE5-C034C5D75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18208"/>
        <c:axId val="109520000"/>
      </c:barChart>
      <c:catAx>
        <c:axId val="109518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de-CH" sz="1200" b="1"/>
            </a:pPr>
            <a:endParaRPr lang="en-US"/>
          </a:p>
        </c:txPr>
        <c:crossAx val="109520000"/>
        <c:crosses val="autoZero"/>
        <c:auto val="1"/>
        <c:lblAlgn val="ctr"/>
        <c:lblOffset val="100"/>
        <c:noMultiLvlLbl val="0"/>
      </c:catAx>
      <c:valAx>
        <c:axId val="10952000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de-CH" b="1"/>
            </a:pPr>
            <a:endParaRPr lang="en-US"/>
          </a:p>
        </c:txPr>
        <c:crossAx val="10951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2609748368695"/>
          <c:y val="2.9939012382690852E-2"/>
          <c:w val="0.52800941408426361"/>
          <c:h val="0.90684795419609565"/>
        </c:manualLayout>
      </c:layout>
      <c:barChart>
        <c:barDir val="bar"/>
        <c:grouping val="clustered"/>
        <c:varyColors val="0"/>
        <c:ser>
          <c:idx val="9"/>
          <c:order val="0"/>
          <c:tx>
            <c:strRef>
              <c:f>'(F16) Grafiku shpenz. kapitale'!$D$3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kapitale'!$D$4:$D$30</c:f>
              <c:numCache>
                <c:formatCode>_ * #,##0_ ;_ * \-#,##0_ ;_ * "-"??_ ;_ @_ </c:formatCode>
                <c:ptCount val="27"/>
                <c:pt idx="0">
                  <c:v>4710715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274780</c:v>
                </c:pt>
                <c:pt idx="7">
                  <c:v>206633639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311473</c:v>
                </c:pt>
                <c:pt idx="14">
                  <c:v>18175161</c:v>
                </c:pt>
                <c:pt idx="15">
                  <c:v>11999999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20759478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7-42C9-BC9D-D5AC217090F8}"/>
            </c:ext>
          </c:extLst>
        </c:ser>
        <c:ser>
          <c:idx val="13"/>
          <c:order val="1"/>
          <c:tx>
            <c:strRef>
              <c:f>'(F16) Grafiku shpenz. kapitale'!$E$3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kapitale'!$E$4:$E$30</c:f>
              <c:numCache>
                <c:formatCode>_ * #,##0_ ;_ * \-#,##0_ ;_ * "-"??_ ;_ @_ </c:formatCode>
                <c:ptCount val="27"/>
                <c:pt idx="0">
                  <c:v>4310738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4283169</c:v>
                </c:pt>
                <c:pt idx="7">
                  <c:v>55174564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1379258</c:v>
                </c:pt>
                <c:pt idx="14">
                  <c:v>0</c:v>
                </c:pt>
                <c:pt idx="15">
                  <c:v>272714</c:v>
                </c:pt>
                <c:pt idx="16">
                  <c:v>0</c:v>
                </c:pt>
                <c:pt idx="17">
                  <c:v>0</c:v>
                </c:pt>
                <c:pt idx="18">
                  <c:v>1245300</c:v>
                </c:pt>
                <c:pt idx="19">
                  <c:v>0</c:v>
                </c:pt>
                <c:pt idx="20">
                  <c:v>1578116</c:v>
                </c:pt>
                <c:pt idx="21">
                  <c:v>33770277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7-42C9-BC9D-D5AC217090F8}"/>
            </c:ext>
          </c:extLst>
        </c:ser>
        <c:ser>
          <c:idx val="2"/>
          <c:order val="2"/>
          <c:tx>
            <c:strRef>
              <c:f>'(F16) Grafiku shpenz. kapitale'!$F$3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kapitale'!$F$4:$F$30</c:f>
              <c:numCache>
                <c:formatCode>_ * #,##0_ ;_ * \-#,##0_ ;_ * "-"??_ ;_ @_ </c:formatCode>
                <c:ptCount val="27"/>
                <c:pt idx="0">
                  <c:v>53066794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8028800</c:v>
                </c:pt>
                <c:pt idx="7">
                  <c:v>184832823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5376704</c:v>
                </c:pt>
                <c:pt idx="14">
                  <c:v>48226803</c:v>
                </c:pt>
                <c:pt idx="15">
                  <c:v>26984</c:v>
                </c:pt>
                <c:pt idx="16">
                  <c:v>0</c:v>
                </c:pt>
                <c:pt idx="17">
                  <c:v>0</c:v>
                </c:pt>
                <c:pt idx="18">
                  <c:v>2954400</c:v>
                </c:pt>
                <c:pt idx="19">
                  <c:v>2120399</c:v>
                </c:pt>
                <c:pt idx="20">
                  <c:v>9069559</c:v>
                </c:pt>
                <c:pt idx="21">
                  <c:v>23269610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5-4F1A-95EE-29D940A1F682}"/>
            </c:ext>
          </c:extLst>
        </c:ser>
        <c:ser>
          <c:idx val="0"/>
          <c:order val="3"/>
          <c:tx>
            <c:strRef>
              <c:f>'(F16) Grafiku shpenz. kapitale'!$G$3</c:f>
              <c:strCache>
                <c:ptCount val="1"/>
                <c:pt idx="0">
                  <c:v>2022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kapitale'!$G$4:$G$30</c:f>
              <c:numCache>
                <c:formatCode>_(* #,##0_);_(* \(#,##0\);_(* "-"??_);_(@_)</c:formatCode>
                <c:ptCount val="27"/>
                <c:pt idx="0">
                  <c:v>82418688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8350000</c:v>
                </c:pt>
                <c:pt idx="7">
                  <c:v>167700000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2929000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50000</c:v>
                </c:pt>
                <c:pt idx="19">
                  <c:v>6983300</c:v>
                </c:pt>
                <c:pt idx="20">
                  <c:v>1850000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D-45A3-A2C7-7335445130A8}"/>
            </c:ext>
          </c:extLst>
        </c:ser>
        <c:ser>
          <c:idx val="1"/>
          <c:order val="4"/>
          <c:tx>
            <c:strRef>
              <c:f>'(F16) Grafiku shpenz. kapitale'!$H$3</c:f>
              <c:strCache>
                <c:ptCount val="1"/>
                <c:pt idx="0">
                  <c:v>2023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kapitale'!$H$4:$H$30</c:f>
              <c:numCache>
                <c:formatCode>_(* #,##0_);_(* \(#,##0\);_(* "-"??_);_(@_)</c:formatCode>
                <c:ptCount val="27"/>
                <c:pt idx="0">
                  <c:v>21596860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8569600</c:v>
                </c:pt>
                <c:pt idx="7">
                  <c:v>168100000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3002000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50000</c:v>
                </c:pt>
                <c:pt idx="19">
                  <c:v>6198800</c:v>
                </c:pt>
                <c:pt idx="20">
                  <c:v>1900000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D-45A3-A2C7-7335445130A8}"/>
            </c:ext>
          </c:extLst>
        </c:ser>
        <c:ser>
          <c:idx val="3"/>
          <c:order val="5"/>
          <c:tx>
            <c:strRef>
              <c:f>'(F16) Grafiku shpenz. kapitale'!$I$3</c:f>
              <c:strCache>
                <c:ptCount val="1"/>
                <c:pt idx="0">
                  <c:v>2024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'(F16) Grafiku shpenz. kapitale'!$C$4:$C$30</c:f>
              <c:strCache>
                <c:ptCount val="27"/>
                <c:pt idx="0">
                  <c:v> 011 Organet ekzekutive dhe legjislative, për çështjet financiare dhe fiskale, çështjet e brendshme </c:v>
                </c:pt>
                <c:pt idx="1">
                  <c:v> 017 Shërbime të  huamarrjes vendore </c:v>
                </c:pt>
                <c:pt idx="2">
                  <c:v> 031 Shërbimet Policore </c:v>
                </c:pt>
                <c:pt idx="3">
                  <c:v> 032 Shërbimet e mbrojtjes ndaj zjarrit </c:v>
                </c:pt>
                <c:pt idx="4">
                  <c:v> 036 Marrdheniet me komunitetin </c:v>
                </c:pt>
                <c:pt idx="5">
                  <c:v> 041 Çështjet e përgjithshme ekonomike, tregtare dhe të punës </c:v>
                </c:pt>
                <c:pt idx="6">
                  <c:v> 042 Bujqësia, pyjet, peshkimi dhe gjuetia </c:v>
                </c:pt>
                <c:pt idx="7">
                  <c:v> 045 Trasporti </c:v>
                </c:pt>
                <c:pt idx="8">
                  <c:v> 047 Industri të tjera </c:v>
                </c:pt>
                <c:pt idx="9">
                  <c:v> 062 Menaxhimi i i mbetjeve </c:v>
                </c:pt>
                <c:pt idx="10">
                  <c:v> 052 Menaxhimi i ujrave të zeza </c:v>
                </c:pt>
                <c:pt idx="11">
                  <c:v> 053 Reduktimi i ndotjes </c:v>
                </c:pt>
                <c:pt idx="12">
                  <c:v> 056 Mbrojtja e mjedisit </c:v>
                </c:pt>
                <c:pt idx="13">
                  <c:v> 061 Urbanistika </c:v>
                </c:pt>
                <c:pt idx="14">
                  <c:v> 062 Zhvillimi i komunitetit </c:v>
                </c:pt>
                <c:pt idx="15">
                  <c:v> 063 Furnizimi me ujë </c:v>
                </c:pt>
                <c:pt idx="16">
                  <c:v> 064 Ndriçimi i rrugëve </c:v>
                </c:pt>
                <c:pt idx="17">
                  <c:v> 072 Shërbimet e kujdesit parësor  </c:v>
                </c:pt>
                <c:pt idx="18">
                  <c:v> 081 Shërbimet rekreative dhe sportive </c:v>
                </c:pt>
                <c:pt idx="19">
                  <c:v> 082 Shërbimet kulturore </c:v>
                </c:pt>
                <c:pt idx="20">
                  <c:v> 091 Arsimi bazë dhe parashkollor </c:v>
                </c:pt>
                <c:pt idx="21">
                  <c:v> 092 Arsimi  parauniversitar </c:v>
                </c:pt>
                <c:pt idx="22">
                  <c:v> 101 Sëmundje dhe paaftësi </c:v>
                </c:pt>
                <c:pt idx="23">
                  <c:v> 102 Të moshuarit </c:v>
                </c:pt>
                <c:pt idx="24">
                  <c:v> 104 Familje dhe fëmijë </c:v>
                </c:pt>
                <c:pt idx="25">
                  <c:v> 105 Papunësia </c:v>
                </c:pt>
                <c:pt idx="26">
                  <c:v> 106 Strehimi social </c:v>
                </c:pt>
              </c:strCache>
            </c:strRef>
          </c:cat>
          <c:val>
            <c:numRef>
              <c:f>'(F16) Grafiku shpenz. kapitale'!$I$4:$I$30</c:f>
              <c:numCache>
                <c:formatCode>_(* #,##0_);_(* \(#,##0\);_(* "-"??_);_(@_)</c:formatCode>
                <c:ptCount val="27"/>
                <c:pt idx="0">
                  <c:v>18046223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8830700</c:v>
                </c:pt>
                <c:pt idx="7">
                  <c:v>172202000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3126000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100000</c:v>
                </c:pt>
                <c:pt idx="19">
                  <c:v>5368500</c:v>
                </c:pt>
                <c:pt idx="20">
                  <c:v>2100000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D-45A3-A2C7-73354451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92256"/>
        <c:axId val="109798144"/>
      </c:barChart>
      <c:catAx>
        <c:axId val="109792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de-CH" b="0"/>
            </a:pPr>
            <a:endParaRPr lang="en-US"/>
          </a:p>
        </c:txPr>
        <c:crossAx val="109798144"/>
        <c:crosses val="autoZero"/>
        <c:auto val="1"/>
        <c:lblAlgn val="ctr"/>
        <c:lblOffset val="100"/>
        <c:noMultiLvlLbl val="0"/>
      </c:catAx>
      <c:valAx>
        <c:axId val="109798144"/>
        <c:scaling>
          <c:orientation val="minMax"/>
        </c:scaling>
        <c:delete val="0"/>
        <c:axPos val="t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 anchor="ctr" anchorCtr="1"/>
          <a:lstStyle/>
          <a:p>
            <a:pPr>
              <a:defRPr lang="de-CH"/>
            </a:pPr>
            <a:endParaRPr lang="en-US"/>
          </a:p>
        </c:txPr>
        <c:crossAx val="10979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788845009207644"/>
          <c:y val="0.95857203078219999"/>
          <c:w val="0.48858275825719188"/>
          <c:h val="3.2049305677357413E-2"/>
        </c:manualLayout>
      </c:layout>
      <c:overlay val="0"/>
      <c:txPr>
        <a:bodyPr/>
        <a:lstStyle/>
        <a:p>
          <a:pPr>
            <a:defRPr lang="de-CH"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182291</xdr:rowOff>
    </xdr:from>
    <xdr:to>
      <xdr:col>9</xdr:col>
      <xdr:colOff>857250</xdr:colOff>
      <xdr:row>58</xdr:row>
      <xdr:rowOff>76200</xdr:rowOff>
    </xdr:to>
    <xdr:graphicFrame macro="">
      <xdr:nvGraphicFramePr>
        <xdr:cNvPr id="10241" name="Diagramm 1">
          <a:extLst>
            <a:ext uri="{FF2B5EF4-FFF2-40B4-BE49-F238E27FC236}">
              <a16:creationId xmlns:a16="http://schemas.microsoft.com/office/drawing/2014/main" id="{00000000-0008-0000-2C00-00000128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41728</xdr:rowOff>
    </xdr:from>
    <xdr:to>
      <xdr:col>10</xdr:col>
      <xdr:colOff>0</xdr:colOff>
      <xdr:row>35</xdr:row>
      <xdr:rowOff>161924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69888</xdr:colOff>
      <xdr:row>1</xdr:row>
      <xdr:rowOff>107344</xdr:rowOff>
    </xdr:from>
    <xdr:to>
      <xdr:col>9</xdr:col>
      <xdr:colOff>552449</xdr:colOff>
      <xdr:row>38</xdr:row>
      <xdr:rowOff>57149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57150</xdr:rowOff>
    </xdr:from>
    <xdr:to>
      <xdr:col>8</xdr:col>
      <xdr:colOff>581024</xdr:colOff>
      <xdr:row>22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23</xdr:row>
      <xdr:rowOff>76200</xdr:rowOff>
    </xdr:from>
    <xdr:to>
      <xdr:col>8</xdr:col>
      <xdr:colOff>561975</xdr:colOff>
      <xdr:row>44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122959</xdr:colOff>
      <xdr:row>33</xdr:row>
      <xdr:rowOff>38964</xdr:rowOff>
    </xdr:from>
    <xdr:to>
      <xdr:col>9</xdr:col>
      <xdr:colOff>733425</xdr:colOff>
      <xdr:row>62</xdr:row>
      <xdr:rowOff>162791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</xdr:row>
      <xdr:rowOff>142876</xdr:rowOff>
    </xdr:from>
    <xdr:to>
      <xdr:col>9</xdr:col>
      <xdr:colOff>752475</xdr:colOff>
      <xdr:row>30</xdr:row>
      <xdr:rowOff>57152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57488</xdr:rowOff>
    </xdr:from>
    <xdr:to>
      <xdr:col>8</xdr:col>
      <xdr:colOff>685800</xdr:colOff>
      <xdr:row>35</xdr:row>
      <xdr:rowOff>83681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14</xdr:row>
      <xdr:rowOff>19050</xdr:rowOff>
    </xdr:from>
    <xdr:to>
      <xdr:col>6</xdr:col>
      <xdr:colOff>628650</xdr:colOff>
      <xdr:row>35</xdr:row>
      <xdr:rowOff>57150</xdr:rowOff>
    </xdr:to>
    <xdr:graphicFrame macro="">
      <xdr:nvGraphicFramePr>
        <xdr:cNvPr id="13313" name="Diagramm 1">
          <a:extLst>
            <a:ext uri="{FF2B5EF4-FFF2-40B4-BE49-F238E27FC236}">
              <a16:creationId xmlns:a16="http://schemas.microsoft.com/office/drawing/2014/main" id="{00000000-0008-0000-36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97325</xdr:rowOff>
    </xdr:from>
    <xdr:to>
      <xdr:col>12</xdr:col>
      <xdr:colOff>409575</xdr:colOff>
      <xdr:row>49</xdr:row>
      <xdr:rowOff>104776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strumenti-i-Planifikimit-Financiar-2022-2024-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A1) Titulli"/>
      <sheetName val="(B1)Informacion i përgjithshëm "/>
      <sheetName val="(B2) Struktura Organizative"/>
      <sheetName val="(B3) Struktura Funksionale"/>
      <sheetName val="(C1) Shpenzimet vitet e kaluara"/>
      <sheetName val="(C1b)Shpenzimet vitet e kaluar "/>
      <sheetName val="(C2) Burimet viti kaluar"/>
      <sheetName val="(C3) Detyrimet e prapambetura"/>
      <sheetName val="(C4) Trashëgimi me destinacion"/>
      <sheetName val="(C5) Angazhimet"/>
      <sheetName val="(C6) Lista emërore e projekteve"/>
      <sheetName val="(D1) Tavanet buxhetore"/>
      <sheetName val="(D2) Llogaritjet makroekonomike"/>
      <sheetName val="(E1) Vlerësimi i burimeve"/>
      <sheetName val="(E2) Kontrolli Besueshmërisë"/>
      <sheetName val="KB 01"/>
      <sheetName val="KB 02"/>
      <sheetName val="KB 03"/>
      <sheetName val="KB 04"/>
      <sheetName val="KB 05"/>
      <sheetName val="KB 06"/>
      <sheetName val="KB 07"/>
      <sheetName val="KB 08"/>
      <sheetName val="KB 09"/>
      <sheetName val="KB 10"/>
      <sheetName val="KB 11"/>
      <sheetName val="KB 12"/>
      <sheetName val="KB 13"/>
      <sheetName val="KB 14"/>
      <sheetName val="KB 15"/>
      <sheetName val="KB 16"/>
      <sheetName val="KB 17"/>
      <sheetName val="KB 18"/>
      <sheetName val="KB 19"/>
      <sheetName val="KB 20"/>
      <sheetName val="KB 21"/>
      <sheetName val="KB 22"/>
      <sheetName val="KB 23"/>
      <sheetName val="KB 24"/>
      <sheetName val="KB 25"/>
      <sheetName val="KB 26"/>
      <sheetName val="KB27"/>
      <sheetName val="(F1) Burimet buxhetore"/>
      <sheetName val="(F2) Shpenzimet sipas nenfunk.b"/>
      <sheetName val="(F3) Grafiku shpenz.nenfunks.Br"/>
      <sheetName val=" (F4)Shpenzimet sipas nenf.neto"/>
      <sheetName val="(F5)Grafiku i shpenz.nenf.neto"/>
      <sheetName val="(F6) Shpenzimet sipas funks.bru"/>
      <sheetName val=" (F7) Grafiku shpenz.funksion b"/>
      <sheetName val="(F8) Shpenzimet sipas aktivitet"/>
      <sheetName val="(F9) Grafiku shpenz.programit"/>
      <sheetName val="(F10) Shpenzimet klasifik. ekon"/>
      <sheetName val="(F11) Grafiku shpenz.klas.ekon"/>
      <sheetName val="(F12) Plani i Amort. Detyrimeve"/>
      <sheetName val="(F13) Përmbledhja e të dhënave"/>
      <sheetName val="(F14) Treguesit"/>
      <sheetName val="(F15) Shpenzimet kapita progr"/>
      <sheetName val="(F16) Grafiku shpenz. kapitale"/>
      <sheetName val="(G1) Fjalori"/>
      <sheetName val="(G2) Fjalori"/>
      <sheetName val="(G3) Fjalor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1">
          <cell r="A11" t="str">
            <v>Version</v>
          </cell>
        </row>
      </sheetData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4" Type="http://schemas.openxmlformats.org/officeDocument/2006/relationships/printerSettings" Target="../printerSettings/printerSettings50.bin"/><Relationship Id="rId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3" Type="http://schemas.openxmlformats.org/officeDocument/2006/relationships/externalLinkPath" Target="file:///F:\Users\wbloetsc\AppData\Local\Microsoft\Windows\Temporary%20Internet%20Files\Content.Outlook\SL140WB1\Prototype%20FPT-31.08.2017%20-%20Lu%20-%20def.xlsm" TargetMode="External"/><Relationship Id="rId1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2" Type="http://schemas.openxmlformats.org/officeDocument/2006/relationships/externalLinkPath" Target="file:///F:\Users\wbloetsc\AppData\Local\Microsoft\Windows\Temporary%20Internet%20Files\Content.Outlook\2Q7L9NRF\(D)%20BRF%20F1:(D)%20BRF%20F22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8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3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7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5" Type="http://schemas.openxmlformats.org/officeDocument/2006/relationships/drawing" Target="../drawings/drawing4.xml"/><Relationship Id="rId2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6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1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4" Type="http://schemas.openxmlformats.org/officeDocument/2006/relationships/printerSettings" Target="../printerSettings/printerSettings51.bin"/><Relationship Id="rId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5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3" Type="http://schemas.openxmlformats.org/officeDocument/2006/relationships/externalLinkPath" Target="file:///F:\Users\wbloetsc\AppData\Local\Microsoft\Windows\Temporary%20Internet%20Files\Content.Outlook\SL140WB1\Prototype%20FPT-31.08.2017%20-%20Lu%20-%20def.xlsm" TargetMode="External"/><Relationship Id="rId10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9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14" Type="http://schemas.openxmlformats.org/officeDocument/2006/relationships/externalLinkPath" Target="file:///F:\Users\spfaeffl\AppData\Local\Microsoft\Windows\Temporary%20Internet%20Files\Content.Outlook\KF1O1RMM\Kopie%20von%20FPT%20unlocked%20version%2030%2003%202012%20-%20english%20zur%20Probe%2018%2004%202012.xlsm" TargetMode="External"/><Relationship Id="rId22" Type="http://schemas.openxmlformats.org/officeDocument/2006/relationships/externalLinkPath" Target="file:///F:\Users\wbloetsc\AppData\Local\Microsoft\Windows\Temporary%20Internet%20Files\Content.Outlook\2Q7L9NRF\(D)%20BRF%20F1:(D)%20BRF%20F22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5DD749"/>
    <pageSetUpPr fitToPage="1"/>
  </sheetPr>
  <dimension ref="A1:I44"/>
  <sheetViews>
    <sheetView showGridLines="0" workbookViewId="0">
      <selection activeCell="D43" sqref="D43:F44"/>
    </sheetView>
  </sheetViews>
  <sheetFormatPr defaultColWidth="9.140625" defaultRowHeight="12.75" x14ac:dyDescent="0.2"/>
  <cols>
    <col min="1" max="1" width="23.7109375" style="4" customWidth="1"/>
    <col min="2" max="2" width="10.42578125" style="4" customWidth="1"/>
    <col min="3" max="3" width="23.85546875" style="37" customWidth="1"/>
    <col min="4" max="4" width="8.85546875" style="4" customWidth="1"/>
    <col min="5" max="6" width="8.85546875" style="37" customWidth="1"/>
    <col min="7" max="16384" width="9.140625" style="4"/>
  </cols>
  <sheetData>
    <row r="1" spans="4:9" x14ac:dyDescent="0.2">
      <c r="D1" s="1105" t="str">
        <f>'(B1)Informacion i përgjithshëm '!B12</f>
        <v>Pogradec</v>
      </c>
      <c r="E1" s="1106"/>
      <c r="F1" s="1107"/>
    </row>
    <row r="2" spans="4:9" s="6" customFormat="1" x14ac:dyDescent="0.2">
      <c r="D2" s="1105" t="str">
        <f>'(B1)Informacion i përgjithshëm '!B13</f>
        <v>Irsa Karapança</v>
      </c>
      <c r="E2" s="1106"/>
      <c r="F2" s="1107"/>
      <c r="G2" s="11"/>
      <c r="H2" s="11"/>
      <c r="I2" s="11"/>
    </row>
    <row r="3" spans="4:9" s="38" customFormat="1" ht="12.75" customHeight="1" x14ac:dyDescent="0.25">
      <c r="D3" s="1105" t="str">
        <f>'(B1)Informacion i përgjithshëm '!B14</f>
        <v>Rr. " Reshit Çollaku"</v>
      </c>
      <c r="E3" s="1106"/>
      <c r="F3" s="1107"/>
    </row>
    <row r="4" spans="4:9" s="38" customFormat="1" ht="12.75" customHeight="1" x14ac:dyDescent="0.25">
      <c r="D4" s="159">
        <f>'(B1)Informacion i përgjithshëm '!B15</f>
        <v>7301</v>
      </c>
      <c r="E4" s="160" t="str">
        <f>'(B1)Informacion i përgjithshëm '!B16</f>
        <v>Pogradec</v>
      </c>
      <c r="F4" s="161"/>
    </row>
    <row r="5" spans="4:9" s="39" customFormat="1" x14ac:dyDescent="0.25"/>
    <row r="20" spans="1:6" s="72" customFormat="1" ht="21" x14ac:dyDescent="0.25">
      <c r="A20" s="1111" t="str">
        <f>'(G1) Fjalori'!A3</f>
        <v>(A1) PROGRAMI BUXHETOR AFATMESEM</v>
      </c>
      <c r="B20" s="1112"/>
      <c r="C20" s="1112"/>
      <c r="D20" s="1112"/>
      <c r="E20" s="1112"/>
      <c r="F20" s="1113"/>
    </row>
    <row r="21" spans="1:6" s="72" customFormat="1" ht="21" x14ac:dyDescent="0.25">
      <c r="A21" s="1108" t="str">
        <f>'(B1)Informacion i përgjithshëm '!B8&amp;"-"&amp;'(B1)Informacion i përgjithshëm '!B10</f>
        <v>2022-2024</v>
      </c>
      <c r="B21" s="1109"/>
      <c r="C21" s="1109"/>
      <c r="D21" s="1109"/>
      <c r="E21" s="1109"/>
      <c r="F21" s="1110"/>
    </row>
    <row r="22" spans="1:6" s="72" customFormat="1" ht="21" x14ac:dyDescent="0.25">
      <c r="A22" s="1098" t="str">
        <f>'(B1)Informacion i përgjithshëm '!B12</f>
        <v>Pogradec</v>
      </c>
      <c r="B22" s="1099"/>
      <c r="C22" s="1099"/>
      <c r="D22" s="1099"/>
      <c r="E22" s="1099"/>
      <c r="F22" s="1100"/>
    </row>
    <row r="23" spans="1:6" x14ac:dyDescent="0.2">
      <c r="C23" s="4"/>
      <c r="E23" s="4"/>
      <c r="F23" s="4"/>
    </row>
    <row r="24" spans="1:6" x14ac:dyDescent="0.2">
      <c r="C24" s="4"/>
      <c r="E24" s="4"/>
      <c r="F24" s="4"/>
    </row>
    <row r="38" spans="1:6" x14ac:dyDescent="0.2">
      <c r="A38" s="1096" t="str">
        <f>'(G1) Fjalori'!A4</f>
        <v>Periudha kohore</v>
      </c>
      <c r="B38" s="1097"/>
      <c r="C38" s="13"/>
      <c r="D38" s="13"/>
      <c r="E38" s="13"/>
      <c r="F38" s="13"/>
    </row>
    <row r="39" spans="1:6" s="95" customFormat="1" x14ac:dyDescent="0.2">
      <c r="A39" s="154" t="str">
        <f>'(G1) Fjalori'!A5</f>
        <v>Viti t-2</v>
      </c>
      <c r="B39" s="274">
        <f>'(B1)Informacion i përgjithshëm '!B5</f>
        <v>2019</v>
      </c>
      <c r="C39" s="13"/>
      <c r="D39" s="13"/>
      <c r="E39" s="13"/>
      <c r="F39" s="13"/>
    </row>
    <row r="40" spans="1:6" x14ac:dyDescent="0.2">
      <c r="A40" s="117" t="str">
        <f>'(G1) Fjalori'!A6</f>
        <v>Viti i shkuar</v>
      </c>
      <c r="B40" s="274">
        <f>'(B1)Informacion i përgjithshëm '!B6</f>
        <v>2020</v>
      </c>
      <c r="C40" s="13"/>
      <c r="D40" s="13"/>
      <c r="E40" s="13"/>
      <c r="F40" s="13"/>
    </row>
    <row r="41" spans="1:6" x14ac:dyDescent="0.2">
      <c r="A41" s="154" t="str">
        <f>'(G1) Fjalori'!A7</f>
        <v>Viti aktual</v>
      </c>
      <c r="B41" s="274">
        <f>'(B1)Informacion i përgjithshëm '!B7</f>
        <v>2021</v>
      </c>
      <c r="C41" s="40"/>
      <c r="D41" s="13"/>
      <c r="E41" s="13"/>
      <c r="F41" s="13"/>
    </row>
    <row r="42" spans="1:6" x14ac:dyDescent="0.2">
      <c r="A42" s="154" t="str">
        <f>'(G1) Fjalori'!A8</f>
        <v>Viti t+1 (I pritur)</v>
      </c>
      <c r="B42" s="275">
        <f>'(B1)Informacion i përgjithshëm '!$B8</f>
        <v>2022</v>
      </c>
      <c r="C42" s="25"/>
      <c r="D42" s="10"/>
      <c r="E42" s="40"/>
      <c r="F42" s="40"/>
    </row>
    <row r="43" spans="1:6" x14ac:dyDescent="0.2">
      <c r="A43" s="154" t="str">
        <f>'(G1) Fjalori'!A9</f>
        <v>Viti t+2 (I pritur)</v>
      </c>
      <c r="B43" s="275">
        <f>'(B1)Informacion i përgjithshëm '!$B9</f>
        <v>2023</v>
      </c>
      <c r="C43" s="40"/>
      <c r="D43" s="1096" t="str">
        <f>'[1](G1) Fjalori'!A11</f>
        <v>Version</v>
      </c>
      <c r="E43" s="1104"/>
      <c r="F43" s="1097"/>
    </row>
    <row r="44" spans="1:6" ht="12.75" customHeight="1" x14ac:dyDescent="0.2">
      <c r="A44" s="154" t="str">
        <f>'(G1) Fjalori'!A10</f>
        <v>Viti t+3 (I pritur)</v>
      </c>
      <c r="B44" s="275">
        <f>'(B1)Informacion i përgjithshëm '!$B10</f>
        <v>2024</v>
      </c>
      <c r="D44" s="1101" t="s">
        <v>2600</v>
      </c>
      <c r="E44" s="1102"/>
      <c r="F44" s="1103"/>
    </row>
  </sheetData>
  <sheetProtection selectLockedCells="1"/>
  <dataConsolidate/>
  <mergeCells count="9">
    <mergeCell ref="A38:B38"/>
    <mergeCell ref="A22:F22"/>
    <mergeCell ref="D44:F44"/>
    <mergeCell ref="D43:F43"/>
    <mergeCell ref="D1:F1"/>
    <mergeCell ref="D2:F2"/>
    <mergeCell ref="A21:F21"/>
    <mergeCell ref="A20:F20"/>
    <mergeCell ref="D3:F3"/>
  </mergeCell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&amp;LMEDIUM TERM BUDGET PROGRAM&amp;C&amp;8 28 Shkurt 2018&amp;R&amp;A</oddHeader>
    <oddFooter>&amp;L&amp;8Copyright for Albania: Ministry of Finance and Economy / Local Finance Directory&amp;R1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rgb="FF00B0F0"/>
    <pageSetUpPr fitToPage="1"/>
  </sheetPr>
  <dimension ref="A1:E27"/>
  <sheetViews>
    <sheetView showGridLines="0" workbookViewId="0">
      <selection sqref="A1:B31"/>
    </sheetView>
  </sheetViews>
  <sheetFormatPr defaultColWidth="9.140625" defaultRowHeight="12.75" x14ac:dyDescent="0.2"/>
  <cols>
    <col min="1" max="1" width="42.42578125" style="1" customWidth="1"/>
    <col min="2" max="2" width="43.42578125" style="1" customWidth="1"/>
    <col min="3" max="16384" width="9.140625" style="1"/>
  </cols>
  <sheetData>
    <row r="1" spans="1:2" s="41" customFormat="1" x14ac:dyDescent="0.2">
      <c r="A1" s="1116" t="str">
        <f>'(G1) Fjalori'!A13</f>
        <v>Verdhë = Per tu plotësuar nga Departamenti i Financës</v>
      </c>
      <c r="B1" s="1117"/>
    </row>
    <row r="2" spans="1:2" s="94" customFormat="1" x14ac:dyDescent="0.2"/>
    <row r="3" spans="1:2" s="209" customFormat="1" ht="21" x14ac:dyDescent="0.25">
      <c r="A3" s="1114" t="str">
        <f>'(G1) Fjalori'!A14</f>
        <v>(B1) Informacion i Përgjithshëm</v>
      </c>
      <c r="B3" s="1115"/>
    </row>
    <row r="4" spans="1:2" x14ac:dyDescent="0.2">
      <c r="A4" s="94"/>
    </row>
    <row r="5" spans="1:2" s="94" customFormat="1" x14ac:dyDescent="0.2">
      <c r="A5" s="222" t="str">
        <f>'(G1) Fjalori'!A5</f>
        <v>Viti t-2</v>
      </c>
      <c r="B5" s="100">
        <f>B6-1</f>
        <v>2019</v>
      </c>
    </row>
    <row r="6" spans="1:2" x14ac:dyDescent="0.2">
      <c r="A6" s="222" t="str">
        <f>'(G1) Fjalori'!A6</f>
        <v>Viti i shkuar</v>
      </c>
      <c r="B6" s="24">
        <f>B7-1</f>
        <v>2020</v>
      </c>
    </row>
    <row r="7" spans="1:2" x14ac:dyDescent="0.2">
      <c r="A7" s="222" t="str">
        <f>'(G1) Fjalori'!A7</f>
        <v>Viti aktual</v>
      </c>
      <c r="B7" s="61">
        <v>2021</v>
      </c>
    </row>
    <row r="8" spans="1:2" x14ac:dyDescent="0.2">
      <c r="A8" s="222" t="str">
        <f>'(G1) Fjalori'!A8</f>
        <v>Viti t+1 (I pritur)</v>
      </c>
      <c r="B8" s="24">
        <f>B7+1</f>
        <v>2022</v>
      </c>
    </row>
    <row r="9" spans="1:2" x14ac:dyDescent="0.2">
      <c r="A9" s="222" t="str">
        <f>'(G1) Fjalori'!A9</f>
        <v>Viti t+2 (I pritur)</v>
      </c>
      <c r="B9" s="24">
        <f>B8+1</f>
        <v>2023</v>
      </c>
    </row>
    <row r="10" spans="1:2" x14ac:dyDescent="0.2">
      <c r="A10" s="222" t="str">
        <f>'(G1) Fjalori'!A10</f>
        <v>Viti t+3 (I pritur)</v>
      </c>
      <c r="B10" s="24">
        <f>B9+1</f>
        <v>2024</v>
      </c>
    </row>
    <row r="11" spans="1:2" x14ac:dyDescent="0.2">
      <c r="A11" s="94"/>
    </row>
    <row r="12" spans="1:2" x14ac:dyDescent="0.2">
      <c r="A12" s="223" t="str">
        <f>'(G1) Fjalori'!A15</f>
        <v>Bashkia (Emri)</v>
      </c>
      <c r="B12" s="612" t="s">
        <v>1950</v>
      </c>
    </row>
    <row r="13" spans="1:2" x14ac:dyDescent="0.2">
      <c r="A13" s="223" t="str">
        <f>'(G1) Fjalori'!A16</f>
        <v>Shefi i Departamentit të Financës</v>
      </c>
      <c r="B13" s="61" t="s">
        <v>1951</v>
      </c>
    </row>
    <row r="14" spans="1:2" x14ac:dyDescent="0.2">
      <c r="A14" s="223" t="str">
        <f>'(G1) Fjalori'!A17</f>
        <v>Rruga</v>
      </c>
      <c r="B14" s="61" t="s">
        <v>1952</v>
      </c>
    </row>
    <row r="15" spans="1:2" x14ac:dyDescent="0.2">
      <c r="A15" s="223" t="str">
        <f>'(G1) Fjalori'!A18</f>
        <v>Kodi Postar</v>
      </c>
      <c r="B15" s="61">
        <v>7301</v>
      </c>
    </row>
    <row r="16" spans="1:2" x14ac:dyDescent="0.2">
      <c r="A16" s="223" t="str">
        <f>'(G1) Fjalori'!A19</f>
        <v>Qyteti</v>
      </c>
      <c r="B16" s="61" t="s">
        <v>1950</v>
      </c>
    </row>
    <row r="17" spans="1:5" x14ac:dyDescent="0.2">
      <c r="A17" s="223" t="str">
        <f>'(G1) Fjalori'!A20</f>
        <v>Data e Aktualizimit (Vit, Muaj, Ditë)</v>
      </c>
      <c r="B17" s="29"/>
    </row>
    <row r="18" spans="1:5" ht="25.5" x14ac:dyDescent="0.2">
      <c r="A18" s="223" t="str">
        <f>'(G1) Fjalori'!A21</f>
        <v>Popullsia (Të dhënat sipas CENSUS, dhe e vitit të fundit)</v>
      </c>
      <c r="B18" s="107" t="s">
        <v>2107</v>
      </c>
    </row>
    <row r="19" spans="1:5" x14ac:dyDescent="0.2">
      <c r="A19" s="223" t="str">
        <f>'(G1) Fjalori'!A22</f>
        <v>Numri i punonjësve (Në fund të vitit të kaluar)</v>
      </c>
      <c r="B19" s="107">
        <v>747</v>
      </c>
    </row>
    <row r="20" spans="1:5" s="94" customFormat="1" ht="25.5" x14ac:dyDescent="0.2">
      <c r="A20" s="223" t="str">
        <f>'(G1) Fjalori'!A23</f>
        <v>Numri i punonjësve me kohë të plotë (Në fund të vitit të kaluar)</v>
      </c>
      <c r="B20" s="107">
        <v>682</v>
      </c>
    </row>
    <row r="21" spans="1:5" ht="25.5" x14ac:dyDescent="0.2">
      <c r="A21" s="223" t="str">
        <f>'(G1) Fjalori'!A24</f>
        <v>Numri i punonjësve me kohë të pjesshme (Në fund të vitit të kaluar)</v>
      </c>
      <c r="B21" s="107">
        <v>65</v>
      </c>
    </row>
    <row r="23" spans="1:5" x14ac:dyDescent="0.2">
      <c r="A23" s="223" t="str">
        <f>'(G1) Fjalori'!A25</f>
        <v>Të gjitha shifrat janë në</v>
      </c>
      <c r="B23" s="54" t="s">
        <v>932</v>
      </c>
      <c r="C23" s="112"/>
      <c r="D23" s="65"/>
      <c r="E23" s="65"/>
    </row>
    <row r="24" spans="1:5" s="94" customFormat="1" hidden="1" x14ac:dyDescent="0.2">
      <c r="B24" s="94" t="s">
        <v>932</v>
      </c>
    </row>
    <row r="25" spans="1:5" hidden="1" x14ac:dyDescent="0.2">
      <c r="B25" s="1" t="s">
        <v>929</v>
      </c>
    </row>
    <row r="26" spans="1:5" hidden="1" x14ac:dyDescent="0.2">
      <c r="B26" s="1" t="s">
        <v>930</v>
      </c>
    </row>
    <row r="27" spans="1:5" hidden="1" x14ac:dyDescent="0.2">
      <c r="B27" s="1" t="s">
        <v>931</v>
      </c>
    </row>
  </sheetData>
  <sheetProtection selectLockedCells="1"/>
  <mergeCells count="2">
    <mergeCell ref="A3:B3"/>
    <mergeCell ref="A1:B1"/>
  </mergeCells>
  <dataValidations count="1">
    <dataValidation type="list" allowBlank="1" showInputMessage="1" showErrorMessage="1" sqref="B23">
      <formula1>$B$24:$B$27</formula1>
    </dataValidation>
  </dataValidation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&amp;LPROGRAMI BUXHETOR AFATMESËM&amp;C&amp;8 28 Shkurt 2018&amp;R&amp;A</oddHeader>
    <oddFooter>&amp;L&amp;8Copyright for Albania:  Ministry of Finance and Economy / Local Finance Directory&amp;R1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00B0F0"/>
    <pageSetUpPr fitToPage="1"/>
  </sheetPr>
  <dimension ref="A1:H81"/>
  <sheetViews>
    <sheetView showGridLines="0" topLeftCell="B1" zoomScale="110" zoomScaleNormal="110" workbookViewId="0">
      <selection activeCell="E23" sqref="E23:H23"/>
    </sheetView>
  </sheetViews>
  <sheetFormatPr defaultColWidth="9.140625" defaultRowHeight="12.75" x14ac:dyDescent="0.2"/>
  <cols>
    <col min="1" max="1" width="14.28515625" style="1" bestFit="1" customWidth="1"/>
    <col min="2" max="2" width="71.42578125" style="1" customWidth="1"/>
    <col min="3" max="3" width="22.7109375" style="1" customWidth="1"/>
    <col min="4" max="4" width="21.28515625" style="1" customWidth="1"/>
    <col min="5" max="5" width="11.28515625" style="811" customWidth="1"/>
    <col min="6" max="8" width="9.28515625" style="811" customWidth="1"/>
    <col min="9" max="16384" width="9.140625" style="1"/>
  </cols>
  <sheetData>
    <row r="1" spans="1:8" s="41" customFormat="1" x14ac:dyDescent="0.2">
      <c r="A1" s="1118" t="str">
        <f>'(G1) Fjalori'!A13</f>
        <v>Verdhë = Per tu plotësuar nga Departamenti i Financës</v>
      </c>
      <c r="B1" s="1119"/>
      <c r="C1" s="1119"/>
      <c r="D1" s="1119"/>
      <c r="E1" s="1119"/>
      <c r="F1" s="1119"/>
      <c r="G1" s="1119"/>
      <c r="H1" s="1120"/>
    </row>
    <row r="2" spans="1:8" s="94" customFormat="1" x14ac:dyDescent="0.2">
      <c r="E2" s="811"/>
      <c r="F2" s="811"/>
      <c r="G2" s="811"/>
      <c r="H2" s="811"/>
    </row>
    <row r="3" spans="1:8" s="209" customFormat="1" ht="21" x14ac:dyDescent="0.25">
      <c r="A3" s="1114" t="str">
        <f>'(G1) Fjalori'!A27</f>
        <v>(B2) STRUKTURA ORGANIZATIVE</v>
      </c>
      <c r="B3" s="1121"/>
      <c r="C3" s="1121"/>
      <c r="D3" s="1121"/>
      <c r="E3" s="1121"/>
      <c r="F3" s="1121"/>
      <c r="G3" s="1121"/>
      <c r="H3" s="1115"/>
    </row>
    <row r="5" spans="1:8" s="2" customFormat="1" ht="25.5" customHeight="1" x14ac:dyDescent="0.25">
      <c r="A5" s="1125" t="str">
        <f>'(G1) Fjalori'!A28</f>
        <v>Numër</v>
      </c>
      <c r="B5" s="1125" t="str">
        <f>'(G1) Fjalori'!A29</f>
        <v>Emri i Nënfunksionit</v>
      </c>
      <c r="C5" s="1125" t="str">
        <f>'(G1) Fjalori'!A30</f>
        <v>Drejtoria / Departamenti</v>
      </c>
      <c r="D5" s="1125" t="str">
        <f>'(G1) Fjalori'!A31</f>
        <v>Kryetari i programit</v>
      </c>
      <c r="E5" s="1122" t="str">
        <f>'(G1) Fjalori'!A34</f>
        <v>Numri i punonjësve</v>
      </c>
      <c r="F5" s="1123"/>
      <c r="G5" s="1123"/>
      <c r="H5" s="1124"/>
    </row>
    <row r="6" spans="1:8" s="2" customFormat="1" ht="25.5" x14ac:dyDescent="0.25">
      <c r="A6" s="1126"/>
      <c r="B6" s="1126"/>
      <c r="C6" s="1126"/>
      <c r="D6" s="1126"/>
      <c r="E6" s="812" t="str">
        <f>'(G1) Fjalori'!A7</f>
        <v>Viti aktual</v>
      </c>
      <c r="F6" s="812" t="str">
        <f>'(G1) Fjalori'!A8</f>
        <v>Viti t+1 (I pritur)</v>
      </c>
      <c r="G6" s="812" t="str">
        <f>'(G1) Fjalori'!A9</f>
        <v>Viti t+2 (I pritur)</v>
      </c>
      <c r="H6" s="812" t="str">
        <f>'(G1) Fjalori'!A10</f>
        <v>Viti t+3 (I pritur)</v>
      </c>
    </row>
    <row r="7" spans="1:8" ht="25.5" x14ac:dyDescent="0.2">
      <c r="A7" s="224" t="str">
        <f>'(G1) Fjalori'!A64</f>
        <v>Nënfunksioni 1</v>
      </c>
      <c r="B7" s="24" t="str">
        <f>'(G1) Fjalori'!A35</f>
        <v>011 Organet ekzekutive dhe legjislative, për çështjet financiare dhe fiskale, çështjet e brendshme</v>
      </c>
      <c r="C7" s="54" t="s">
        <v>2108</v>
      </c>
      <c r="D7" s="54" t="s">
        <v>2663</v>
      </c>
      <c r="E7" s="813">
        <v>243</v>
      </c>
      <c r="F7" s="813">
        <v>243</v>
      </c>
      <c r="G7" s="813">
        <v>243</v>
      </c>
      <c r="H7" s="813">
        <v>243</v>
      </c>
    </row>
    <row r="8" spans="1:8" x14ac:dyDescent="0.2">
      <c r="A8" s="224" t="str">
        <f>'(G1) Fjalori'!A65</f>
        <v>Nënfunksioni 2</v>
      </c>
      <c r="B8" s="100" t="str">
        <f>'(G1) Fjalori'!A36</f>
        <v>017 Shërbime të  huamarrjes vendore</v>
      </c>
      <c r="C8" s="54"/>
      <c r="D8" s="583"/>
      <c r="E8" s="1028"/>
      <c r="F8" s="1028"/>
      <c r="G8" s="1028"/>
      <c r="H8" s="1028"/>
    </row>
    <row r="9" spans="1:8" x14ac:dyDescent="0.2">
      <c r="A9" s="224" t="str">
        <f>'(G1) Fjalori'!A66</f>
        <v>Nënfunksioni 3</v>
      </c>
      <c r="B9" s="100" t="str">
        <f>'(G1) Fjalori'!A37</f>
        <v>031 Shërbimet Policore</v>
      </c>
      <c r="C9" s="54" t="s">
        <v>2109</v>
      </c>
      <c r="D9" s="583"/>
      <c r="E9" s="1029">
        <v>19</v>
      </c>
      <c r="F9" s="1029">
        <v>19</v>
      </c>
      <c r="G9" s="1029">
        <v>19</v>
      </c>
      <c r="H9" s="1029">
        <v>19</v>
      </c>
    </row>
    <row r="10" spans="1:8" x14ac:dyDescent="0.2">
      <c r="A10" s="224" t="str">
        <f>'(G1) Fjalori'!A67</f>
        <v>Nënfunksioni 4</v>
      </c>
      <c r="B10" s="100" t="str">
        <f>'(G1) Fjalori'!A38</f>
        <v>032 Shërbimet e mbrojtjes ndaj zjarrit</v>
      </c>
      <c r="C10" s="805" t="s">
        <v>2022</v>
      </c>
      <c r="D10" s="54" t="s">
        <v>2110</v>
      </c>
      <c r="E10" s="1030">
        <v>14</v>
      </c>
      <c r="F10" s="1030">
        <v>14</v>
      </c>
      <c r="G10" s="1030">
        <v>14</v>
      </c>
      <c r="H10" s="1030">
        <v>14</v>
      </c>
    </row>
    <row r="11" spans="1:8" x14ac:dyDescent="0.2">
      <c r="A11" s="224" t="str">
        <f>'(G1) Fjalori'!A68</f>
        <v>Nënfunksioni 5</v>
      </c>
      <c r="B11" s="100" t="str">
        <f>'(G1) Fjalori'!A39</f>
        <v>036 Marrdheniet me komunitetin</v>
      </c>
      <c r="C11" s="54"/>
      <c r="D11" s="54"/>
      <c r="E11" s="1030"/>
      <c r="F11" s="1030"/>
      <c r="G11" s="1030"/>
      <c r="H11" s="1030"/>
    </row>
    <row r="12" spans="1:8" x14ac:dyDescent="0.2">
      <c r="A12" s="224" t="str">
        <f>'(G1) Fjalori'!A69</f>
        <v>Nënfunksioni 6</v>
      </c>
      <c r="B12" s="100" t="str">
        <f>'(G1) Fjalori'!A40</f>
        <v>041 Çështjet e përgjithshme ekonomike, tregtare dhe të punës</v>
      </c>
      <c r="C12" s="54"/>
      <c r="D12" s="54"/>
      <c r="E12" s="1030"/>
      <c r="F12" s="1030"/>
      <c r="G12" s="1030"/>
      <c r="H12" s="1030"/>
    </row>
    <row r="13" spans="1:8" ht="25.5" x14ac:dyDescent="0.2">
      <c r="A13" s="224" t="str">
        <f>'(G1) Fjalori'!A70</f>
        <v>Nënfunksioni 7</v>
      </c>
      <c r="B13" s="100" t="str">
        <f>'(G1) Fjalori'!A41</f>
        <v>042 Bujqësia, pyjet, peshkimi dhe gjuetia</v>
      </c>
      <c r="C13" s="54" t="s">
        <v>2111</v>
      </c>
      <c r="D13" s="54" t="s">
        <v>2112</v>
      </c>
      <c r="E13" s="1030">
        <v>190</v>
      </c>
      <c r="F13" s="1030">
        <v>190</v>
      </c>
      <c r="G13" s="1030">
        <v>190</v>
      </c>
      <c r="H13" s="1030">
        <v>190</v>
      </c>
    </row>
    <row r="14" spans="1:8" x14ac:dyDescent="0.2">
      <c r="A14" s="224" t="str">
        <f>'(G1) Fjalori'!A71</f>
        <v>Nënfunksioni 8</v>
      </c>
      <c r="B14" s="100" t="str">
        <f>'(G1) Fjalori'!A42</f>
        <v>045 Trasporti</v>
      </c>
      <c r="C14" s="54"/>
      <c r="D14" s="54"/>
      <c r="E14" s="1030"/>
      <c r="F14" s="1030"/>
      <c r="G14" s="1030"/>
      <c r="H14" s="1030"/>
    </row>
    <row r="15" spans="1:8" x14ac:dyDescent="0.2">
      <c r="A15" s="224" t="str">
        <f>'(G1) Fjalori'!A72</f>
        <v>Nënfunksioni 9</v>
      </c>
      <c r="B15" s="100" t="str">
        <f>'(G1) Fjalori'!A43</f>
        <v>047 Industri të tjera</v>
      </c>
      <c r="C15" s="54"/>
      <c r="D15" s="54"/>
      <c r="E15" s="1030"/>
      <c r="F15" s="1030"/>
      <c r="G15" s="1030"/>
      <c r="H15" s="1030"/>
    </row>
    <row r="16" spans="1:8" x14ac:dyDescent="0.2">
      <c r="A16" s="224" t="str">
        <f>'(G1) Fjalori'!A73</f>
        <v>Nënfunksioni 10</v>
      </c>
      <c r="B16" s="100" t="str">
        <f>'(G1) Fjalori'!A44</f>
        <v>062 Menaxhimi i i mbetjeve</v>
      </c>
      <c r="C16" s="54"/>
      <c r="D16" s="54"/>
      <c r="E16" s="1030"/>
      <c r="F16" s="1030"/>
      <c r="G16" s="1030"/>
      <c r="H16" s="1030"/>
    </row>
    <row r="17" spans="1:8" x14ac:dyDescent="0.2">
      <c r="A17" s="224" t="str">
        <f>'(G1) Fjalori'!A74</f>
        <v>Nënfunksioni 11</v>
      </c>
      <c r="B17" s="100" t="str">
        <f>'(G1) Fjalori'!A45</f>
        <v>052 Menaxhimi i ujrave të zeza</v>
      </c>
      <c r="C17" s="54"/>
      <c r="D17" s="54"/>
      <c r="E17" s="1030"/>
      <c r="F17" s="1030"/>
      <c r="G17" s="1030"/>
      <c r="H17" s="1030"/>
    </row>
    <row r="18" spans="1:8" x14ac:dyDescent="0.2">
      <c r="A18" s="224" t="str">
        <f>'(G1) Fjalori'!A75</f>
        <v>Nënfunksioni 12</v>
      </c>
      <c r="B18" s="100" t="str">
        <f>'(G1) Fjalori'!A46</f>
        <v>053 Reduktimi i ndotjes</v>
      </c>
      <c r="C18" s="54"/>
      <c r="D18" s="54"/>
      <c r="E18" s="1030"/>
      <c r="F18" s="1030"/>
      <c r="G18" s="1030"/>
      <c r="H18" s="1030"/>
    </row>
    <row r="19" spans="1:8" x14ac:dyDescent="0.2">
      <c r="A19" s="224" t="str">
        <f>'(G1) Fjalori'!A76</f>
        <v>Nënfunksioni 13</v>
      </c>
      <c r="B19" s="100" t="str">
        <f>'(G1) Fjalori'!A47</f>
        <v>056 Mbrojtja e mjedisit</v>
      </c>
      <c r="C19" s="54"/>
      <c r="D19" s="54"/>
      <c r="E19" s="1030"/>
      <c r="F19" s="1030"/>
      <c r="G19" s="1030"/>
      <c r="H19" s="1030"/>
    </row>
    <row r="20" spans="1:8" x14ac:dyDescent="0.2">
      <c r="A20" s="224" t="str">
        <f>'(G1) Fjalori'!A77</f>
        <v>Nënfunksioni 14</v>
      </c>
      <c r="B20" s="100" t="str">
        <f>'(G1) Fjalori'!A48</f>
        <v>061 Urbanistika</v>
      </c>
      <c r="C20" s="54"/>
      <c r="D20" s="54"/>
      <c r="E20" s="1030"/>
      <c r="F20" s="1030"/>
      <c r="G20" s="1030"/>
      <c r="H20" s="1030"/>
    </row>
    <row r="21" spans="1:8" ht="25.5" x14ac:dyDescent="0.2">
      <c r="A21" s="224" t="str">
        <f>'(G1) Fjalori'!A78</f>
        <v>Nënfunksioni 15</v>
      </c>
      <c r="B21" s="100" t="str">
        <f>'(G1) Fjalori'!A49</f>
        <v>062 Zhvillimi i komunitetit</v>
      </c>
      <c r="C21" s="54" t="s">
        <v>2113</v>
      </c>
      <c r="D21" s="54" t="s">
        <v>2114</v>
      </c>
      <c r="E21" s="1030"/>
      <c r="F21" s="1030"/>
      <c r="G21" s="1030"/>
      <c r="H21" s="1030"/>
    </row>
    <row r="22" spans="1:8" x14ac:dyDescent="0.2">
      <c r="A22" s="224" t="str">
        <f>'(G1) Fjalori'!A79</f>
        <v>Nënfunksioni 16</v>
      </c>
      <c r="B22" s="100" t="str">
        <f>'(G1) Fjalori'!A50</f>
        <v>063 Furnizimi me ujë</v>
      </c>
      <c r="C22" s="54"/>
      <c r="D22" s="54"/>
      <c r="E22" s="1030"/>
      <c r="F22" s="1030"/>
      <c r="G22" s="1030"/>
      <c r="H22" s="1030"/>
    </row>
    <row r="23" spans="1:8" ht="25.5" x14ac:dyDescent="0.2">
      <c r="A23" s="224" t="str">
        <f>'(G1) Fjalori'!A80</f>
        <v>Nënfunksioni 17</v>
      </c>
      <c r="B23" s="100" t="str">
        <f>'(G1) Fjalori'!A51</f>
        <v>064 Ndriçimi i rrugëve</v>
      </c>
      <c r="C23" s="54" t="s">
        <v>2111</v>
      </c>
      <c r="D23" s="54" t="s">
        <v>2112</v>
      </c>
      <c r="E23" s="1030"/>
      <c r="F23" s="1030"/>
      <c r="G23" s="1030"/>
      <c r="H23" s="1030"/>
    </row>
    <row r="24" spans="1:8" x14ac:dyDescent="0.2">
      <c r="A24" s="224" t="str">
        <f>'(G1) Fjalori'!A81</f>
        <v>Nënfunksioni 18</v>
      </c>
      <c r="B24" s="100" t="str">
        <f>'(G1) Fjalori'!A52</f>
        <v xml:space="preserve">072 Shërbimet e kujdesit parësor </v>
      </c>
      <c r="C24" s="54"/>
      <c r="D24" s="54"/>
      <c r="E24" s="1030"/>
      <c r="F24" s="1030"/>
      <c r="G24" s="1030"/>
      <c r="H24" s="1030"/>
    </row>
    <row r="25" spans="1:8" x14ac:dyDescent="0.2">
      <c r="A25" s="224" t="str">
        <f>'(G1) Fjalori'!A82</f>
        <v>Nënfunksioni 19</v>
      </c>
      <c r="B25" s="100" t="str">
        <f>'(G1) Fjalori'!A53</f>
        <v>081 Shërbimet rekreative dhe sportive</v>
      </c>
      <c r="C25" s="54" t="s">
        <v>2023</v>
      </c>
      <c r="D25" s="54" t="s">
        <v>2115</v>
      </c>
      <c r="E25" s="1030">
        <v>8</v>
      </c>
      <c r="F25" s="1030">
        <v>8</v>
      </c>
      <c r="G25" s="1030">
        <v>8</v>
      </c>
      <c r="H25" s="1030">
        <v>8</v>
      </c>
    </row>
    <row r="26" spans="1:8" x14ac:dyDescent="0.2">
      <c r="A26" s="224" t="str">
        <f>'(G1) Fjalori'!A83</f>
        <v>Nënfunksioni 20</v>
      </c>
      <c r="B26" s="100" t="str">
        <f>'(G1) Fjalori'!A54</f>
        <v>082 Shërbimet kulturore</v>
      </c>
      <c r="C26" s="54" t="s">
        <v>2024</v>
      </c>
      <c r="D26" s="54" t="s">
        <v>2116</v>
      </c>
      <c r="E26" s="1030">
        <v>28</v>
      </c>
      <c r="F26" s="1030">
        <v>28</v>
      </c>
      <c r="G26" s="1030">
        <v>28</v>
      </c>
      <c r="H26" s="1030">
        <v>28</v>
      </c>
    </row>
    <row r="27" spans="1:8" x14ac:dyDescent="0.2">
      <c r="A27" s="224" t="str">
        <f>'(G1) Fjalori'!A84</f>
        <v>Nënfunksioni 21</v>
      </c>
      <c r="B27" s="100" t="str">
        <f>'(G1) Fjalori'!A55</f>
        <v>091 Arsimi bazë dhe parashkollor</v>
      </c>
      <c r="C27" s="54" t="s">
        <v>2025</v>
      </c>
      <c r="D27" s="54" t="s">
        <v>2117</v>
      </c>
      <c r="E27" s="1030">
        <v>242</v>
      </c>
      <c r="F27" s="1030">
        <v>242</v>
      </c>
      <c r="G27" s="1030">
        <v>242</v>
      </c>
      <c r="H27" s="1030">
        <v>242</v>
      </c>
    </row>
    <row r="28" spans="1:8" x14ac:dyDescent="0.2">
      <c r="A28" s="224" t="str">
        <f>'(G1) Fjalori'!A85</f>
        <v>Nënfunksioni 22</v>
      </c>
      <c r="B28" s="100" t="str">
        <f>'(G1) Fjalori'!A56</f>
        <v>092 Arsimi  parauniversitar</v>
      </c>
      <c r="C28" s="54" t="s">
        <v>2025</v>
      </c>
      <c r="D28" s="54"/>
      <c r="E28" s="1030"/>
      <c r="F28" s="1030"/>
      <c r="G28" s="1030"/>
      <c r="H28" s="1030"/>
    </row>
    <row r="29" spans="1:8" s="94" customFormat="1" x14ac:dyDescent="0.2">
      <c r="A29" s="224" t="str">
        <f>'(G1) Fjalori'!A87</f>
        <v>Nënfunksioni 23</v>
      </c>
      <c r="B29" s="100" t="str">
        <f>'(G1) Fjalori'!A58</f>
        <v>101 Sëmundje dhe paaftësi</v>
      </c>
      <c r="C29" s="54"/>
      <c r="D29" s="54"/>
      <c r="E29" s="1030"/>
      <c r="F29" s="1030"/>
      <c r="G29" s="1030"/>
      <c r="H29" s="1030"/>
    </row>
    <row r="30" spans="1:8" s="94" customFormat="1" x14ac:dyDescent="0.2">
      <c r="A30" s="224" t="str">
        <f>'(G1) Fjalori'!A88</f>
        <v>Nënfunksioni 24</v>
      </c>
      <c r="B30" s="100" t="str">
        <f>'(G1) Fjalori'!A59</f>
        <v>102 Të moshuarit</v>
      </c>
      <c r="C30" s="54"/>
      <c r="D30" s="54"/>
      <c r="E30" s="1030"/>
      <c r="F30" s="1030"/>
      <c r="G30" s="1030"/>
      <c r="H30" s="1030"/>
    </row>
    <row r="31" spans="1:8" s="94" customFormat="1" x14ac:dyDescent="0.2">
      <c r="A31" s="224" t="str">
        <f>'(G1) Fjalori'!A89</f>
        <v>Nënfunksioni 25</v>
      </c>
      <c r="B31" s="100" t="str">
        <f>'(G1) Fjalori'!A60</f>
        <v>104 Familje dhe fëmijë</v>
      </c>
      <c r="C31" s="54" t="s">
        <v>2026</v>
      </c>
      <c r="D31" s="54" t="s">
        <v>2118</v>
      </c>
      <c r="E31" s="1030">
        <v>31</v>
      </c>
      <c r="F31" s="1030">
        <v>31</v>
      </c>
      <c r="G31" s="1030">
        <v>31</v>
      </c>
      <c r="H31" s="1030">
        <v>31</v>
      </c>
    </row>
    <row r="32" spans="1:8" s="94" customFormat="1" x14ac:dyDescent="0.2">
      <c r="A32" s="224" t="str">
        <f>'(G1) Fjalori'!A90</f>
        <v>Nënfunksioni 26</v>
      </c>
      <c r="B32" s="100" t="str">
        <f>'(G1) Fjalori'!A61</f>
        <v>105 Papunësia</v>
      </c>
      <c r="C32" s="54" t="s">
        <v>2026</v>
      </c>
      <c r="D32" s="54"/>
      <c r="E32" s="1030"/>
      <c r="F32" s="1030"/>
      <c r="G32" s="1030"/>
      <c r="H32" s="1030"/>
    </row>
    <row r="33" spans="1:8" s="94" customFormat="1" x14ac:dyDescent="0.2">
      <c r="A33" s="224" t="str">
        <f>'(G1) Fjalori'!A91</f>
        <v>Nënfunksioni 27</v>
      </c>
      <c r="B33" s="100" t="str">
        <f>'(G1) Fjalori'!A62</f>
        <v>106 Strehimi social</v>
      </c>
      <c r="C33" s="54" t="s">
        <v>2026</v>
      </c>
      <c r="D33" s="54"/>
      <c r="E33" s="1030"/>
      <c r="F33" s="1030"/>
      <c r="G33" s="1030"/>
      <c r="H33" s="1030"/>
    </row>
    <row r="34" spans="1:8" s="94" customFormat="1" hidden="1" x14ac:dyDescent="0.2">
      <c r="A34" s="638" t="str">
        <f>'(G1) Fjalori'!A92</f>
        <v>Nënfunksioni 29</v>
      </c>
      <c r="B34" s="639" t="str">
        <f>'(G1) Fjalori'!A63</f>
        <v>107 Ndihma Ekonomike</v>
      </c>
      <c r="C34" s="54"/>
      <c r="D34" s="54" t="s">
        <v>1921</v>
      </c>
      <c r="E34" s="813"/>
      <c r="F34" s="813"/>
      <c r="G34" s="813"/>
      <c r="H34" s="813"/>
    </row>
    <row r="35" spans="1:8" x14ac:dyDescent="0.2">
      <c r="B35" s="3"/>
      <c r="E35" s="814">
        <f>SUM(E7:E34)</f>
        <v>775</v>
      </c>
      <c r="F35" s="814">
        <f>SUM(F7:F34)</f>
        <v>775</v>
      </c>
      <c r="G35" s="814">
        <f>SUM(G7:G34)</f>
        <v>775</v>
      </c>
      <c r="H35" s="814">
        <f>SUM(H7:H34)</f>
        <v>775</v>
      </c>
    </row>
    <row r="36" spans="1:8" x14ac:dyDescent="0.2">
      <c r="B36" s="3"/>
    </row>
    <row r="37" spans="1:8" x14ac:dyDescent="0.2">
      <c r="B37" s="3"/>
    </row>
    <row r="38" spans="1:8" x14ac:dyDescent="0.2">
      <c r="B38" s="3"/>
    </row>
    <row r="39" spans="1:8" x14ac:dyDescent="0.2">
      <c r="B39" s="3"/>
    </row>
    <row r="40" spans="1:8" x14ac:dyDescent="0.2">
      <c r="B40" s="3"/>
    </row>
    <row r="41" spans="1:8" x14ac:dyDescent="0.2">
      <c r="B41" s="3"/>
    </row>
    <row r="42" spans="1:8" x14ac:dyDescent="0.2">
      <c r="B42" s="3"/>
    </row>
    <row r="43" spans="1:8" x14ac:dyDescent="0.2">
      <c r="B43" s="3"/>
    </row>
    <row r="44" spans="1:8" x14ac:dyDescent="0.2">
      <c r="B44" s="3"/>
    </row>
    <row r="45" spans="1:8" x14ac:dyDescent="0.2">
      <c r="B45" s="3"/>
    </row>
    <row r="46" spans="1:8" x14ac:dyDescent="0.2">
      <c r="B46" s="3"/>
    </row>
    <row r="47" spans="1:8" x14ac:dyDescent="0.2">
      <c r="B47" s="3"/>
    </row>
    <row r="48" spans="1:8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</sheetData>
  <sheetProtection selectLockedCells="1"/>
  <dataConsolidate/>
  <mergeCells count="7">
    <mergeCell ref="A1:H1"/>
    <mergeCell ref="A3:H3"/>
    <mergeCell ref="E5:H5"/>
    <mergeCell ref="C5:C6"/>
    <mergeCell ref="D5:D6"/>
    <mergeCell ref="B5:B6"/>
    <mergeCell ref="A5:A6"/>
  </mergeCells>
  <pageMargins left="0.78740157480314965" right="0.70866141732283472" top="0.98425196850393704" bottom="0.78740157480314965" header="0.43307086614173229" footer="0.31496062992125984"/>
  <pageSetup paperSize="9" scale="74" fitToHeight="0" orientation="landscape" r:id="rId1"/>
  <headerFooter>
    <oddHeader>&amp;LPROGRAMI BUXHETOR AFATMESËM&amp;C28 Shkurt 2018&amp;R&amp;A</oddHeader>
    <oddFooter>&amp;L&amp;8Copyright for Albania: Ministry of Finance and Economy / Local Finance Directory&amp;R1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rgb="FF00B0F0"/>
    <pageSetUpPr fitToPage="1"/>
  </sheetPr>
  <dimension ref="A1:G153"/>
  <sheetViews>
    <sheetView showGridLines="0" topLeftCell="A69" workbookViewId="0">
      <selection activeCell="A42" sqref="A42"/>
    </sheetView>
  </sheetViews>
  <sheetFormatPr defaultColWidth="4.140625" defaultRowHeight="12.75" x14ac:dyDescent="0.2"/>
  <cols>
    <col min="1" max="1" width="20.42578125" style="65" customWidth="1"/>
    <col min="2" max="2" width="8.7109375" style="327" customWidth="1"/>
    <col min="3" max="3" width="59.85546875" style="64" customWidth="1"/>
    <col min="4" max="5" width="26.42578125" style="64" customWidth="1"/>
    <col min="6" max="6" width="8.5703125" style="65" customWidth="1"/>
    <col min="7" max="7" width="11.5703125" style="65" hidden="1" customWidth="1"/>
    <col min="8" max="8" width="8.5703125" style="65" customWidth="1"/>
    <col min="9" max="186" width="11.5703125" style="65" customWidth="1"/>
    <col min="187" max="187" width="3.85546875" style="65" customWidth="1"/>
    <col min="188" max="188" width="22" style="65" customWidth="1"/>
    <col min="189" max="191" width="4.140625" style="65" customWidth="1"/>
    <col min="192" max="192" width="5.85546875" style="65" customWidth="1"/>
    <col min="193" max="193" width="4.140625" style="65" customWidth="1"/>
    <col min="194" max="194" width="0.85546875" style="65" customWidth="1"/>
    <col min="195" max="195" width="5.85546875" style="65" customWidth="1"/>
    <col min="196" max="196" width="4.140625" style="65" customWidth="1"/>
    <col min="197" max="197" width="0.85546875" style="65" customWidth="1"/>
    <col min="198" max="198" width="5.85546875" style="65" customWidth="1"/>
    <col min="199" max="199" width="4.140625" style="65" customWidth="1"/>
    <col min="200" max="200" width="0.85546875" style="65" customWidth="1"/>
    <col min="201" max="201" width="5.85546875" style="65" customWidth="1"/>
    <col min="202" max="16384" width="4.140625" style="65"/>
  </cols>
  <sheetData>
    <row r="1" spans="1:7" s="169" customFormat="1" x14ac:dyDescent="0.2">
      <c r="A1" s="170" t="str">
        <f>'(G1) Fjalori'!A13</f>
        <v>Verdhë = Per tu plotësuar nga Departamenti i Financës</v>
      </c>
      <c r="B1" s="171"/>
      <c r="C1" s="171"/>
      <c r="D1" s="171"/>
      <c r="E1" s="171"/>
      <c r="F1" s="172"/>
    </row>
    <row r="3" spans="1:7" s="221" customFormat="1" ht="21" x14ac:dyDescent="0.25">
      <c r="A3" s="1127" t="str">
        <f>'(G1) Fjalori'!A94</f>
        <v>(B3) PROGRAME PËR NËNFUNKSIONE DHE FUNKSIONE</v>
      </c>
      <c r="B3" s="1128"/>
      <c r="C3" s="1128"/>
      <c r="D3" s="1128"/>
      <c r="E3" s="1128"/>
      <c r="F3" s="1129"/>
    </row>
    <row r="4" spans="1:7" s="1" customFormat="1" x14ac:dyDescent="0.2">
      <c r="B4" s="3"/>
    </row>
    <row r="5" spans="1:7" ht="26.25" thickBot="1" x14ac:dyDescent="0.25">
      <c r="A5" s="321"/>
      <c r="B5" s="321"/>
      <c r="C5" s="579" t="str">
        <f>'(G1) Fjalori'!A95</f>
        <v>Emri i programit</v>
      </c>
      <c r="D5" s="579" t="str">
        <f>'(G1) Fjalori'!A96</f>
        <v>Programi:  detyrueshme / shtesë</v>
      </c>
      <c r="E5" s="579" t="str">
        <f>'(G1) Fjalori'!A97</f>
        <v>Programi: I veti / I deleguar / Transferuar</v>
      </c>
    </row>
    <row r="6" spans="1:7" ht="19.5" thickBot="1" x14ac:dyDescent="0.35">
      <c r="A6" s="325" t="str">
        <f>'(F6) Shpenzimet sipas funks.bru'!A8</f>
        <v>01 Shërbimet e Përgjithshme Publike</v>
      </c>
      <c r="B6" s="323"/>
      <c r="C6" s="323"/>
      <c r="D6" s="323"/>
      <c r="E6" s="324"/>
    </row>
    <row r="7" spans="1:7" s="191" customFormat="1" ht="39" customHeight="1" x14ac:dyDescent="0.3">
      <c r="A7" s="240" t="str">
        <f>'(B2) Struktura Organizative'!A7</f>
        <v>Nënfunksioni 1</v>
      </c>
      <c r="B7" s="326" t="str">
        <f>'(G3) Fjalori'!A4</f>
        <v>011</v>
      </c>
      <c r="C7" s="322" t="str">
        <f>'(G3) Fjalori'!B4</f>
        <v>Organet ekzekutive dhe legjislative, per  Çështjet financiare dhe fiskale, Çështjet e brendshme</v>
      </c>
      <c r="D7" s="322"/>
      <c r="E7" s="322"/>
    </row>
    <row r="8" spans="1:7" x14ac:dyDescent="0.2">
      <c r="A8" s="110" t="str">
        <f>'(G1) Fjalori'!A101</f>
        <v>Programi 1a</v>
      </c>
      <c r="B8" s="580" t="str">
        <f>'(G3) Fjalori'!A5</f>
        <v>01110</v>
      </c>
      <c r="C8" s="100" t="str">
        <f>'(G3) Fjalori'!B5</f>
        <v>Planifikimi Menaxhimi dhe Administrimi</v>
      </c>
      <c r="D8" s="100" t="str">
        <f>'(G1) Fjalori'!A789</f>
        <v>E detyrueshme</v>
      </c>
      <c r="E8" s="100" t="str">
        <f>'(G1) Fjalori'!A$98</f>
        <v>I veti</v>
      </c>
      <c r="F8" s="112"/>
      <c r="G8" s="65" t="b">
        <f>OR(AND(C8="",D8="",E8=""),AND(C8&lt;&gt;"",D8&lt;&gt;"",E8&lt;&gt;""))</f>
        <v>1</v>
      </c>
    </row>
    <row r="9" spans="1:7" ht="14.25" customHeight="1" x14ac:dyDescent="0.2">
      <c r="A9" s="110" t="str">
        <f>'(G1) Fjalori'!A102</f>
        <v>Programi 1b</v>
      </c>
      <c r="B9" s="580" t="str">
        <f>'(G3) Fjalori'!A6</f>
        <v>01120</v>
      </c>
      <c r="C9" s="100" t="str">
        <f>'(G3) Fjalori'!B6</f>
        <v>Çështje financiare dhe fiskale</v>
      </c>
      <c r="D9" s="100" t="str">
        <f>D$8</f>
        <v>E detyrueshme</v>
      </c>
      <c r="E9" s="100" t="str">
        <f>'(G1) Fjalori'!A$98</f>
        <v>I veti</v>
      </c>
      <c r="F9" s="112"/>
      <c r="G9" s="65" t="b">
        <f t="shared" ref="G9:G74" si="0">OR(AND(C9="",D9="",E9=""),AND(C9&lt;&gt;"",D9&lt;&gt;"",E9&lt;&gt;""))</f>
        <v>1</v>
      </c>
    </row>
    <row r="10" spans="1:7" ht="15" hidden="1" customHeight="1" x14ac:dyDescent="0.2">
      <c r="A10" s="110" t="str">
        <f>'(G1) Fjalori'!A103</f>
        <v>Programi 1c</v>
      </c>
      <c r="B10" s="580" t="str">
        <f>'(G3) Fjalori'!A7</f>
        <v>01130</v>
      </c>
      <c r="C10" s="100" t="str">
        <f>'(G3) Fjalori'!B7</f>
        <v>Sherbime të pergjithshme publike</v>
      </c>
      <c r="D10" s="100" t="str">
        <f>D$8</f>
        <v>E detyrueshme</v>
      </c>
      <c r="E10" s="100" t="str">
        <f>'(G1) Fjalori'!A$98</f>
        <v>I veti</v>
      </c>
      <c r="F10" s="112"/>
      <c r="G10" s="65" t="b">
        <f t="shared" si="0"/>
        <v>1</v>
      </c>
    </row>
    <row r="11" spans="1:7" x14ac:dyDescent="0.2">
      <c r="A11" s="110" t="str">
        <f>'(G1) Fjalori'!A104</f>
        <v>Programi 1d</v>
      </c>
      <c r="B11" s="581" t="str">
        <f>'(G3) Fjalori'!A9</f>
        <v>01170</v>
      </c>
      <c r="C11" s="100" t="str">
        <f>'(G3) Fjalori'!B9</f>
        <v>Gjendja civile</v>
      </c>
      <c r="D11" s="100" t="str">
        <f>D$8</f>
        <v>E detyrueshme</v>
      </c>
      <c r="E11" s="100" t="str">
        <f>'(G1) Fjalori'!A$99</f>
        <v>I deleguar</v>
      </c>
      <c r="F11" s="112"/>
      <c r="G11" s="65" t="b">
        <f>OR(AND(C11="",D11="",E11=""),AND(C11&lt;&gt;"",D11&lt;&gt;"",E11&lt;&gt;""))</f>
        <v>1</v>
      </c>
    </row>
    <row r="12" spans="1:7" x14ac:dyDescent="0.2">
      <c r="A12" s="110" t="str">
        <f>'(G1) Fjalori'!A105</f>
        <v>Programi 1e</v>
      </c>
      <c r="B12" s="582"/>
      <c r="C12" s="54"/>
      <c r="D12" s="54"/>
      <c r="E12" s="54"/>
      <c r="F12" s="112" t="str">
        <f>IF(G12=FALSE,"INCORRECT ENTRY!","OK!")</f>
        <v>OK!</v>
      </c>
      <c r="G12" s="65" t="b">
        <f t="shared" si="0"/>
        <v>1</v>
      </c>
    </row>
    <row r="13" spans="1:7" x14ac:dyDescent="0.2">
      <c r="A13" s="110" t="str">
        <f>'(G1) Fjalori'!A106</f>
        <v>Programi 1f</v>
      </c>
      <c r="B13" s="582"/>
      <c r="C13" s="54"/>
      <c r="D13" s="54"/>
      <c r="E13" s="54"/>
      <c r="F13" s="112" t="str">
        <f>IF(G13=FALSE,"INCORRECT ENTRY!","OK!")</f>
        <v>OK!</v>
      </c>
      <c r="G13" s="65" t="b">
        <f t="shared" si="0"/>
        <v>1</v>
      </c>
    </row>
    <row r="14" spans="1:7" s="191" customFormat="1" ht="21.75" customHeight="1" x14ac:dyDescent="0.3">
      <c r="A14" s="240" t="str">
        <f>'(B2) Struktura Organizative'!A8</f>
        <v>Nënfunksioni 2</v>
      </c>
      <c r="B14" s="320" t="str">
        <f>'(G3) Fjalori'!A10</f>
        <v>017</v>
      </c>
      <c r="C14" s="272" t="str">
        <f>'(G3) Fjalori'!B10</f>
        <v>Shërbime të  huamarrjes vendore</v>
      </c>
      <c r="D14" s="272"/>
      <c r="E14" s="272"/>
    </row>
    <row r="15" spans="1:7" hidden="1" x14ac:dyDescent="0.2">
      <c r="A15" s="110" t="str">
        <f>'(G1) Fjalori'!A107</f>
        <v>Programi 2a</v>
      </c>
      <c r="B15" s="580" t="str">
        <f>'(G3) Fjalori'!A11</f>
        <v>01310</v>
      </c>
      <c r="C15" s="100" t="str">
        <f>'(G3) Fjalori'!B11</f>
        <v>Planifikimi i përgjithshëm dhe Shërbimet Statistikore</v>
      </c>
      <c r="D15" s="100" t="str">
        <f>D$8</f>
        <v>E detyrueshme</v>
      </c>
      <c r="E15" s="100" t="str">
        <f>'(G1) Fjalori'!A$98</f>
        <v>I veti</v>
      </c>
      <c r="F15" s="112"/>
      <c r="G15" s="65" t="b">
        <f t="shared" si="0"/>
        <v>1</v>
      </c>
    </row>
    <row r="16" spans="1:7" ht="12.75" hidden="1" customHeight="1" x14ac:dyDescent="0.2">
      <c r="A16" s="110" t="str">
        <f>'(G1) Fjalori'!A108</f>
        <v>Programi 2b</v>
      </c>
      <c r="B16" s="580" t="str">
        <f>'(G3) Fjalori'!A12</f>
        <v>01312</v>
      </c>
      <c r="C16" s="100" t="str">
        <f>'(G3) Fjalori'!B12</f>
        <v>Gjendja civile</v>
      </c>
      <c r="D16" s="100" t="str">
        <f>D$8</f>
        <v>E detyrueshme</v>
      </c>
      <c r="E16" s="100" t="str">
        <f>'(G1) Fjalori'!A$98</f>
        <v>I veti</v>
      </c>
      <c r="F16" s="112"/>
      <c r="G16" s="65" t="b">
        <f t="shared" si="0"/>
        <v>1</v>
      </c>
    </row>
    <row r="17" spans="1:7" hidden="1" x14ac:dyDescent="0.2">
      <c r="A17" s="110" t="str">
        <f>'(G1) Fjalori'!A109</f>
        <v>Programi 2c</v>
      </c>
      <c r="B17" s="580" t="str">
        <f>'(G3) Fjalori'!A13</f>
        <v>01320</v>
      </c>
      <c r="C17" s="100" t="str">
        <f>'(G3) Fjalori'!B13</f>
        <v>Shërbime të tjera të përgjithshme</v>
      </c>
      <c r="D17" s="100" t="str">
        <f>D$8</f>
        <v>E detyrueshme</v>
      </c>
      <c r="E17" s="100" t="str">
        <f>'(G1) Fjalori'!A$98</f>
        <v>I veti</v>
      </c>
      <c r="F17" s="112"/>
      <c r="G17" s="65" t="b">
        <f t="shared" si="0"/>
        <v>1</v>
      </c>
    </row>
    <row r="18" spans="1:7" x14ac:dyDescent="0.2">
      <c r="A18" s="110" t="str">
        <f>'(G1) Fjalori'!A110</f>
        <v>Programi 2d</v>
      </c>
      <c r="B18" s="580" t="str">
        <f>'(G3) Fjalori'!A14</f>
        <v>01710</v>
      </c>
      <c r="C18" s="100" t="str">
        <f>'(G3) Fjalori'!B14</f>
        <v>Pagesa për shërbimin e borxhit të brendshëm</v>
      </c>
      <c r="D18" s="100" t="str">
        <f>D$8</f>
        <v>E detyrueshme</v>
      </c>
      <c r="E18" s="100" t="str">
        <f>'(G1) Fjalori'!A$98</f>
        <v>I veti</v>
      </c>
      <c r="F18" s="112"/>
    </row>
    <row r="19" spans="1:7" ht="13.5" thickBot="1" x14ac:dyDescent="0.25">
      <c r="A19" s="110" t="str">
        <f>'(G1) Fjalori'!A111</f>
        <v>Programi 2e</v>
      </c>
      <c r="B19" s="583"/>
      <c r="C19" s="54"/>
      <c r="D19" s="54"/>
      <c r="E19" s="54"/>
      <c r="F19" s="112" t="str">
        <f>IF(G19=FALSE,"INCORRECT ENTRY!","OK!")</f>
        <v>OK!</v>
      </c>
      <c r="G19" s="65" t="b">
        <f t="shared" si="0"/>
        <v>1</v>
      </c>
    </row>
    <row r="20" spans="1:7" ht="19.5" thickBot="1" x14ac:dyDescent="0.35">
      <c r="A20" s="325" t="str">
        <f>'(F6) Shpenzimet sipas funks.bru'!A12</f>
        <v>03 Rendi dhe Siguria Publike</v>
      </c>
      <c r="B20" s="323"/>
      <c r="C20" s="323"/>
      <c r="D20" s="323"/>
      <c r="E20" s="324"/>
    </row>
    <row r="21" spans="1:7" s="191" customFormat="1" ht="18.75" customHeight="1" x14ac:dyDescent="0.3">
      <c r="A21" s="240" t="str">
        <f>'(B2) Struktura Organizative'!A9</f>
        <v>Nënfunksioni 3</v>
      </c>
      <c r="B21" s="320" t="str">
        <f>'(G3) Fjalori'!A16</f>
        <v>031</v>
      </c>
      <c r="C21" s="272" t="str">
        <f>'(G3) Fjalori'!B16</f>
        <v>Shërbimet Policore</v>
      </c>
      <c r="D21" s="272"/>
      <c r="E21" s="272"/>
    </row>
    <row r="22" spans="1:7" x14ac:dyDescent="0.2">
      <c r="A22" s="110" t="str">
        <f>'(G1) Fjalori'!A112</f>
        <v>Programi 3a</v>
      </c>
      <c r="B22" s="580" t="str">
        <f>'(G3) Fjalori'!A17</f>
        <v>03140</v>
      </c>
      <c r="C22" s="100" t="str">
        <f>'(G3) Fjalori'!B17</f>
        <v>Shërbimet e Policisë Vendore</v>
      </c>
      <c r="D22" s="100" t="str">
        <f>D$8</f>
        <v>E detyrueshme</v>
      </c>
      <c r="E22" s="100" t="str">
        <f>'(G1) Fjalori'!A$98</f>
        <v>I veti</v>
      </c>
      <c r="F22" s="112"/>
      <c r="G22" s="65" t="b">
        <f t="shared" si="0"/>
        <v>1</v>
      </c>
    </row>
    <row r="23" spans="1:7" x14ac:dyDescent="0.2">
      <c r="A23" s="110" t="str">
        <f>'(G1) Fjalori'!A113</f>
        <v>Programi 3b</v>
      </c>
      <c r="B23" s="583"/>
      <c r="C23" s="54"/>
      <c r="D23" s="54"/>
      <c r="E23" s="54"/>
      <c r="F23" s="112" t="str">
        <f>IF(G23=FALSE,"INCORRECT ENTRY!","OK!")</f>
        <v>OK!</v>
      </c>
      <c r="G23" s="65" t="b">
        <f t="shared" si="0"/>
        <v>1</v>
      </c>
    </row>
    <row r="24" spans="1:7" x14ac:dyDescent="0.2">
      <c r="A24" s="110" t="str">
        <f>'(G1) Fjalori'!A114</f>
        <v>Programi 3c</v>
      </c>
      <c r="B24" s="583"/>
      <c r="C24" s="54"/>
      <c r="D24" s="54"/>
      <c r="E24" s="54"/>
      <c r="F24" s="112" t="str">
        <f>IF(G24=FALSE,"INCORRECT ENTRY!","OK!")</f>
        <v>OK!</v>
      </c>
      <c r="G24" s="65" t="b">
        <f t="shared" si="0"/>
        <v>1</v>
      </c>
    </row>
    <row r="25" spans="1:7" s="191" customFormat="1" ht="19.5" customHeight="1" x14ac:dyDescent="0.3">
      <c r="A25" s="240" t="str">
        <f>'(B2) Struktura Organizative'!A10</f>
        <v>Nënfunksioni 4</v>
      </c>
      <c r="B25" s="320" t="str">
        <f>'(G3) Fjalori'!A18</f>
        <v>032</v>
      </c>
      <c r="C25" s="272" t="str">
        <f>'(G3) Fjalori'!B18</f>
        <v>Shërbimet e mbrojtjes ndaj zjarrit</v>
      </c>
      <c r="D25" s="272"/>
      <c r="E25" s="272"/>
    </row>
    <row r="26" spans="1:7" x14ac:dyDescent="0.2">
      <c r="A26" s="110" t="str">
        <f>'(G1) Fjalori'!A115</f>
        <v>Programi 4a</v>
      </c>
      <c r="B26" s="580" t="str">
        <f>'(G3) Fjalori'!A19</f>
        <v>03280</v>
      </c>
      <c r="C26" s="100" t="str">
        <f>'(G3) Fjalori'!B19</f>
        <v>Mbrotja nga zjarri dhe mbrojtja civile</v>
      </c>
      <c r="D26" s="100" t="str">
        <f>D$8</f>
        <v>E detyrueshme</v>
      </c>
      <c r="E26" s="100" t="str">
        <f>'(G1) Fjalori'!A$100</f>
        <v>Transferuar</v>
      </c>
      <c r="F26" s="112"/>
      <c r="G26" s="65" t="b">
        <f t="shared" si="0"/>
        <v>1</v>
      </c>
    </row>
    <row r="27" spans="1:7" x14ac:dyDescent="0.2">
      <c r="A27" s="110" t="str">
        <f>'(G1) Fjalori'!A116</f>
        <v>Programi 4b</v>
      </c>
      <c r="B27" s="583"/>
      <c r="C27" s="54"/>
      <c r="D27" s="54"/>
      <c r="E27" s="54"/>
      <c r="F27" s="112" t="str">
        <f>IF(G27=FALSE,"INCORRECT ENTRY!","OK!")</f>
        <v>OK!</v>
      </c>
      <c r="G27" s="65" t="b">
        <f t="shared" si="0"/>
        <v>1</v>
      </c>
    </row>
    <row r="28" spans="1:7" x14ac:dyDescent="0.2">
      <c r="A28" s="110" t="str">
        <f>'(G1) Fjalori'!A117</f>
        <v>Programi 4c</v>
      </c>
      <c r="B28" s="583"/>
      <c r="C28" s="54"/>
      <c r="D28" s="54"/>
      <c r="E28" s="54"/>
      <c r="F28" s="112" t="str">
        <f>IF(G28=FALSE,"INCORRECT ENTRY!","OK!")</f>
        <v>OK!</v>
      </c>
      <c r="G28" s="65" t="b">
        <f t="shared" si="0"/>
        <v>1</v>
      </c>
    </row>
    <row r="29" spans="1:7" s="191" customFormat="1" ht="18.75" customHeight="1" x14ac:dyDescent="0.3">
      <c r="A29" s="240" t="str">
        <f>'(B2) Struktura Organizative'!A11</f>
        <v>Nënfunksioni 5</v>
      </c>
      <c r="B29" s="320" t="str">
        <f>'(G3) Fjalori'!A20</f>
        <v>036</v>
      </c>
      <c r="C29" s="272" t="str">
        <f>'(G3) Fjalori'!B20</f>
        <v>Marrdheniet me komunitetin</v>
      </c>
      <c r="D29" s="272"/>
      <c r="E29" s="272"/>
    </row>
    <row r="30" spans="1:7" x14ac:dyDescent="0.2">
      <c r="A30" s="110" t="str">
        <f>'(G1) Fjalori'!A118</f>
        <v>Programi 5a</v>
      </c>
      <c r="B30" s="580" t="str">
        <f>'(G3) Fjalori'!A21</f>
        <v>03600</v>
      </c>
      <c r="C30" s="100" t="str">
        <f>'(G3) Fjalori'!B21</f>
        <v>Marrdheniet me komunitetin</v>
      </c>
      <c r="D30" s="100" t="str">
        <f>D$8</f>
        <v>E detyrueshme</v>
      </c>
      <c r="E30" s="100" t="str">
        <f>'(G1) Fjalori'!A$98</f>
        <v>I veti</v>
      </c>
      <c r="F30" s="112"/>
      <c r="G30" s="65" t="b">
        <f t="shared" si="0"/>
        <v>1</v>
      </c>
    </row>
    <row r="31" spans="1:7" hidden="1" x14ac:dyDescent="0.2">
      <c r="A31" s="110" t="str">
        <f>'(G1) Fjalori'!A119</f>
        <v>Programi 5b</v>
      </c>
      <c r="B31" s="580" t="str">
        <f>'(G3) Fjalori'!A22</f>
        <v>03602</v>
      </c>
      <c r="C31" s="100" t="str">
        <f>'(G3) Fjalori'!B22</f>
        <v>Supervizionimi administrativ lokal</v>
      </c>
      <c r="D31" s="100" t="str">
        <f>D$8</f>
        <v>E detyrueshme</v>
      </c>
      <c r="E31" s="100" t="str">
        <f>'(G1) Fjalori'!A$98</f>
        <v>I veti</v>
      </c>
      <c r="F31" s="112"/>
      <c r="G31" s="65" t="b">
        <f t="shared" si="0"/>
        <v>1</v>
      </c>
    </row>
    <row r="32" spans="1:7" ht="13.5" thickBot="1" x14ac:dyDescent="0.25">
      <c r="A32" s="110" t="str">
        <f>'(G1) Fjalori'!A120</f>
        <v>Programi 5c</v>
      </c>
      <c r="B32" s="583"/>
      <c r="C32" s="54"/>
      <c r="D32" s="54"/>
      <c r="E32" s="54"/>
      <c r="F32" s="112" t="str">
        <f>IF(G32=FALSE,"INCORRECT ENTRY!","OK!")</f>
        <v>OK!</v>
      </c>
      <c r="G32" s="65" t="b">
        <f t="shared" si="0"/>
        <v>1</v>
      </c>
    </row>
    <row r="33" spans="1:7" ht="19.5" thickBot="1" x14ac:dyDescent="0.35">
      <c r="A33" s="325" t="str">
        <f>'(F6) Shpenzimet sipas funks.bru'!A17</f>
        <v>04 Çeshtjet Ekonomike</v>
      </c>
      <c r="B33" s="323"/>
      <c r="C33" s="323"/>
      <c r="D33" s="323"/>
      <c r="E33" s="324"/>
    </row>
    <row r="34" spans="1:7" s="191" customFormat="1" ht="18.75" customHeight="1" x14ac:dyDescent="0.3">
      <c r="A34" s="240" t="str">
        <f>'(B2) Struktura Organizative'!A12</f>
        <v>Nënfunksioni 6</v>
      </c>
      <c r="B34" s="320" t="str">
        <f>'(G3) Fjalori'!A24</f>
        <v>041</v>
      </c>
      <c r="C34" s="272" t="str">
        <f>'(G3) Fjalori'!B24</f>
        <v>Çështjet e përgjithshme ekonomike, tregtare dhe të punës</v>
      </c>
      <c r="D34" s="272"/>
      <c r="E34" s="272"/>
    </row>
    <row r="35" spans="1:7" hidden="1" x14ac:dyDescent="0.2">
      <c r="A35" s="110" t="str">
        <f>'(G1) Fjalori'!A121</f>
        <v>Programi 6a</v>
      </c>
      <c r="B35" s="580" t="str">
        <f>'(G3) Fjalori'!A25</f>
        <v>04110</v>
      </c>
      <c r="C35" s="100" t="str">
        <f>'(G3) Fjalori'!B25</f>
        <v xml:space="preserve">Çështjet e përgjithshme ekonomike dhe tregtare </v>
      </c>
      <c r="D35" s="100" t="str">
        <f>D$8</f>
        <v>E detyrueshme</v>
      </c>
      <c r="E35" s="100" t="str">
        <f>'(G1) Fjalori'!A$98</f>
        <v>I veti</v>
      </c>
      <c r="F35" s="112"/>
      <c r="G35" s="65" t="b">
        <f t="shared" si="0"/>
        <v>1</v>
      </c>
    </row>
    <row r="36" spans="1:7" x14ac:dyDescent="0.2">
      <c r="A36" s="110" t="str">
        <f>'(G1) Fjalori'!A122</f>
        <v>Programi 6b</v>
      </c>
      <c r="B36" s="580" t="str">
        <f>'(G3) Fjalori'!A26</f>
        <v>04130</v>
      </c>
      <c r="C36" s="100" t="str">
        <f>'(G3) Fjalori'!B26</f>
        <v>Mbështetje për zhvillimin ekonomik</v>
      </c>
      <c r="D36" s="100" t="str">
        <f>D$8</f>
        <v>E detyrueshme</v>
      </c>
      <c r="E36" s="100" t="str">
        <f>'(G1) Fjalori'!A$98</f>
        <v>I veti</v>
      </c>
      <c r="F36" s="112"/>
      <c r="G36" s="65" t="b">
        <f t="shared" si="0"/>
        <v>1</v>
      </c>
    </row>
    <row r="37" spans="1:7" ht="12.75" hidden="1" customHeight="1" x14ac:dyDescent="0.2">
      <c r="A37" s="110" t="str">
        <f>'(G1) Fjalori'!A123</f>
        <v>Programi 6c</v>
      </c>
      <c r="B37" s="580" t="str">
        <f>'(G3) Fjalori'!A27</f>
        <v>04131</v>
      </c>
      <c r="C37" s="100" t="str">
        <f>'(G3) Fjalori'!B27</f>
        <v>Promovimi i biznesit lokal</v>
      </c>
      <c r="D37" s="100" t="str">
        <f>D$8</f>
        <v>E detyrueshme</v>
      </c>
      <c r="E37" s="100" t="str">
        <f>'(G1) Fjalori'!A$98</f>
        <v>I veti</v>
      </c>
      <c r="F37" s="112"/>
      <c r="G37" s="65" t="b">
        <f t="shared" si="0"/>
        <v>1</v>
      </c>
    </row>
    <row r="38" spans="1:7" ht="12.75" hidden="1" customHeight="1" x14ac:dyDescent="0.2">
      <c r="A38" s="110" t="str">
        <f>'(G1) Fjalori'!A124</f>
        <v>Programi 6d</v>
      </c>
      <c r="B38" s="580" t="str">
        <f>'(G3) Fjalori'!A28</f>
        <v>04132</v>
      </c>
      <c r="C38" s="100" t="str">
        <f>'(G3) Fjalori'!B28</f>
        <v>Mbështetja e Zhvillimit rajonal</v>
      </c>
      <c r="D38" s="100" t="str">
        <f>D$8</f>
        <v>E detyrueshme</v>
      </c>
      <c r="E38" s="100" t="str">
        <f>'(G1) Fjalori'!A$98</f>
        <v>I veti</v>
      </c>
      <c r="F38" s="112"/>
      <c r="G38" s="65" t="b">
        <f t="shared" si="0"/>
        <v>1</v>
      </c>
    </row>
    <row r="39" spans="1:7" x14ac:dyDescent="0.2">
      <c r="A39" s="110" t="str">
        <f>'(G1) Fjalori'!A125</f>
        <v>Programi 6e</v>
      </c>
      <c r="B39" s="580" t="str">
        <f>'(G3) Fjalori'!A29</f>
        <v>04160</v>
      </c>
      <c r="C39" s="100" t="str">
        <f>'(G3) Fjalori'!B29</f>
        <v>Shërbimet e tregjeve, akreditimi dhe inspektimi</v>
      </c>
      <c r="D39" s="100" t="str">
        <f>D$8</f>
        <v>E detyrueshme</v>
      </c>
      <c r="E39" s="100" t="str">
        <f>'(G1) Fjalori'!A$98</f>
        <v>I veti</v>
      </c>
      <c r="F39" s="112"/>
      <c r="G39" s="65" t="b">
        <f t="shared" si="0"/>
        <v>1</v>
      </c>
    </row>
    <row r="40" spans="1:7" x14ac:dyDescent="0.2">
      <c r="A40" s="110" t="str">
        <f>'(G1) Fjalori'!A126</f>
        <v>Programi 6f</v>
      </c>
      <c r="B40" s="582"/>
      <c r="C40" s="54"/>
      <c r="D40" s="54"/>
      <c r="E40" s="54"/>
      <c r="F40" s="112" t="str">
        <f>IF(G40=FALSE,"INCORRECT ENTRY!","OK!")</f>
        <v>OK!</v>
      </c>
      <c r="G40" s="65" t="b">
        <f t="shared" si="0"/>
        <v>1</v>
      </c>
    </row>
    <row r="41" spans="1:7" s="191" customFormat="1" ht="19.5" customHeight="1" x14ac:dyDescent="0.3">
      <c r="A41" s="240" t="str">
        <f>'(B2) Struktura Organizative'!A13</f>
        <v>Nënfunksioni 7</v>
      </c>
      <c r="B41" s="320" t="str">
        <f>'(G3) Fjalori'!A30</f>
        <v>042</v>
      </c>
      <c r="C41" s="1130" t="str">
        <f>'(G3) Fjalori'!B30</f>
        <v>Bujqësia, pyjet, peshkimi dhe gjuetia</v>
      </c>
      <c r="D41" s="1130"/>
      <c r="E41" s="1130"/>
    </row>
    <row r="42" spans="1:7" x14ac:dyDescent="0.2">
      <c r="A42" s="110" t="str">
        <f>'(G1) Fjalori'!A127</f>
        <v>Programi 7a</v>
      </c>
      <c r="B42" s="580" t="str">
        <f>'(G3) Fjalori'!A31</f>
        <v>04220</v>
      </c>
      <c r="C42" s="100" t="str">
        <f>'(G3) Fjalori'!B31</f>
        <v>Shërbimet bujqësore, inspektimi, ushqimi dhe mbrojtja e konsumatoreve</v>
      </c>
      <c r="D42" s="100" t="str">
        <f>D$8</f>
        <v>E detyrueshme</v>
      </c>
      <c r="E42" s="100" t="str">
        <f>'(G1) Fjalori'!A$98</f>
        <v>I veti</v>
      </c>
      <c r="F42" s="112"/>
      <c r="G42" s="65" t="b">
        <f t="shared" si="0"/>
        <v>1</v>
      </c>
    </row>
    <row r="43" spans="1:7" hidden="1" x14ac:dyDescent="0.2">
      <c r="A43" s="110" t="str">
        <f>'(G1) Fjalori'!A128</f>
        <v>Programi 7b</v>
      </c>
      <c r="B43" s="580" t="str">
        <f>'(G3) Fjalori'!A32</f>
        <v>04222</v>
      </c>
      <c r="C43" s="100" t="str">
        <f>'(G3) Fjalori'!B32</f>
        <v>Këshillimi Bujqësor</v>
      </c>
      <c r="D43" s="100" t="str">
        <f>D$8</f>
        <v>E detyrueshme</v>
      </c>
      <c r="E43" s="100" t="str">
        <f>'(G1) Fjalori'!A$98</f>
        <v>I veti</v>
      </c>
      <c r="F43" s="112"/>
      <c r="G43" s="65" t="b">
        <f t="shared" si="0"/>
        <v>1</v>
      </c>
    </row>
    <row r="44" spans="1:7" hidden="1" x14ac:dyDescent="0.2">
      <c r="A44" s="110" t="str">
        <f>'(G1) Fjalori'!A129</f>
        <v>Programi 7c</v>
      </c>
      <c r="B44" s="580" t="str">
        <f>'(G3) Fjalori'!A33</f>
        <v>04223</v>
      </c>
      <c r="C44" s="100" t="str">
        <f>'(G3) Fjalori'!B33</f>
        <v>Veterineria</v>
      </c>
      <c r="D44" s="100" t="str">
        <f>D$8</f>
        <v>E detyrueshme</v>
      </c>
      <c r="E44" s="100" t="str">
        <f>'(G1) Fjalori'!A$98</f>
        <v>I veti</v>
      </c>
      <c r="F44" s="112"/>
      <c r="G44" s="65" t="b">
        <f t="shared" si="0"/>
        <v>1</v>
      </c>
    </row>
    <row r="45" spans="1:7" x14ac:dyDescent="0.2">
      <c r="A45" s="110" t="str">
        <f>'(G1) Fjalori'!A130</f>
        <v>Programi 7d</v>
      </c>
      <c r="B45" s="580" t="str">
        <f>'(G3) Fjalori'!A34</f>
        <v>04240</v>
      </c>
      <c r="C45" s="100" t="str">
        <f>'(G3) Fjalori'!B34</f>
        <v>Menaxhimi i Infrastruktuës së ujitjes dhe kullimit</v>
      </c>
      <c r="D45" s="100" t="str">
        <f>D$8</f>
        <v>E detyrueshme</v>
      </c>
      <c r="E45" s="100" t="str">
        <f>'(G1) Fjalori'!A$100</f>
        <v>Transferuar</v>
      </c>
      <c r="F45" s="112"/>
      <c r="G45" s="65" t="b">
        <f t="shared" si="0"/>
        <v>1</v>
      </c>
    </row>
    <row r="46" spans="1:7" x14ac:dyDescent="0.2">
      <c r="A46" s="110" t="str">
        <f>'(G1) Fjalori'!A131</f>
        <v>Programi 7e</v>
      </c>
      <c r="B46" s="580" t="str">
        <f>'(G3) Fjalori'!A35</f>
        <v>04260</v>
      </c>
      <c r="C46" s="100" t="str">
        <f>'(G3) Fjalori'!B35</f>
        <v>Administrimi i pyjeve dhe kullotave</v>
      </c>
      <c r="D46" s="100" t="str">
        <f>D$8</f>
        <v>E detyrueshme</v>
      </c>
      <c r="E46" s="100" t="str">
        <f>'(G1) Fjalori'!A$100</f>
        <v>Transferuar</v>
      </c>
      <c r="F46" s="112"/>
      <c r="G46" s="65" t="b">
        <f t="shared" si="0"/>
        <v>1</v>
      </c>
    </row>
    <row r="47" spans="1:7" x14ac:dyDescent="0.2">
      <c r="A47" s="110" t="str">
        <f>'(G1) Fjalori'!A132</f>
        <v>Programi 7f</v>
      </c>
      <c r="B47" s="583"/>
      <c r="C47" s="54"/>
      <c r="D47" s="54"/>
      <c r="E47" s="54"/>
      <c r="F47" s="112" t="str">
        <f>IF(G47=FALSE,"INCORRECT ENTRY!","OK!")</f>
        <v>OK!</v>
      </c>
      <c r="G47" s="65" t="b">
        <f t="shared" si="0"/>
        <v>1</v>
      </c>
    </row>
    <row r="48" spans="1:7" s="191" customFormat="1" ht="18.75" customHeight="1" x14ac:dyDescent="0.3">
      <c r="A48" s="240" t="str">
        <f>'(B2) Struktura Organizative'!A14</f>
        <v>Nënfunksioni 8</v>
      </c>
      <c r="B48" s="320" t="str">
        <f>'(G3) Fjalori'!A36</f>
        <v>045</v>
      </c>
      <c r="C48" s="1130" t="str">
        <f>'(G3) Fjalori'!B36</f>
        <v>Transporti</v>
      </c>
      <c r="D48" s="1130"/>
      <c r="E48" s="1130"/>
    </row>
    <row r="49" spans="1:7" x14ac:dyDescent="0.2">
      <c r="A49" s="110" t="str">
        <f>'(G1) Fjalori'!A133</f>
        <v>Programi 8a</v>
      </c>
      <c r="B49" s="580" t="str">
        <f>'(G3) Fjalori'!A37</f>
        <v>04520</v>
      </c>
      <c r="C49" s="100" t="str">
        <f>'(G3) Fjalori'!B37</f>
        <v>Rrjeti rrugor rural</v>
      </c>
      <c r="D49" s="100" t="str">
        <f>D$8</f>
        <v>E detyrueshme</v>
      </c>
      <c r="E49" s="100" t="str">
        <f>'(G1) Fjalori'!A$100</f>
        <v>Transferuar</v>
      </c>
      <c r="F49" s="112"/>
      <c r="G49" s="65" t="b">
        <f t="shared" si="0"/>
        <v>1</v>
      </c>
    </row>
    <row r="50" spans="1:7" x14ac:dyDescent="0.2">
      <c r="A50" s="110" t="str">
        <f>'(G1) Fjalori'!A134</f>
        <v>Programi 8b</v>
      </c>
      <c r="B50" s="580" t="str">
        <f>'(G3) Fjalori'!A38</f>
        <v>04530</v>
      </c>
      <c r="C50" s="100" t="str">
        <f>'(G3) Fjalori'!B38</f>
        <v>Studimi i rrugëve</v>
      </c>
      <c r="D50" s="100" t="str">
        <f>D$8</f>
        <v>E detyrueshme</v>
      </c>
      <c r="E50" s="100" t="str">
        <f>'(G1) Fjalori'!A$98</f>
        <v>I veti</v>
      </c>
      <c r="F50" s="112"/>
      <c r="G50" s="65" t="b">
        <f t="shared" si="0"/>
        <v>1</v>
      </c>
    </row>
    <row r="51" spans="1:7" x14ac:dyDescent="0.2">
      <c r="A51" s="110" t="str">
        <f>'(G1) Fjalori'!A135</f>
        <v>Programi 8c</v>
      </c>
      <c r="B51" s="580" t="str">
        <f>'(G3) Fjalori'!A39</f>
        <v>04570</v>
      </c>
      <c r="C51" s="100" t="str">
        <f>'(G3) Fjalori'!B39</f>
        <v>Transporti publik</v>
      </c>
      <c r="D51" s="100" t="str">
        <f>D$8</f>
        <v>E detyrueshme</v>
      </c>
      <c r="E51" s="100" t="str">
        <f>'(G1) Fjalori'!A$98</f>
        <v>I veti</v>
      </c>
      <c r="F51" s="112"/>
      <c r="G51" s="65" t="b">
        <f t="shared" si="0"/>
        <v>1</v>
      </c>
    </row>
    <row r="52" spans="1:7" x14ac:dyDescent="0.2">
      <c r="A52" s="110" t="str">
        <f>'(G1) Fjalori'!A136</f>
        <v>Programi 8d</v>
      </c>
      <c r="B52" s="583"/>
      <c r="C52" s="54"/>
      <c r="D52" s="54"/>
      <c r="E52" s="54"/>
      <c r="F52" s="112" t="str">
        <f>IF(G52=FALSE,"INCORRECT ENTRY!","OK!")</f>
        <v>OK!</v>
      </c>
      <c r="G52" s="65" t="b">
        <f t="shared" si="0"/>
        <v>1</v>
      </c>
    </row>
    <row r="53" spans="1:7" s="191" customFormat="1" ht="18.75" customHeight="1" x14ac:dyDescent="0.3">
      <c r="A53" s="240" t="str">
        <f>'(B2) Struktura Organizative'!A15</f>
        <v>Nënfunksioni 9</v>
      </c>
      <c r="B53" s="320" t="str">
        <f>'(G3) Fjalori'!A40</f>
        <v>047</v>
      </c>
      <c r="C53" s="1130" t="str">
        <f>'(G3) Fjalori'!B40</f>
        <v>Industri të tjera</v>
      </c>
      <c r="D53" s="1130"/>
      <c r="E53" s="1130"/>
    </row>
    <row r="54" spans="1:7" x14ac:dyDescent="0.2">
      <c r="A54" s="110" t="str">
        <f>'(G1) Fjalori'!A137</f>
        <v>Programi 9a</v>
      </c>
      <c r="B54" s="580" t="str">
        <f>'(G3) Fjalori'!A41</f>
        <v>04740</v>
      </c>
      <c r="C54" s="100" t="str">
        <f>'(G3) Fjalori'!B41</f>
        <v>Projekte Zhvillimi</v>
      </c>
      <c r="D54" s="100" t="str">
        <f>D$8</f>
        <v>E detyrueshme</v>
      </c>
      <c r="E54" s="100" t="str">
        <f>'(G1) Fjalori'!A$98</f>
        <v>I veti</v>
      </c>
      <c r="F54" s="112"/>
      <c r="G54" s="65" t="b">
        <f t="shared" si="0"/>
        <v>1</v>
      </c>
    </row>
    <row r="55" spans="1:7" x14ac:dyDescent="0.2">
      <c r="A55" s="110" t="str">
        <f>'(G1) Fjalori'!A138</f>
        <v>Programi 9b</v>
      </c>
      <c r="B55" s="580" t="str">
        <f>'(G3) Fjalori'!A42</f>
        <v>04760</v>
      </c>
      <c r="C55" s="100" t="str">
        <f>'(G3) Fjalori'!B42</f>
        <v>Zhvillimi i turizmit</v>
      </c>
      <c r="D55" s="100" t="str">
        <f>D$8</f>
        <v>E detyrueshme</v>
      </c>
      <c r="E55" s="100" t="str">
        <f>'(G1) Fjalori'!A$98</f>
        <v>I veti</v>
      </c>
      <c r="F55" s="112"/>
      <c r="G55" s="65" t="b">
        <f t="shared" si="0"/>
        <v>1</v>
      </c>
    </row>
    <row r="56" spans="1:7" hidden="1" x14ac:dyDescent="0.2">
      <c r="A56" s="110" t="str">
        <f>'(G1) Fjalori'!A139</f>
        <v>Programi 9c</v>
      </c>
      <c r="B56" s="580" t="str">
        <f>'(G3) Fjalori'!A43</f>
        <v>04742</v>
      </c>
      <c r="C56" s="100" t="str">
        <f>'(G3) Fjalori'!B43</f>
        <v>Rekreacioni</v>
      </c>
      <c r="D56" s="100" t="str">
        <f>D$8</f>
        <v>E detyrueshme</v>
      </c>
      <c r="E56" s="100" t="str">
        <f>'(G1) Fjalori'!A$98</f>
        <v>I veti</v>
      </c>
      <c r="F56" s="112"/>
      <c r="G56" s="65" t="b">
        <f t="shared" si="0"/>
        <v>1</v>
      </c>
    </row>
    <row r="57" spans="1:7" ht="13.5" thickBot="1" x14ac:dyDescent="0.25">
      <c r="A57" s="110" t="str">
        <f>'(G1) Fjalori'!A140</f>
        <v>Programi 9d</v>
      </c>
      <c r="B57" s="583"/>
      <c r="C57" s="54"/>
      <c r="D57" s="54"/>
      <c r="E57" s="54"/>
      <c r="F57" s="112" t="str">
        <f>IF(G57=FALSE,"INCORRECT ENTRY!","OK!")</f>
        <v>OK!</v>
      </c>
      <c r="G57" s="65" t="b">
        <f t="shared" si="0"/>
        <v>1</v>
      </c>
    </row>
    <row r="58" spans="1:7" ht="19.5" thickBot="1" x14ac:dyDescent="0.35">
      <c r="A58" s="325" t="str">
        <f>'(F6) Shpenzimet sipas funks.bru'!A22</f>
        <v>05 Mbrojtja Mjedisore</v>
      </c>
      <c r="B58" s="323"/>
      <c r="C58" s="323"/>
      <c r="D58" s="323"/>
      <c r="E58" s="324"/>
    </row>
    <row r="59" spans="1:7" s="191" customFormat="1" ht="20.25" customHeight="1" x14ac:dyDescent="0.3">
      <c r="A59" s="240" t="str">
        <f>'(B2) Struktura Organizative'!A16</f>
        <v>Nënfunksioni 10</v>
      </c>
      <c r="B59" s="320" t="str">
        <f>'(G3) Fjalori'!A45</f>
        <v>062</v>
      </c>
      <c r="C59" s="1130" t="str">
        <f>'(G3) Fjalori'!B45</f>
        <v>Menaxhimi i mbetjeve</v>
      </c>
      <c r="D59" s="1130"/>
      <c r="E59" s="1130"/>
    </row>
    <row r="60" spans="1:7" x14ac:dyDescent="0.2">
      <c r="A60" s="110" t="str">
        <f>'(G1) Fjalori'!A141</f>
        <v>Programi 10a</v>
      </c>
      <c r="B60" s="580" t="str">
        <f>'(G3) Fjalori'!A46</f>
        <v>06260</v>
      </c>
      <c r="C60" s="100" t="str">
        <f>'(G3) Fjalori'!B46</f>
        <v>Menaxhimi i mbetjeve</v>
      </c>
      <c r="D60" s="100" t="str">
        <f>D$8</f>
        <v>E detyrueshme</v>
      </c>
      <c r="E60" s="100" t="str">
        <f>'(G1) Fjalori'!A$98</f>
        <v>I veti</v>
      </c>
      <c r="F60" s="112"/>
      <c r="G60" s="65" t="b">
        <f t="shared" si="0"/>
        <v>1</v>
      </c>
    </row>
    <row r="61" spans="1:7" x14ac:dyDescent="0.2">
      <c r="A61" s="110" t="str">
        <f>'(G1) Fjalori'!A142</f>
        <v>Programi 10b</v>
      </c>
      <c r="B61" s="583"/>
      <c r="C61" s="54"/>
      <c r="D61" s="54"/>
      <c r="E61" s="54"/>
      <c r="F61" s="112" t="str">
        <f>IF(G61=FALSE,"INCORRECT ENTRY!","OK!")</f>
        <v>OK!</v>
      </c>
      <c r="G61" s="65" t="b">
        <f t="shared" si="0"/>
        <v>1</v>
      </c>
    </row>
    <row r="62" spans="1:7" x14ac:dyDescent="0.2">
      <c r="A62" s="110" t="str">
        <f>'(G1) Fjalori'!A143</f>
        <v>Programi 10c</v>
      </c>
      <c r="B62" s="583"/>
      <c r="C62" s="54"/>
      <c r="D62" s="54"/>
      <c r="E62" s="54"/>
      <c r="F62" s="112" t="str">
        <f>IF(G62=FALSE,"INCORRECT ENTRY!","OK!")</f>
        <v>OK!</v>
      </c>
      <c r="G62" s="65" t="b">
        <f t="shared" si="0"/>
        <v>1</v>
      </c>
    </row>
    <row r="63" spans="1:7" s="191" customFormat="1" ht="21.75" customHeight="1" x14ac:dyDescent="0.3">
      <c r="A63" s="240" t="str">
        <f>'(B2) Struktura Organizative'!A17</f>
        <v>Nënfunksioni 11</v>
      </c>
      <c r="B63" s="320" t="str">
        <f>'(G3) Fjalori'!A47</f>
        <v>052</v>
      </c>
      <c r="C63" s="1130" t="str">
        <f>'(G3) Fjalori'!B47</f>
        <v>Menaxhimi i Ujërave të zeza</v>
      </c>
      <c r="D63" s="1130"/>
      <c r="E63" s="1130"/>
    </row>
    <row r="64" spans="1:7" x14ac:dyDescent="0.2">
      <c r="A64" s="110" t="str">
        <f>'(G1) Fjalori'!A144</f>
        <v>Programi 11a</v>
      </c>
      <c r="B64" s="580" t="str">
        <f>'(G3) Fjalori'!A48</f>
        <v>05200</v>
      </c>
      <c r="C64" s="100" t="str">
        <f>'(G3) Fjalori'!B48</f>
        <v>Menaxhimi i ujrave të zeza dhe kanalizimeve</v>
      </c>
      <c r="D64" s="100" t="str">
        <f>D$8</f>
        <v>E detyrueshme</v>
      </c>
      <c r="E64" s="100" t="str">
        <f>'(G1) Fjalori'!A98</f>
        <v>I veti</v>
      </c>
      <c r="F64" s="112"/>
      <c r="G64" s="65" t="b">
        <f t="shared" si="0"/>
        <v>1</v>
      </c>
    </row>
    <row r="65" spans="1:7" x14ac:dyDescent="0.2">
      <c r="A65" s="110" t="str">
        <f>'(G1) Fjalori'!A145</f>
        <v>Programi 11b</v>
      </c>
      <c r="B65" s="583"/>
      <c r="C65" s="54"/>
      <c r="D65" s="54"/>
      <c r="E65" s="54"/>
      <c r="F65" s="112" t="str">
        <f>IF(G65=FALSE,"INCORRECT ENTRY!","OK!")</f>
        <v>OK!</v>
      </c>
      <c r="G65" s="65" t="b">
        <f t="shared" si="0"/>
        <v>1</v>
      </c>
    </row>
    <row r="66" spans="1:7" x14ac:dyDescent="0.2">
      <c r="A66" s="110" t="str">
        <f>'(G1) Fjalori'!A146</f>
        <v>Programi 11c</v>
      </c>
      <c r="B66" s="583"/>
      <c r="C66" s="54"/>
      <c r="D66" s="54"/>
      <c r="E66" s="54"/>
      <c r="F66" s="112" t="str">
        <f>IF(G66=FALSE,"INCORRECT ENTRY!","OK!")</f>
        <v>OK!</v>
      </c>
      <c r="G66" s="65" t="b">
        <f t="shared" si="0"/>
        <v>1</v>
      </c>
    </row>
    <row r="67" spans="1:7" s="191" customFormat="1" ht="20.25" customHeight="1" x14ac:dyDescent="0.3">
      <c r="A67" s="240" t="str">
        <f>'(B2) Struktura Organizative'!A18</f>
        <v>Nënfunksioni 12</v>
      </c>
      <c r="B67" s="320" t="str">
        <f>'(G3) Fjalori'!A49</f>
        <v>053</v>
      </c>
      <c r="C67" s="272" t="str">
        <f>'(G3) Fjalori'!B49</f>
        <v>Reduktimi i ndotjes</v>
      </c>
      <c r="D67" s="272"/>
      <c r="E67" s="272"/>
    </row>
    <row r="68" spans="1:7" x14ac:dyDescent="0.2">
      <c r="A68" s="110" t="str">
        <f>'(G1) Fjalori'!A147</f>
        <v>Programi 12a</v>
      </c>
      <c r="B68" s="580" t="str">
        <f>'(G3) Fjalori'!A50</f>
        <v>05320</v>
      </c>
      <c r="C68" s="100" t="str">
        <f>'(G3) Fjalori'!B50</f>
        <v>Programet e mbrojtjes së mjedisit</v>
      </c>
      <c r="D68" s="100" t="str">
        <f>D$8</f>
        <v>E detyrueshme</v>
      </c>
      <c r="E68" s="100" t="str">
        <f>'(G1) Fjalori'!A$98</f>
        <v>I veti</v>
      </c>
      <c r="F68" s="112"/>
      <c r="G68" s="65" t="b">
        <f t="shared" si="0"/>
        <v>1</v>
      </c>
    </row>
    <row r="69" spans="1:7" x14ac:dyDescent="0.2">
      <c r="A69" s="110" t="str">
        <f>'(G1) Fjalori'!A148</f>
        <v>Programi 12b</v>
      </c>
      <c r="B69" s="583"/>
      <c r="C69" s="54"/>
      <c r="D69" s="54"/>
      <c r="E69" s="54"/>
      <c r="F69" s="112" t="str">
        <f>IF(G69=FALSE,"INCORRECT ENTRY!","OK!")</f>
        <v>OK!</v>
      </c>
      <c r="G69" s="65" t="b">
        <f t="shared" si="0"/>
        <v>1</v>
      </c>
    </row>
    <row r="70" spans="1:7" x14ac:dyDescent="0.2">
      <c r="A70" s="110" t="str">
        <f>'(G1) Fjalori'!A149</f>
        <v>Programi 12c</v>
      </c>
      <c r="B70" s="583"/>
      <c r="C70" s="54"/>
      <c r="D70" s="54"/>
      <c r="E70" s="54"/>
      <c r="F70" s="112" t="str">
        <f>IF(G70=FALSE,"INCORRECT ENTRY!","OK!")</f>
        <v>OK!</v>
      </c>
      <c r="G70" s="65" t="b">
        <f t="shared" si="0"/>
        <v>1</v>
      </c>
    </row>
    <row r="71" spans="1:7" s="191" customFormat="1" ht="19.5" customHeight="1" x14ac:dyDescent="0.3">
      <c r="A71" s="240" t="str">
        <f>'(B2) Struktura Organizative'!A19</f>
        <v>Nënfunksioni 13</v>
      </c>
      <c r="B71" s="320" t="str">
        <f>'(G3) Fjalori'!A51</f>
        <v>056</v>
      </c>
      <c r="C71" s="1130" t="str">
        <f>'(G3) Fjalori'!B51</f>
        <v>Mbrojtja e mjedisit</v>
      </c>
      <c r="D71" s="1130"/>
      <c r="E71" s="1130"/>
    </row>
    <row r="72" spans="1:7" x14ac:dyDescent="0.2">
      <c r="A72" s="110" t="str">
        <f>'(G1) Fjalori'!A150</f>
        <v>Programi 13a</v>
      </c>
      <c r="B72" s="580" t="str">
        <f>'(G3) Fjalori'!A52</f>
        <v>05630</v>
      </c>
      <c r="C72" s="100" t="str">
        <f>'(G3) Fjalori'!B52</f>
        <v>Ndërgjegjësimi mjedisor</v>
      </c>
      <c r="D72" s="100" t="str">
        <f>D$8</f>
        <v>E detyrueshme</v>
      </c>
      <c r="E72" s="100" t="str">
        <f>'(G1) Fjalori'!A$98</f>
        <v>I veti</v>
      </c>
      <c r="F72" s="112"/>
      <c r="G72" s="65" t="b">
        <f t="shared" si="0"/>
        <v>1</v>
      </c>
    </row>
    <row r="73" spans="1:7" hidden="1" x14ac:dyDescent="0.2">
      <c r="A73" s="110" t="str">
        <f>'(G1) Fjalori'!A151</f>
        <v>Programi 13b</v>
      </c>
      <c r="B73" s="580" t="str">
        <f>'(G3) Fjalori'!A53</f>
        <v>05640</v>
      </c>
      <c r="C73" s="100" t="str">
        <f>'(G3) Fjalori'!B53</f>
        <v>Administrimi i resurseve ujore</v>
      </c>
      <c r="D73" s="100" t="str">
        <f>D$8</f>
        <v>E detyrueshme</v>
      </c>
      <c r="E73" s="100" t="str">
        <f>'(G1) Fjalori'!A$98</f>
        <v>I veti</v>
      </c>
      <c r="F73" s="112"/>
      <c r="G73" s="65" t="b">
        <f t="shared" si="0"/>
        <v>1</v>
      </c>
    </row>
    <row r="74" spans="1:7" ht="13.5" thickBot="1" x14ac:dyDescent="0.25">
      <c r="A74" s="110" t="str">
        <f>'(G1) Fjalori'!A152</f>
        <v>Programi 13c</v>
      </c>
      <c r="B74" s="583"/>
      <c r="C74" s="54"/>
      <c r="D74" s="54"/>
      <c r="E74" s="54"/>
      <c r="F74" s="112" t="str">
        <f>IF(G74=FALSE,"INCORRECT ENTRY!","OK!")</f>
        <v>OK!</v>
      </c>
      <c r="G74" s="65" t="b">
        <f t="shared" si="0"/>
        <v>1</v>
      </c>
    </row>
    <row r="75" spans="1:7" ht="19.5" thickBot="1" x14ac:dyDescent="0.35">
      <c r="A75" s="325" t="str">
        <f>'(F6) Shpenzimet sipas funks.bru'!A27</f>
        <v>06 Strehimi dhe Komoditetet e Komunitetit</v>
      </c>
      <c r="B75" s="323"/>
      <c r="C75" s="323"/>
      <c r="D75" s="323"/>
      <c r="E75" s="324"/>
    </row>
    <row r="76" spans="1:7" s="191" customFormat="1" ht="21" customHeight="1" x14ac:dyDescent="0.3">
      <c r="A76" s="240" t="str">
        <f>'(B2) Struktura Organizative'!A20</f>
        <v>Nënfunksioni 14</v>
      </c>
      <c r="B76" s="320" t="str">
        <f>'(G3) Fjalori'!A55</f>
        <v>061</v>
      </c>
      <c r="C76" s="1130" t="str">
        <f>'(G3) Fjalori'!B55</f>
        <v>Urbanistika</v>
      </c>
      <c r="D76" s="1130"/>
      <c r="E76" s="1130"/>
    </row>
    <row r="77" spans="1:7" x14ac:dyDescent="0.2">
      <c r="A77" s="110" t="str">
        <f>'(G1) Fjalori'!A153</f>
        <v>Programi 14a</v>
      </c>
      <c r="B77" s="580" t="str">
        <f>'(G3) Fjalori'!A56</f>
        <v>06140</v>
      </c>
      <c r="C77" s="100" t="str">
        <f>'(G3) Fjalori'!B56</f>
        <v>Planifikimi Urban Vendor</v>
      </c>
      <c r="D77" s="100" t="str">
        <f>D$8</f>
        <v>E detyrueshme</v>
      </c>
      <c r="E77" s="100" t="str">
        <f>'(G1) Fjalori'!A$98</f>
        <v>I veti</v>
      </c>
      <c r="F77" s="112"/>
      <c r="G77" s="65" t="b">
        <f t="shared" ref="G77:G116" si="1">OR(AND(C77="",D77="",E77=""),AND(C77&lt;&gt;"",D77&lt;&gt;"",E77&lt;&gt;""))</f>
        <v>1</v>
      </c>
    </row>
    <row r="78" spans="1:7" hidden="1" x14ac:dyDescent="0.2">
      <c r="A78" s="110" t="str">
        <f>'(G1) Fjalori'!A154</f>
        <v>Programi 14b</v>
      </c>
      <c r="B78" s="580" t="str">
        <f>'(G3) Fjalori'!A57</f>
        <v>06180</v>
      </c>
      <c r="C78" s="100" t="str">
        <f>'(G3) Fjalori'!B57</f>
        <v>Planifikimi urban dhe strehimi</v>
      </c>
      <c r="D78" s="100" t="str">
        <f>D$8</f>
        <v>E detyrueshme</v>
      </c>
      <c r="E78" s="100" t="str">
        <f>'(G1) Fjalori'!A$98</f>
        <v>I veti</v>
      </c>
      <c r="F78" s="112"/>
      <c r="G78" s="65" t="b">
        <f t="shared" si="1"/>
        <v>1</v>
      </c>
    </row>
    <row r="79" spans="1:7" x14ac:dyDescent="0.2">
      <c r="A79" s="110" t="str">
        <f>'(G1) Fjalori'!A155</f>
        <v>Programi 14c</v>
      </c>
      <c r="B79" s="583"/>
      <c r="C79" s="54"/>
      <c r="D79" s="54"/>
      <c r="E79" s="54"/>
      <c r="F79" s="112" t="str">
        <f>IF(G79=FALSE,"INCORRECT ENTRY!","OK!")</f>
        <v>OK!</v>
      </c>
      <c r="G79" s="65" t="b">
        <f t="shared" si="1"/>
        <v>1</v>
      </c>
    </row>
    <row r="80" spans="1:7" s="191" customFormat="1" ht="21" customHeight="1" x14ac:dyDescent="0.3">
      <c r="A80" s="240" t="str">
        <f>'(B2) Struktura Organizative'!A21</f>
        <v>Nënfunksioni 15</v>
      </c>
      <c r="B80" s="320" t="str">
        <f>'(G3) Fjalori'!A58</f>
        <v>062</v>
      </c>
      <c r="C80" s="1130" t="str">
        <f>'(G3) Fjalori'!B58</f>
        <v>Zhvillimi i komunitetit</v>
      </c>
      <c r="D80" s="1130"/>
      <c r="E80" s="1130"/>
    </row>
    <row r="81" spans="1:7" x14ac:dyDescent="0.2">
      <c r="A81" s="110" t="str">
        <f>'(G1) Fjalori'!A156</f>
        <v>Programi 15a</v>
      </c>
      <c r="B81" s="580" t="str">
        <f>'(G3) Fjalori'!A59</f>
        <v>06210</v>
      </c>
      <c r="C81" s="100" t="str">
        <f>'(G3) Fjalori'!B59</f>
        <v>Programet e zhvillimit</v>
      </c>
      <c r="D81" s="100" t="str">
        <f>D$8</f>
        <v>E detyrueshme</v>
      </c>
      <c r="E81" s="100" t="str">
        <f>'(G1) Fjalori'!A$98</f>
        <v>I veti</v>
      </c>
      <c r="F81" s="112"/>
      <c r="G81" s="65" t="b">
        <f t="shared" si="1"/>
        <v>1</v>
      </c>
    </row>
    <row r="82" spans="1:7" x14ac:dyDescent="0.2">
      <c r="A82" s="110" t="str">
        <f>'(G1) Fjalori'!A157</f>
        <v>Programi 15b</v>
      </c>
      <c r="B82" s="580" t="str">
        <f>'(G3) Fjalori'!A60</f>
        <v>06260</v>
      </c>
      <c r="C82" s="100" t="str">
        <f>'(G3) Fjalori'!B60</f>
        <v>Sherbime publike vendore</v>
      </c>
      <c r="D82" s="100" t="str">
        <f>D$8</f>
        <v>E detyrueshme</v>
      </c>
      <c r="E82" s="100" t="str">
        <f>'(G1) Fjalori'!A$98</f>
        <v>I veti</v>
      </c>
      <c r="F82" s="112"/>
      <c r="G82" s="65" t="b">
        <f t="shared" si="1"/>
        <v>1</v>
      </c>
    </row>
    <row r="83" spans="1:7" x14ac:dyDescent="0.2">
      <c r="A83" s="110" t="str">
        <f>'(G1) Fjalori'!A158</f>
        <v>Programi 15c</v>
      </c>
      <c r="B83" s="583"/>
      <c r="C83" s="54"/>
      <c r="D83" s="54"/>
      <c r="E83" s="54"/>
      <c r="F83" s="112" t="str">
        <f>IF(G83=FALSE,"INCORRECT ENTRY!","OK!")</f>
        <v>OK!</v>
      </c>
      <c r="G83" s="65" t="b">
        <f t="shared" si="1"/>
        <v>1</v>
      </c>
    </row>
    <row r="84" spans="1:7" s="191" customFormat="1" ht="21" customHeight="1" x14ac:dyDescent="0.3">
      <c r="A84" s="240" t="str">
        <f>'(B2) Struktura Organizative'!A22</f>
        <v>Nënfunksioni 16</v>
      </c>
      <c r="B84" s="320" t="str">
        <f>'(G3) Fjalori'!A61</f>
        <v>063</v>
      </c>
      <c r="C84" s="1130" t="str">
        <f>'(G3) Fjalori'!B61</f>
        <v>Furnizimi me ujë</v>
      </c>
      <c r="D84" s="1130"/>
      <c r="E84" s="1130"/>
    </row>
    <row r="85" spans="1:7" x14ac:dyDescent="0.2">
      <c r="A85" s="110" t="str">
        <f>'(G1) Fjalori'!A159</f>
        <v>Programi 16a</v>
      </c>
      <c r="B85" s="580" t="str">
        <f>'(G3) Fjalori'!A62</f>
        <v>06330</v>
      </c>
      <c r="C85" s="100" t="str">
        <f>'(G3) Fjalori'!B62</f>
        <v xml:space="preserve">Furnizimi me ujë </v>
      </c>
      <c r="D85" s="100" t="str">
        <f>D$8</f>
        <v>E detyrueshme</v>
      </c>
      <c r="E85" s="100" t="str">
        <f>'(G1) Fjalori'!A$98</f>
        <v>I veti</v>
      </c>
      <c r="F85" s="112"/>
      <c r="G85" s="65" t="b">
        <f t="shared" si="1"/>
        <v>1</v>
      </c>
    </row>
    <row r="86" spans="1:7" x14ac:dyDescent="0.2">
      <c r="A86" s="110" t="str">
        <f>'(G1) Fjalori'!A160</f>
        <v>Programi 16b</v>
      </c>
      <c r="B86" s="583"/>
      <c r="C86" s="54"/>
      <c r="D86" s="54"/>
      <c r="E86" s="54"/>
      <c r="F86" s="112" t="str">
        <f>IF(G86=FALSE,"INCORRECT ENTRY!","OK!")</f>
        <v>OK!</v>
      </c>
      <c r="G86" s="65" t="b">
        <f t="shared" si="1"/>
        <v>1</v>
      </c>
    </row>
    <row r="87" spans="1:7" x14ac:dyDescent="0.2">
      <c r="A87" s="110" t="str">
        <f>'(G1) Fjalori'!A161</f>
        <v>Programi 16c</v>
      </c>
      <c r="B87" s="583"/>
      <c r="C87" s="54"/>
      <c r="D87" s="54"/>
      <c r="E87" s="54"/>
      <c r="F87" s="112" t="str">
        <f>IF(G87=FALSE,"INCORRECT ENTRY!","OK!")</f>
        <v>OK!</v>
      </c>
      <c r="G87" s="65" t="b">
        <f t="shared" si="1"/>
        <v>1</v>
      </c>
    </row>
    <row r="88" spans="1:7" s="191" customFormat="1" ht="21" customHeight="1" x14ac:dyDescent="0.3">
      <c r="A88" s="240" t="str">
        <f>'(B2) Struktura Organizative'!A23</f>
        <v>Nënfunksioni 17</v>
      </c>
      <c r="B88" s="320" t="str">
        <f>'(G3) Fjalori'!A63</f>
        <v>064</v>
      </c>
      <c r="C88" s="1130" t="str">
        <f>'(G3) Fjalori'!B63</f>
        <v>Ndriçimi i rrugëve</v>
      </c>
      <c r="D88" s="1130"/>
      <c r="E88" s="1130"/>
    </row>
    <row r="89" spans="1:7" x14ac:dyDescent="0.2">
      <c r="A89" s="110" t="str">
        <f>'(G1) Fjalori'!A162</f>
        <v>Programi 17a</v>
      </c>
      <c r="B89" s="580" t="str">
        <f>'(G3) Fjalori'!A64</f>
        <v>06440</v>
      </c>
      <c r="C89" s="100" t="str">
        <f>'(G3) Fjalori'!B64</f>
        <v>Ndriçim rrugësh</v>
      </c>
      <c r="D89" s="100" t="str">
        <f>D$8</f>
        <v>E detyrueshme</v>
      </c>
      <c r="E89" s="100" t="str">
        <f>'(G1) Fjalori'!A$98</f>
        <v>I veti</v>
      </c>
      <c r="F89" s="112"/>
      <c r="G89" s="65" t="b">
        <f t="shared" si="1"/>
        <v>1</v>
      </c>
    </row>
    <row r="90" spans="1:7" x14ac:dyDescent="0.2">
      <c r="A90" s="110" t="str">
        <f>'(G1) Fjalori'!A163</f>
        <v>Programi 17b</v>
      </c>
      <c r="B90" s="583"/>
      <c r="C90" s="54"/>
      <c r="D90" s="54"/>
      <c r="E90" s="54"/>
      <c r="F90" s="112" t="str">
        <f>IF(G90=FALSE,"INCORRECT ENTRY!","OK!")</f>
        <v>OK!</v>
      </c>
      <c r="G90" s="65" t="b">
        <f t="shared" si="1"/>
        <v>1</v>
      </c>
    </row>
    <row r="91" spans="1:7" ht="13.5" thickBot="1" x14ac:dyDescent="0.25">
      <c r="A91" s="110" t="str">
        <f>'(G1) Fjalori'!A164</f>
        <v>Programi 17c</v>
      </c>
      <c r="B91" s="583"/>
      <c r="C91" s="54"/>
      <c r="D91" s="54"/>
      <c r="E91" s="54"/>
      <c r="F91" s="112" t="str">
        <f>IF(G91=FALSE,"INCORRECT ENTRY!","OK!")</f>
        <v>OK!</v>
      </c>
      <c r="G91" s="65" t="b">
        <f t="shared" si="1"/>
        <v>1</v>
      </c>
    </row>
    <row r="92" spans="1:7" ht="19.5" thickBot="1" x14ac:dyDescent="0.35">
      <c r="A92" s="325" t="str">
        <f>'(F6) Shpenzimet sipas funks.bru'!A29</f>
        <v>07 Shëndetësia</v>
      </c>
      <c r="B92" s="323"/>
      <c r="C92" s="323"/>
      <c r="D92" s="323"/>
      <c r="E92" s="324"/>
    </row>
    <row r="93" spans="1:7" s="191" customFormat="1" ht="21" customHeight="1" x14ac:dyDescent="0.3">
      <c r="A93" s="240" t="str">
        <f>'(B2) Struktura Organizative'!A24</f>
        <v>Nënfunksioni 18</v>
      </c>
      <c r="B93" s="320" t="str">
        <f>'(G3) Fjalori'!A66</f>
        <v>072</v>
      </c>
      <c r="C93" s="1130" t="str">
        <f>'(G3) Fjalori'!B66</f>
        <v>Shërbimet e kujdesit parësor</v>
      </c>
      <c r="D93" s="1130"/>
      <c r="E93" s="1130"/>
    </row>
    <row r="94" spans="1:7" x14ac:dyDescent="0.2">
      <c r="A94" s="110" t="str">
        <f>'(G1) Fjalori'!A165</f>
        <v>Programi 18a</v>
      </c>
      <c r="B94" s="580" t="str">
        <f>'(G3) Fjalori'!A67</f>
        <v>07220</v>
      </c>
      <c r="C94" s="100" t="str">
        <f>'(G3) Fjalori'!B67</f>
        <v>Shërbimet e kujdesit parësor</v>
      </c>
      <c r="D94" s="100" t="str">
        <f>D$8</f>
        <v>E detyrueshme</v>
      </c>
      <c r="E94" s="100" t="str">
        <f>'(G1) Fjalori'!A98</f>
        <v>I veti</v>
      </c>
      <c r="F94" s="112"/>
      <c r="G94" s="65" t="b">
        <f t="shared" si="1"/>
        <v>1</v>
      </c>
    </row>
    <row r="95" spans="1:7" x14ac:dyDescent="0.2">
      <c r="A95" s="110" t="str">
        <f>'(G1) Fjalori'!A166</f>
        <v>Programi 18b</v>
      </c>
      <c r="B95" s="583"/>
      <c r="C95" s="54"/>
      <c r="D95" s="54"/>
      <c r="E95" s="54"/>
      <c r="F95" s="112" t="str">
        <f>IF(G95=FALSE,"INCORRECT ENTRY!","OK!")</f>
        <v>OK!</v>
      </c>
      <c r="G95" s="65" t="b">
        <f t="shared" si="1"/>
        <v>1</v>
      </c>
    </row>
    <row r="96" spans="1:7" ht="13.5" thickBot="1" x14ac:dyDescent="0.25">
      <c r="A96" s="110" t="str">
        <f>'(G1) Fjalori'!A167</f>
        <v>Programi 18c</v>
      </c>
      <c r="B96" s="583"/>
      <c r="C96" s="54"/>
      <c r="D96" s="54"/>
      <c r="E96" s="54"/>
      <c r="F96" s="112" t="str">
        <f>IF(G96=FALSE,"INCORRECT ENTRY!","OK!")</f>
        <v>OK!</v>
      </c>
      <c r="G96" s="65" t="b">
        <f t="shared" si="1"/>
        <v>1</v>
      </c>
    </row>
    <row r="97" spans="1:7" ht="19.5" thickBot="1" x14ac:dyDescent="0.35">
      <c r="A97" s="325" t="str">
        <f>'(F6) Shpenzimet sipas funks.bru'!A32</f>
        <v>08 Argëtimi, Kultura dhe Feja</v>
      </c>
      <c r="B97" s="323"/>
      <c r="C97" s="323"/>
      <c r="D97" s="323"/>
      <c r="E97" s="324"/>
    </row>
    <row r="98" spans="1:7" s="191" customFormat="1" ht="21" customHeight="1" x14ac:dyDescent="0.3">
      <c r="A98" s="240" t="str">
        <f>'(B2) Struktura Organizative'!A25</f>
        <v>Nënfunksioni 19</v>
      </c>
      <c r="B98" s="320" t="str">
        <f>'(G3) Fjalori'!A69</f>
        <v>081</v>
      </c>
      <c r="C98" s="1130" t="str">
        <f>'(G3) Fjalori'!B69</f>
        <v>Shërbimet rekreative dhe sportive</v>
      </c>
      <c r="D98" s="1130"/>
      <c r="E98" s="1130"/>
    </row>
    <row r="99" spans="1:7" hidden="1" x14ac:dyDescent="0.2">
      <c r="A99" s="110" t="str">
        <f>'(G1) Fjalori'!A168</f>
        <v>Programi 19a</v>
      </c>
      <c r="B99" s="580" t="str">
        <f>'(G3) Fjalori'!A70</f>
        <v>08120</v>
      </c>
      <c r="C99" s="100" t="str">
        <f>'(G3) Fjalori'!B70</f>
        <v>Parqet</v>
      </c>
      <c r="D99" s="100" t="str">
        <f>D$8</f>
        <v>E detyrueshme</v>
      </c>
      <c r="E99" s="100" t="str">
        <f>'(G1) Fjalori'!A$98</f>
        <v>I veti</v>
      </c>
      <c r="F99" s="112"/>
      <c r="G99" s="65" t="b">
        <f t="shared" si="1"/>
        <v>1</v>
      </c>
    </row>
    <row r="100" spans="1:7" x14ac:dyDescent="0.2">
      <c r="A100" s="110" t="str">
        <f>'(G1) Fjalori'!A169</f>
        <v>Programi 19b</v>
      </c>
      <c r="B100" s="580" t="str">
        <f>'(G3) Fjalori'!A71</f>
        <v>08130</v>
      </c>
      <c r="C100" s="100" t="str">
        <f>'(G3) Fjalori'!B71</f>
        <v>Sport dhe argëtim</v>
      </c>
      <c r="D100" s="100" t="str">
        <f>D$8</f>
        <v>E detyrueshme</v>
      </c>
      <c r="E100" s="100" t="str">
        <f>'(G1) Fjalori'!A$98</f>
        <v>I veti</v>
      </c>
      <c r="F100" s="112"/>
      <c r="G100" s="65" t="b">
        <f t="shared" si="1"/>
        <v>1</v>
      </c>
    </row>
    <row r="101" spans="1:7" x14ac:dyDescent="0.2">
      <c r="A101" s="110" t="str">
        <f>'(G1) Fjalori'!A170</f>
        <v>Programi 19c</v>
      </c>
      <c r="B101" s="583"/>
      <c r="C101" s="54"/>
      <c r="D101" s="54"/>
      <c r="E101" s="54"/>
      <c r="F101" s="112" t="str">
        <f>IF(G101=FALSE,"INCORRECT ENTRY!","OK!")</f>
        <v>OK!</v>
      </c>
      <c r="G101" s="65" t="b">
        <f t="shared" si="1"/>
        <v>1</v>
      </c>
    </row>
    <row r="102" spans="1:7" s="191" customFormat="1" ht="21" customHeight="1" x14ac:dyDescent="0.3">
      <c r="A102" s="240" t="str">
        <f>'(B2) Struktura Organizative'!A26</f>
        <v>Nënfunksioni 20</v>
      </c>
      <c r="B102" s="320" t="str">
        <f>'(G3) Fjalori'!A72</f>
        <v>082</v>
      </c>
      <c r="C102" s="1130" t="str">
        <f>'(G3) Fjalori'!B72</f>
        <v>Shërbimet kulturore</v>
      </c>
      <c r="D102" s="1130"/>
      <c r="E102" s="1130"/>
    </row>
    <row r="103" spans="1:7" x14ac:dyDescent="0.2">
      <c r="A103" s="110" t="str">
        <f>'(G1) Fjalori'!A171</f>
        <v>Programi 20a</v>
      </c>
      <c r="B103" s="580" t="str">
        <f>'(G3) Fjalori'!A73</f>
        <v>08220</v>
      </c>
      <c r="C103" s="100" t="str">
        <f>'(G3) Fjalori'!B73</f>
        <v>Trashëgimia kulturore, eventet artistike dhe kulturore</v>
      </c>
      <c r="D103" s="100" t="str">
        <f>D$8</f>
        <v>E detyrueshme</v>
      </c>
      <c r="E103" s="100" t="str">
        <f>'(G1) Fjalori'!A$98</f>
        <v>I veti</v>
      </c>
      <c r="F103" s="112"/>
      <c r="G103" s="65" t="b">
        <f t="shared" si="1"/>
        <v>1</v>
      </c>
    </row>
    <row r="104" spans="1:7" hidden="1" x14ac:dyDescent="0.2">
      <c r="A104" s="110" t="str">
        <f>'(G1) Fjalori'!A172</f>
        <v>Programi 20b</v>
      </c>
      <c r="B104" s="580" t="str">
        <f>'(G3) Fjalori'!A74</f>
        <v>08230</v>
      </c>
      <c r="C104" s="100" t="str">
        <f>'(G3) Fjalori'!B74</f>
        <v>Arti dhe kultura</v>
      </c>
      <c r="D104" s="100" t="str">
        <f>D$8</f>
        <v>E detyrueshme</v>
      </c>
      <c r="E104" s="100" t="str">
        <f>'(G1) Fjalori'!A$98</f>
        <v>I veti</v>
      </c>
      <c r="F104" s="112"/>
      <c r="G104" s="65" t="b">
        <f t="shared" si="1"/>
        <v>1</v>
      </c>
    </row>
    <row r="105" spans="1:7" hidden="1" x14ac:dyDescent="0.2">
      <c r="A105" s="110" t="str">
        <f>'(G1) Fjalori'!A173</f>
        <v>Programi 20c</v>
      </c>
      <c r="B105" s="580" t="str">
        <f>'(G3) Fjalori'!A75</f>
        <v>08280</v>
      </c>
      <c r="C105" s="100" t="str">
        <f>'(G3) Fjalori'!B75</f>
        <v xml:space="preserve">Muzetë, teatrot dhe eventet kulturore </v>
      </c>
      <c r="D105" s="100" t="str">
        <f>D$8</f>
        <v>E detyrueshme</v>
      </c>
      <c r="E105" s="100" t="str">
        <f>'(G1) Fjalori'!A$98</f>
        <v>I veti</v>
      </c>
      <c r="F105" s="112"/>
      <c r="G105" s="65" t="b">
        <f t="shared" si="1"/>
        <v>1</v>
      </c>
    </row>
    <row r="106" spans="1:7" ht="13.5" thickBot="1" x14ac:dyDescent="0.25">
      <c r="A106" s="110" t="str">
        <f>'(G1) Fjalori'!A174</f>
        <v>Programi 20d</v>
      </c>
      <c r="B106" s="583"/>
      <c r="C106" s="54"/>
      <c r="D106" s="54"/>
      <c r="E106" s="54"/>
      <c r="F106" s="112" t="str">
        <f>IF(G106=FALSE,"INCORRECT ENTRY!","OK!")</f>
        <v>OK!</v>
      </c>
      <c r="G106" s="65" t="b">
        <f t="shared" si="1"/>
        <v>1</v>
      </c>
    </row>
    <row r="107" spans="1:7" ht="19.5" thickBot="1" x14ac:dyDescent="0.35">
      <c r="A107" s="325" t="str">
        <f>'(F6) Shpenzimet sipas funks.bru'!A35</f>
        <v>09 Arsimi</v>
      </c>
      <c r="B107" s="323"/>
      <c r="C107" s="323"/>
      <c r="D107" s="323"/>
      <c r="E107" s="324"/>
    </row>
    <row r="108" spans="1:7" s="191" customFormat="1" ht="21" customHeight="1" x14ac:dyDescent="0.3">
      <c r="A108" s="240" t="str">
        <f>'(B2) Struktura Organizative'!A27</f>
        <v>Nënfunksioni 21</v>
      </c>
      <c r="B108" s="320" t="str">
        <f>'(G3) Fjalori'!A77</f>
        <v>091</v>
      </c>
      <c r="C108" s="1130" t="str">
        <f>'(G3) Fjalori'!B77</f>
        <v>Arsimi bazë dhe parashkollor</v>
      </c>
      <c r="D108" s="1130"/>
      <c r="E108" s="1130"/>
    </row>
    <row r="109" spans="1:7" x14ac:dyDescent="0.2">
      <c r="A109" s="110" t="str">
        <f>'(G1) Fjalori'!A175</f>
        <v>Programi 21a</v>
      </c>
      <c r="B109" s="580" t="str">
        <f>'(G3) Fjalori'!A78</f>
        <v>09120</v>
      </c>
      <c r="C109" s="100" t="str">
        <f>'(G3) Fjalori'!B78</f>
        <v>Arsimi bazë përfshirë arsimin parashkollor.</v>
      </c>
      <c r="D109" s="100" t="str">
        <f>D$8</f>
        <v>E detyrueshme</v>
      </c>
      <c r="E109" s="100" t="str">
        <f>'(G1) Fjalori'!A$100</f>
        <v>Transferuar</v>
      </c>
      <c r="F109" s="112"/>
      <c r="G109" s="65" t="b">
        <f t="shared" si="1"/>
        <v>1</v>
      </c>
    </row>
    <row r="110" spans="1:7" hidden="1" x14ac:dyDescent="0.2">
      <c r="A110" s="110" t="str">
        <f>'(G1) Fjalori'!A176</f>
        <v>Programi 21b</v>
      </c>
      <c r="B110" s="580" t="str">
        <f>'(G3) Fjalori'!A79</f>
        <v>09122</v>
      </c>
      <c r="C110" s="100" t="str">
        <f>'(G3) Fjalori'!B79</f>
        <v>Mësuesit e kopshteve dhe pagat e stafit mbështetës</v>
      </c>
      <c r="D110" s="100" t="str">
        <f>D$8</f>
        <v>E detyrueshme</v>
      </c>
      <c r="E110" s="100" t="str">
        <f>'(G1) Fjalori'!A$100</f>
        <v>Transferuar</v>
      </c>
      <c r="F110" s="112"/>
      <c r="G110" s="65" t="b">
        <f t="shared" si="1"/>
        <v>1</v>
      </c>
    </row>
    <row r="111" spans="1:7" hidden="1" x14ac:dyDescent="0.2">
      <c r="A111" s="110" t="str">
        <f>'(G1) Fjalori'!A177</f>
        <v>Programi 21c</v>
      </c>
      <c r="B111" s="580" t="str">
        <f>'(G3) Fjalori'!A80</f>
        <v>09123</v>
      </c>
      <c r="C111" s="100" t="str">
        <f>'(G3) Fjalori'!B80</f>
        <v>Ushqimi i kopshteve</v>
      </c>
      <c r="D111" s="100" t="str">
        <f>D$8</f>
        <v>E detyrueshme</v>
      </c>
      <c r="E111" s="100" t="str">
        <f>'(G1) Fjalori'!A$98</f>
        <v>I veti</v>
      </c>
      <c r="F111" s="112"/>
      <c r="G111" s="65" t="b">
        <f t="shared" si="1"/>
        <v>1</v>
      </c>
    </row>
    <row r="112" spans="1:7" x14ac:dyDescent="0.2">
      <c r="A112" s="110" t="str">
        <f>'(G1) Fjalori'!A178</f>
        <v>Programi 21d</v>
      </c>
      <c r="B112" s="583"/>
      <c r="C112" s="54"/>
      <c r="D112" s="54"/>
      <c r="E112" s="54"/>
      <c r="F112" s="112" t="str">
        <f>IF(G112=FALSE,"INCORRECT ENTRY!","OK!")</f>
        <v>OK!</v>
      </c>
      <c r="G112" s="65" t="b">
        <f>OR(AND(C112="",D112="",E112=""),AND(C112&lt;&gt;"",D112&lt;&gt;"",E112&lt;&gt;""))</f>
        <v>1</v>
      </c>
    </row>
    <row r="113" spans="1:7" s="191" customFormat="1" ht="21" customHeight="1" x14ac:dyDescent="0.3">
      <c r="A113" s="240" t="str">
        <f>'(B2) Struktura Organizative'!A28</f>
        <v>Nënfunksioni 22</v>
      </c>
      <c r="B113" s="320" t="str">
        <f>'(G3) Fjalori'!A81</f>
        <v>092</v>
      </c>
      <c r="C113" s="1130" t="str">
        <f>'(G3) Fjalori'!B81</f>
        <v>Arsimi parauniversitar</v>
      </c>
      <c r="D113" s="1130"/>
      <c r="E113" s="1130"/>
    </row>
    <row r="114" spans="1:7" x14ac:dyDescent="0.2">
      <c r="A114" s="110" t="str">
        <f>'(G1) Fjalori'!A179</f>
        <v>Programi 22a</v>
      </c>
      <c r="B114" s="580" t="str">
        <f>'(G3) Fjalori'!A82</f>
        <v>09230</v>
      </c>
      <c r="C114" s="100" t="str">
        <f>'(G3) Fjalori'!B82</f>
        <v>Arsimi i mesëm i përgjithshëm</v>
      </c>
      <c r="D114" s="100" t="str">
        <f>D$8</f>
        <v>E detyrueshme</v>
      </c>
      <c r="E114" s="100" t="str">
        <f>'(G1) Fjalori'!A$100</f>
        <v>Transferuar</v>
      </c>
      <c r="F114" s="112"/>
      <c r="G114" s="65" t="b">
        <f t="shared" si="1"/>
        <v>1</v>
      </c>
    </row>
    <row r="115" spans="1:7" hidden="1" x14ac:dyDescent="0.2">
      <c r="A115" s="110" t="str">
        <f>'(G1) Fjalori'!A180</f>
        <v>Programi 22b</v>
      </c>
      <c r="B115" s="580" t="str">
        <f>'(G3) Fjalori'!A83</f>
        <v>09232</v>
      </c>
      <c r="C115" s="100" t="str">
        <f>'(G3) Fjalori'!B83</f>
        <v>Pagat e stafit mbështetës</v>
      </c>
      <c r="D115" s="100" t="str">
        <f>D$8</f>
        <v>E detyrueshme</v>
      </c>
      <c r="E115" s="100" t="str">
        <f>'(G1) Fjalori'!A$100</f>
        <v>Transferuar</v>
      </c>
      <c r="F115" s="112"/>
      <c r="G115" s="65" t="b">
        <f t="shared" si="1"/>
        <v>1</v>
      </c>
    </row>
    <row r="116" spans="1:7" x14ac:dyDescent="0.2">
      <c r="A116" s="110" t="str">
        <f>'(G1) Fjalori'!A181</f>
        <v>Programi 22c</v>
      </c>
      <c r="B116" s="580" t="str">
        <f>'(G3) Fjalori'!A84</f>
        <v>09240</v>
      </c>
      <c r="C116" s="100" t="str">
        <f>'(G3) Fjalori'!B84</f>
        <v>Arsimi profesional</v>
      </c>
      <c r="D116" s="100" t="str">
        <f>D$8</f>
        <v>E detyrueshme</v>
      </c>
      <c r="E116" s="100" t="str">
        <f>'(G1) Fjalori'!A$99</f>
        <v>I deleguar</v>
      </c>
      <c r="F116" s="112"/>
      <c r="G116" s="65" t="b">
        <f t="shared" si="1"/>
        <v>1</v>
      </c>
    </row>
    <row r="117" spans="1:7" ht="13.5" thickBot="1" x14ac:dyDescent="0.25">
      <c r="A117" s="110" t="str">
        <f>'(G1) Fjalori'!A182</f>
        <v>Programi 22d</v>
      </c>
      <c r="B117" s="583"/>
      <c r="C117" s="54"/>
      <c r="D117" s="54"/>
      <c r="E117" s="54"/>
      <c r="F117" s="112" t="str">
        <f>IF(G117=FALSE,"INCORRECT ENTRY!","OK!")</f>
        <v>OK!</v>
      </c>
      <c r="G117" s="65" t="b">
        <f>OR(AND(C117="",D117="",E117=""),AND(C117&lt;&gt;"",D117&lt;&gt;"",E117&lt;&gt;""))</f>
        <v>1</v>
      </c>
    </row>
    <row r="118" spans="1:7" s="191" customFormat="1" ht="21" hidden="1" customHeight="1" x14ac:dyDescent="0.3">
      <c r="A118" s="240" t="e">
        <f>'(B2) Struktura Organizative'!#REF!</f>
        <v>#REF!</v>
      </c>
      <c r="B118" s="320" t="str">
        <f>'(G3) Fjalori'!A85</f>
        <v>096</v>
      </c>
      <c r="C118" s="1130" t="str">
        <f>'(G3) Fjalori'!B85</f>
        <v>Shërbimet plotësuese në arsim</v>
      </c>
      <c r="D118" s="1130"/>
      <c r="E118" s="1130"/>
    </row>
    <row r="119" spans="1:7" hidden="1" x14ac:dyDescent="0.2">
      <c r="A119" s="110" t="str">
        <f>'(G1) Fjalori'!A183</f>
        <v>Programi 23a</v>
      </c>
      <c r="B119" s="580" t="str">
        <f>'(G3) Fjalori'!A86</f>
        <v>09660</v>
      </c>
      <c r="C119" s="100" t="str">
        <f>'(G3) Fjalori'!B86</f>
        <v xml:space="preserve">Programe arsimore për trajnimin e mësuesve dhe edukatorëve </v>
      </c>
      <c r="D119" s="100" t="str">
        <f>D$8</f>
        <v>E detyrueshme</v>
      </c>
      <c r="E119" s="100" t="str">
        <f>'(G1) Fjalori'!A$98</f>
        <v>I veti</v>
      </c>
      <c r="F119" s="112"/>
      <c r="G119" s="65" t="b">
        <f>OR(AND(C119="",D119="",E119=""),AND(C119&lt;&gt;"",D119&lt;&gt;"",E119&lt;&gt;""))</f>
        <v>1</v>
      </c>
    </row>
    <row r="120" spans="1:7" hidden="1" x14ac:dyDescent="0.2">
      <c r="A120" s="110" t="str">
        <f>'(G1) Fjalori'!A184</f>
        <v>Programi 23b</v>
      </c>
      <c r="B120" s="583"/>
      <c r="C120" s="54"/>
      <c r="D120" s="54"/>
      <c r="E120" s="54"/>
      <c r="F120" s="112" t="str">
        <f>IF(G120=FALSE,"INCORRECT ENTRY!","OK!")</f>
        <v>OK!</v>
      </c>
      <c r="G120" s="65" t="b">
        <f>OR(AND(C120="",D120="",E120=""),AND(C120&lt;&gt;"",D120&lt;&gt;"",E120&lt;&gt;""))</f>
        <v>1</v>
      </c>
    </row>
    <row r="121" spans="1:7" ht="13.5" hidden="1" thickBot="1" x14ac:dyDescent="0.25">
      <c r="A121" s="110" t="str">
        <f>'(G1) Fjalori'!A185</f>
        <v>Programi 23c</v>
      </c>
      <c r="B121" s="583"/>
      <c r="C121" s="54"/>
      <c r="D121" s="54"/>
      <c r="E121" s="54"/>
      <c r="F121" s="112" t="str">
        <f>IF(G121=FALSE,"INCORRECT ENTRY!","OK!")</f>
        <v>OK!</v>
      </c>
      <c r="G121" s="65" t="b">
        <f>OR(AND(C121="",D121="",E121=""),AND(C121&lt;&gt;"",D121&lt;&gt;"",E121&lt;&gt;""))</f>
        <v>1</v>
      </c>
    </row>
    <row r="122" spans="1:7" ht="19.5" thickBot="1" x14ac:dyDescent="0.35">
      <c r="A122" s="325" t="str">
        <f>'(F6) Shpenzimet sipas funks.bru'!A41</f>
        <v>10 Mbrojtja Sociale</v>
      </c>
      <c r="B122" s="323"/>
      <c r="C122" s="323"/>
      <c r="D122" s="323"/>
      <c r="E122" s="324"/>
    </row>
    <row r="123" spans="1:7" s="191" customFormat="1" ht="21" customHeight="1" x14ac:dyDescent="0.3">
      <c r="A123" s="240" t="str">
        <f>'(B2) Struktura Organizative'!A29</f>
        <v>Nënfunksioni 23</v>
      </c>
      <c r="B123" s="320" t="str">
        <f>'(G3) Fjalori'!A88</f>
        <v>101</v>
      </c>
      <c r="C123" s="1130" t="str">
        <f>'(G3) Fjalori'!B88</f>
        <v>Sëmundje dhe paaftësi</v>
      </c>
      <c r="D123" s="1130"/>
      <c r="E123" s="1130"/>
    </row>
    <row r="124" spans="1:7" x14ac:dyDescent="0.2">
      <c r="A124" s="110" t="str">
        <f>'(G1) Fjalori'!A186</f>
        <v>Programi 24a</v>
      </c>
      <c r="B124" s="580" t="str">
        <f>'(G3) Fjalori'!A89</f>
        <v>10140</v>
      </c>
      <c r="C124" s="100" t="str">
        <f>'(G3) Fjalori'!B89</f>
        <v>Kujdesi social për personat e sëmurë dhe me aftësi të kufizuara</v>
      </c>
      <c r="D124" s="100" t="str">
        <f>D$8</f>
        <v>E detyrueshme</v>
      </c>
      <c r="E124" s="100" t="str">
        <f>'(G1) Fjalori'!A$98</f>
        <v>I veti</v>
      </c>
      <c r="F124" s="112"/>
      <c r="G124" s="65" t="b">
        <f>OR(AND(C124="",D124="",E124=""),AND(C124&lt;&gt;"",D124&lt;&gt;"",E124&lt;&gt;""))</f>
        <v>1</v>
      </c>
    </row>
    <row r="125" spans="1:7" x14ac:dyDescent="0.2">
      <c r="A125" s="110" t="str">
        <f>'(G1) Fjalori'!A187</f>
        <v>Programi 24b</v>
      </c>
      <c r="B125" s="583"/>
      <c r="C125" s="54"/>
      <c r="D125" s="54"/>
      <c r="E125" s="54"/>
      <c r="F125" s="112" t="str">
        <f>IF(G125=FALSE,"INCORRECT ENTRY!","OK!")</f>
        <v>OK!</v>
      </c>
      <c r="G125" s="65" t="b">
        <f>OR(AND(C125="",D125="",E125=""),AND(C125&lt;&gt;"",D125&lt;&gt;"",E125&lt;&gt;""))</f>
        <v>1</v>
      </c>
    </row>
    <row r="126" spans="1:7" x14ac:dyDescent="0.2">
      <c r="A126" s="110" t="str">
        <f>'(G1) Fjalori'!A188</f>
        <v>Programi 24c</v>
      </c>
      <c r="B126" s="583"/>
      <c r="C126" s="54"/>
      <c r="D126" s="54"/>
      <c r="E126" s="54"/>
      <c r="F126" s="112" t="str">
        <f>IF(G126=FALSE,"INCORRECT ENTRY!","OK!")</f>
        <v>OK!</v>
      </c>
      <c r="G126" s="65" t="b">
        <f>OR(AND(C126="",D126="",E126=""),AND(C126&lt;&gt;"",D126&lt;&gt;"",E126&lt;&gt;""))</f>
        <v>1</v>
      </c>
    </row>
    <row r="127" spans="1:7" s="191" customFormat="1" ht="21" customHeight="1" x14ac:dyDescent="0.3">
      <c r="A127" s="240" t="str">
        <f>'(B2) Struktura Organizative'!A30</f>
        <v>Nënfunksioni 24</v>
      </c>
      <c r="B127" s="320" t="str">
        <f>'(G3) Fjalori'!A90</f>
        <v>102</v>
      </c>
      <c r="C127" s="1130" t="str">
        <f>'(G3) Fjalori'!B90</f>
        <v>Të moshuarit</v>
      </c>
      <c r="D127" s="1130"/>
      <c r="E127" s="1130"/>
    </row>
    <row r="128" spans="1:7" x14ac:dyDescent="0.2">
      <c r="A128" s="110" t="str">
        <f>'(G1) Fjalori'!A189</f>
        <v>Programi 25a</v>
      </c>
      <c r="B128" s="580" t="str">
        <f>'(G3) Fjalori'!A91</f>
        <v>10220</v>
      </c>
      <c r="C128" s="100" t="str">
        <f>'(G3) Fjalori'!B91</f>
        <v>Sigurimi shoqëror</v>
      </c>
      <c r="D128" s="100" t="str">
        <f>D$8</f>
        <v>E detyrueshme</v>
      </c>
      <c r="E128" s="100" t="str">
        <f>'(G1) Fjalori'!A$98</f>
        <v>I veti</v>
      </c>
      <c r="F128" s="112"/>
      <c r="G128" s="65" t="b">
        <f>OR(AND(C128="",D128="",E128=""),AND(C128&lt;&gt;"",D128&lt;&gt;"",E128&lt;&gt;""))</f>
        <v>1</v>
      </c>
    </row>
    <row r="129" spans="1:7" x14ac:dyDescent="0.2">
      <c r="A129" s="110" t="str">
        <f>'(G1) Fjalori'!A190</f>
        <v>Programi 25b</v>
      </c>
      <c r="B129" s="583"/>
      <c r="C129" s="54"/>
      <c r="D129" s="54"/>
      <c r="E129" s="54"/>
      <c r="F129" s="112" t="str">
        <f>IF(G129=FALSE,"INCORRECT ENTRY!","OK!")</f>
        <v>OK!</v>
      </c>
      <c r="G129" s="65" t="b">
        <f>OR(AND(C129="",D129="",E129=""),AND(C129&lt;&gt;"",D129&lt;&gt;"",E129&lt;&gt;""))</f>
        <v>1</v>
      </c>
    </row>
    <row r="130" spans="1:7" x14ac:dyDescent="0.2">
      <c r="A130" s="110" t="str">
        <f>'(G1) Fjalori'!A191</f>
        <v>Programi 25c</v>
      </c>
      <c r="B130" s="583"/>
      <c r="C130" s="54"/>
      <c r="D130" s="54"/>
      <c r="E130" s="54"/>
      <c r="F130" s="112" t="str">
        <f>IF(G130=FALSE,"INCORRECT ENTRY!","OK!")</f>
        <v>OK!</v>
      </c>
      <c r="G130" s="65" t="b">
        <f>OR(AND(C130="",D130="",E130=""),AND(C130&lt;&gt;"",D130&lt;&gt;"",E130&lt;&gt;""))</f>
        <v>1</v>
      </c>
    </row>
    <row r="131" spans="1:7" s="191" customFormat="1" ht="21" customHeight="1" x14ac:dyDescent="0.3">
      <c r="A131" s="240" t="str">
        <f>'(B2) Struktura Organizative'!A31</f>
        <v>Nënfunksioni 25</v>
      </c>
      <c r="B131" s="320" t="str">
        <f>'(G3) Fjalori'!A92</f>
        <v>104</v>
      </c>
      <c r="C131" s="1130" t="str">
        <f>'(G3) Fjalori'!B92</f>
        <v>Familja dhe fëmijët</v>
      </c>
      <c r="D131" s="1130"/>
      <c r="E131" s="1130"/>
    </row>
    <row r="132" spans="1:7" x14ac:dyDescent="0.2">
      <c r="A132" s="110" t="str">
        <f>'(G1) Fjalori'!A192</f>
        <v>Programi 26a</v>
      </c>
      <c r="B132" s="580" t="str">
        <f>'(G3) Fjalori'!A93</f>
        <v>10430</v>
      </c>
      <c r="C132" s="100" t="str">
        <f>'(G3) Fjalori'!B93</f>
        <v>Kujdesi social për familjet dhe fëmijët</v>
      </c>
      <c r="D132" s="100" t="str">
        <f>D$8</f>
        <v>E detyrueshme</v>
      </c>
      <c r="E132" s="100" t="str">
        <f>'(G1) Fjalori'!A$99</f>
        <v>I deleguar</v>
      </c>
      <c r="F132" s="112"/>
      <c r="G132" s="65" t="b">
        <f>OR(AND(C132="",D132="",E132=""),AND(C132&lt;&gt;"",D132&lt;&gt;"",E132&lt;&gt;""))</f>
        <v>1</v>
      </c>
    </row>
    <row r="133" spans="1:7" hidden="1" x14ac:dyDescent="0.2">
      <c r="A133" s="110" t="str">
        <f>'(G1) Fjalori'!A193</f>
        <v>Programi 26b</v>
      </c>
      <c r="B133" s="580" t="str">
        <f>'(G3) Fjalori'!A94</f>
        <v>10460</v>
      </c>
      <c r="C133" s="100" t="str">
        <f>'(G3) Fjalori'!B94</f>
        <v>Përfshirja sociale</v>
      </c>
      <c r="D133" s="100" t="str">
        <f>D$8</f>
        <v>E detyrueshme</v>
      </c>
      <c r="E133" s="100" t="str">
        <f>'(G1) Fjalori'!A$98</f>
        <v>I veti</v>
      </c>
      <c r="F133" s="112"/>
      <c r="G133" s="65" t="b">
        <f>OR(AND(C133="",D133="",E133=""),AND(C133&lt;&gt;"",D133&lt;&gt;"",E133&lt;&gt;""))</f>
        <v>1</v>
      </c>
    </row>
    <row r="134" spans="1:7" x14ac:dyDescent="0.2">
      <c r="A134" s="110" t="str">
        <f>'(G1) Fjalori'!A194</f>
        <v>Programi 26c</v>
      </c>
      <c r="B134" s="583"/>
      <c r="C134" s="54"/>
      <c r="D134" s="54"/>
      <c r="E134" s="54"/>
      <c r="F134" s="112" t="str">
        <f>IF(G134=FALSE,"INCORRECT ENTRY!","OK!")</f>
        <v>OK!</v>
      </c>
      <c r="G134" s="65" t="b">
        <f>OR(AND(C134="",D134="",E134=""),AND(C134&lt;&gt;"",D134&lt;&gt;"",E134&lt;&gt;""))</f>
        <v>1</v>
      </c>
    </row>
    <row r="135" spans="1:7" s="191" customFormat="1" ht="21" customHeight="1" x14ac:dyDescent="0.3">
      <c r="A135" s="240" t="str">
        <f>'(B2) Struktura Organizative'!A32</f>
        <v>Nënfunksioni 26</v>
      </c>
      <c r="B135" s="320" t="str">
        <f>'(G3) Fjalori'!A95</f>
        <v>105</v>
      </c>
      <c r="C135" s="1130" t="str">
        <f>'(G3) Fjalori'!B95</f>
        <v>Papunësia</v>
      </c>
      <c r="D135" s="1130"/>
      <c r="E135" s="1130"/>
    </row>
    <row r="136" spans="1:7" x14ac:dyDescent="0.2">
      <c r="A136" s="110" t="str">
        <f>'(G1) Fjalori'!A195</f>
        <v>Programi 27a</v>
      </c>
      <c r="B136" s="580" t="str">
        <f>'(G3) Fjalori'!A96</f>
        <v>10550</v>
      </c>
      <c r="C136" s="100" t="str">
        <f>'(G3) Fjalori'!B96</f>
        <v>Papunësia, arsim dhe aftësim</v>
      </c>
      <c r="D136" s="100" t="str">
        <f>D$8</f>
        <v>E detyrueshme</v>
      </c>
      <c r="E136" s="100" t="str">
        <f>'(G1) Fjalori'!A$98</f>
        <v>I veti</v>
      </c>
      <c r="F136" s="112"/>
      <c r="G136" s="65" t="b">
        <f>OR(AND(C136="",D136="",E136=""),AND(C136&lt;&gt;"",D136&lt;&gt;"",E136&lt;&gt;""))</f>
        <v>1</v>
      </c>
    </row>
    <row r="137" spans="1:7" x14ac:dyDescent="0.2">
      <c r="A137" s="110" t="str">
        <f>'(G1) Fjalori'!A196</f>
        <v>Programi 27b</v>
      </c>
      <c r="B137" s="583"/>
      <c r="C137" s="54"/>
      <c r="D137" s="54"/>
      <c r="E137" s="54"/>
      <c r="F137" s="112" t="str">
        <f>IF(G137=FALSE,"INCORRECT ENTRY!","OK!")</f>
        <v>OK!</v>
      </c>
      <c r="G137" s="65" t="b">
        <f>OR(AND(C137="",D137="",E137=""),AND(C137&lt;&gt;"",D137&lt;&gt;"",E137&lt;&gt;""))</f>
        <v>1</v>
      </c>
    </row>
    <row r="138" spans="1:7" x14ac:dyDescent="0.2">
      <c r="A138" s="110" t="str">
        <f>'(G1) Fjalori'!A197</f>
        <v>Programi 27c</v>
      </c>
      <c r="B138" s="583"/>
      <c r="C138" s="54"/>
      <c r="D138" s="54"/>
      <c r="E138" s="54"/>
      <c r="F138" s="112" t="str">
        <f>IF(G138=FALSE,"INCORRECT ENTRY!","OK!")</f>
        <v>OK!</v>
      </c>
      <c r="G138" s="65" t="b">
        <f>OR(AND(C138="",D138="",E138=""),AND(C138&lt;&gt;"",D138&lt;&gt;"",E138&lt;&gt;""))</f>
        <v>1</v>
      </c>
    </row>
    <row r="139" spans="1:7" s="191" customFormat="1" ht="21" customHeight="1" x14ac:dyDescent="0.3">
      <c r="A139" s="240" t="str">
        <f>'(B2) Struktura Organizative'!A33</f>
        <v>Nënfunksioni 27</v>
      </c>
      <c r="B139" s="320" t="str">
        <f>'(G3) Fjalori'!A97</f>
        <v>106</v>
      </c>
      <c r="C139" s="1130" t="str">
        <f>'(G3) Fjalori'!B97</f>
        <v>Strehimi social</v>
      </c>
      <c r="D139" s="1130"/>
      <c r="E139" s="1130"/>
    </row>
    <row r="140" spans="1:7" x14ac:dyDescent="0.2">
      <c r="A140" s="110" t="str">
        <f>'(G1) Fjalori'!A198</f>
        <v>Programi 28a</v>
      </c>
      <c r="B140" s="580" t="str">
        <f>'(G3) Fjalori'!A98</f>
        <v>10661</v>
      </c>
      <c r="C140" s="100" t="str">
        <f>'(G3) Fjalori'!B98</f>
        <v>Strehimi social</v>
      </c>
      <c r="D140" s="100" t="str">
        <f>D$8</f>
        <v>E detyrueshme</v>
      </c>
      <c r="E140" s="100" t="str">
        <f>'(G1) Fjalori'!A$98</f>
        <v>I veti</v>
      </c>
      <c r="F140" s="112"/>
      <c r="G140" s="65" t="b">
        <f>OR(AND(C140="",D140="",E140=""),AND(C140&lt;&gt;"",D140&lt;&gt;"",E140&lt;&gt;""))</f>
        <v>1</v>
      </c>
    </row>
    <row r="141" spans="1:7" x14ac:dyDescent="0.2">
      <c r="A141" s="110" t="str">
        <f>'(G1) Fjalori'!A199</f>
        <v>Programi 28b</v>
      </c>
      <c r="B141" s="583"/>
      <c r="C141" s="54"/>
      <c r="D141" s="54"/>
      <c r="E141" s="54"/>
      <c r="F141" s="112" t="str">
        <f>IF(G141=FALSE,"INCORRECT ENTRY!","OK!")</f>
        <v>OK!</v>
      </c>
      <c r="G141" s="65" t="b">
        <f>OR(AND(C141="",D141="",E141=""),AND(C141&lt;&gt;"",D141&lt;&gt;"",E141&lt;&gt;""))</f>
        <v>1</v>
      </c>
    </row>
    <row r="142" spans="1:7" x14ac:dyDescent="0.2">
      <c r="A142" s="110" t="str">
        <f>'(G1) Fjalori'!A200</f>
        <v>Programi 28c</v>
      </c>
      <c r="B142" s="583"/>
      <c r="C142" s="54"/>
      <c r="D142" s="54"/>
      <c r="E142" s="54"/>
      <c r="F142" s="112" t="str">
        <f>IF(G142=FALSE,"INCORRECT ENTRY!","OK!")</f>
        <v>OK!</v>
      </c>
      <c r="G142" s="65" t="b">
        <f>OR(AND(C142="",D142="",E142=""),AND(C142&lt;&gt;"",D142&lt;&gt;"",E142&lt;&gt;""))</f>
        <v>1</v>
      </c>
    </row>
    <row r="143" spans="1:7" s="191" customFormat="1" ht="18.75" hidden="1" customHeight="1" x14ac:dyDescent="0.3">
      <c r="A143" s="240" t="str">
        <f>'(B2) Struktura Organizative'!A34</f>
        <v>Nënfunksioni 29</v>
      </c>
      <c r="B143" s="320" t="str">
        <f>'(G3) Fjalori'!A99</f>
        <v>107</v>
      </c>
      <c r="C143" s="1130" t="str">
        <f>'(G3) Fjalori'!B99</f>
        <v>Ndihma Ekonomike</v>
      </c>
      <c r="D143" s="1130"/>
      <c r="E143" s="1130"/>
    </row>
    <row r="144" spans="1:7" ht="14.25" hidden="1" customHeight="1" x14ac:dyDescent="0.2">
      <c r="A144" s="110" t="str">
        <f>'(G1) Fjalori'!A201</f>
        <v>Programi 29a</v>
      </c>
      <c r="B144" s="580" t="str">
        <f>'(G3) Fjalori'!A100</f>
        <v>10770</v>
      </c>
      <c r="C144" s="100" t="str">
        <f>'(G3) Fjalori'!B100</f>
        <v>Ndihma Ekonomike</v>
      </c>
      <c r="D144" s="100" t="str">
        <f>D$8</f>
        <v>E detyrueshme</v>
      </c>
      <c r="E144" s="100" t="str">
        <f>'(G1) Fjalori'!A$99</f>
        <v>I deleguar</v>
      </c>
      <c r="F144" s="112"/>
      <c r="G144" s="65" t="b">
        <f>OR(AND(C144="",D144="",E144=""),AND(C144&lt;&gt;"",D144&lt;&gt;"",E144&lt;&gt;""))</f>
        <v>1</v>
      </c>
    </row>
    <row r="145" spans="1:7" ht="15.75" hidden="1" customHeight="1" x14ac:dyDescent="0.2">
      <c r="A145" s="110" t="str">
        <f>'(G1) Fjalori'!A202</f>
        <v>Programi 29b</v>
      </c>
      <c r="B145" s="583"/>
      <c r="C145" s="54"/>
      <c r="D145" s="54"/>
      <c r="E145" s="54"/>
      <c r="F145" s="112" t="str">
        <f>IF(G145=FALSE,"INCORRECT ENTRY!","OK!")</f>
        <v>OK!</v>
      </c>
      <c r="G145" s="65" t="b">
        <f>OR(AND(C145="",D145="",E145=""),AND(C145&lt;&gt;"",D145&lt;&gt;"",E145&lt;&gt;""))</f>
        <v>1</v>
      </c>
    </row>
    <row r="146" spans="1:7" ht="15" hidden="1" customHeight="1" x14ac:dyDescent="0.2">
      <c r="A146" s="110" t="str">
        <f>'(G1) Fjalori'!A203</f>
        <v>Programi 29c</v>
      </c>
      <c r="B146" s="583"/>
      <c r="C146" s="54"/>
      <c r="D146" s="54"/>
      <c r="E146" s="54"/>
      <c r="F146" s="112" t="str">
        <f>IF(G146=FALSE,"INCORRECT ENTRY!","OK!")</f>
        <v>OK!</v>
      </c>
      <c r="G146" s="65" t="b">
        <f>OR(AND(C146="",D146="",E146=""),AND(C146&lt;&gt;"",D146&lt;&gt;"",E146&lt;&gt;""))</f>
        <v>1</v>
      </c>
    </row>
    <row r="148" spans="1:7" hidden="1" x14ac:dyDescent="0.2"/>
    <row r="149" spans="1:7" hidden="1" x14ac:dyDescent="0.2">
      <c r="D149" s="64" t="s">
        <v>678</v>
      </c>
      <c r="E149" s="64" t="s">
        <v>710</v>
      </c>
    </row>
    <row r="150" spans="1:7" hidden="1" x14ac:dyDescent="0.2">
      <c r="D150" s="64" t="s">
        <v>344</v>
      </c>
      <c r="E150" s="64" t="s">
        <v>711</v>
      </c>
    </row>
    <row r="151" spans="1:7" hidden="1" x14ac:dyDescent="0.2">
      <c r="E151" s="64" t="s">
        <v>940</v>
      </c>
    </row>
    <row r="152" spans="1:7" hidden="1" x14ac:dyDescent="0.2"/>
    <row r="153" spans="1:7" hidden="1" x14ac:dyDescent="0.2"/>
  </sheetData>
  <sheetProtection selectLockedCells="1"/>
  <mergeCells count="23">
    <mergeCell ref="C127:E127"/>
    <mergeCell ref="C131:E131"/>
    <mergeCell ref="C135:E135"/>
    <mergeCell ref="C139:E139"/>
    <mergeCell ref="C143:E143"/>
    <mergeCell ref="C102:E102"/>
    <mergeCell ref="C108:E108"/>
    <mergeCell ref="C113:E113"/>
    <mergeCell ref="C118:E118"/>
    <mergeCell ref="C123:E123"/>
    <mergeCell ref="C80:E80"/>
    <mergeCell ref="C84:E84"/>
    <mergeCell ref="C88:E88"/>
    <mergeCell ref="C93:E93"/>
    <mergeCell ref="C98:E98"/>
    <mergeCell ref="A3:F3"/>
    <mergeCell ref="C59:E59"/>
    <mergeCell ref="C63:E63"/>
    <mergeCell ref="C71:E71"/>
    <mergeCell ref="C76:E76"/>
    <mergeCell ref="C41:E41"/>
    <mergeCell ref="C48:E48"/>
    <mergeCell ref="C53:E53"/>
  </mergeCells>
  <dataValidations xWindow="467" yWindow="483" count="2">
    <dataValidation type="list" allowBlank="1" showInputMessage="1" showErrorMessage="1" sqref="E145:E146 E40 E19:E20 E23:E24 E27:E28 E32:E33 E141:E142 E47 E52 E57:E58 E61:E62 E65:E66 E69:E70 E74:E75 E79 E83 E86:E87 E90:E92 E95:E97 E101 E106:E107 E112 E117 E120:E122 E125:E126 E129:E130 E134 E137:E138 E13">
      <formula1>$E$148:$E$151</formula1>
    </dataValidation>
    <dataValidation type="list" errorStyle="warning" allowBlank="1" showInputMessage="1" showErrorMessage="1" errorTitle="WRONG ENTRY" prompt="Auswahl!" sqref="D141:D142 D40 D19:D20 D23:D24 D27:D28 D32:D33 D145:D146 D47 D52 D57:D58 D61:D62 D65:D66 D69:D70 D74:D75 D79 D83 D86:D87 D90:D92 D95:D97 D101 D106:D107 D112 D117 D120:D122 D125:D126 D129:D130 D134 D137:D138 D13">
      <formula1>$D$149:$D$151</formula1>
    </dataValidation>
  </dataValidations>
  <pageMargins left="0.78740157480314965" right="0.70866141732283472" top="0.98425196850393704" bottom="0.78740157480314965" header="0.43307086614173229" footer="0.31496062992125984"/>
  <pageSetup paperSize="9" scale="86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3" manualBreakCount="3">
    <brk id="40" max="16383" man="1"/>
    <brk id="70" max="16383" man="1"/>
    <brk id="10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9"/>
  </sheetPr>
  <dimension ref="A1:Q196"/>
  <sheetViews>
    <sheetView showGridLines="0" topLeftCell="A27" workbookViewId="0">
      <selection activeCell="I59" sqref="I59"/>
    </sheetView>
  </sheetViews>
  <sheetFormatPr defaultColWidth="4.140625" defaultRowHeight="12.75" x14ac:dyDescent="0.2"/>
  <cols>
    <col min="1" max="1" width="19.140625" style="65" customWidth="1"/>
    <col min="2" max="2" width="8.140625" style="257" customWidth="1"/>
    <col min="3" max="3" width="39.5703125" style="64" customWidth="1"/>
    <col min="4" max="4" width="10.140625" style="64" customWidth="1"/>
    <col min="5" max="5" width="11.140625" style="64" customWidth="1"/>
    <col min="6" max="7" width="9.7109375" style="64" customWidth="1"/>
    <col min="8" max="8" width="10.140625" style="64" customWidth="1"/>
    <col min="9" max="9" width="11.42578125" style="64" customWidth="1"/>
    <col min="10" max="10" width="9.7109375" style="64" customWidth="1"/>
    <col min="11" max="11" width="12.28515625" style="65" customWidth="1"/>
    <col min="12" max="12" width="11.7109375" style="64" customWidth="1"/>
    <col min="13" max="13" width="12.85546875" style="65" customWidth="1"/>
    <col min="14" max="14" width="9.7109375" style="65" customWidth="1"/>
    <col min="15" max="15" width="11.28515625" style="65" customWidth="1" collapsed="1"/>
    <col min="16" max="17" width="11.5703125" style="65" hidden="1" customWidth="1"/>
    <col min="18" max="191" width="11.5703125" style="65" customWidth="1"/>
    <col min="192" max="192" width="3.85546875" style="65" customWidth="1"/>
    <col min="193" max="193" width="22" style="65" customWidth="1"/>
    <col min="194" max="196" width="4.140625" style="65" customWidth="1"/>
    <col min="197" max="197" width="5.85546875" style="65" customWidth="1"/>
    <col min="198" max="198" width="4.140625" style="65" customWidth="1"/>
    <col min="199" max="199" width="0.85546875" style="65" customWidth="1"/>
    <col min="200" max="200" width="5.85546875" style="65" customWidth="1"/>
    <col min="201" max="201" width="4.140625" style="65" customWidth="1"/>
    <col min="202" max="202" width="0.85546875" style="65" customWidth="1"/>
    <col min="203" max="203" width="5.85546875" style="65" customWidth="1"/>
    <col min="204" max="204" width="4.140625" style="65" customWidth="1"/>
    <col min="205" max="205" width="0.85546875" style="65" customWidth="1"/>
    <col min="206" max="206" width="5.85546875" style="65" customWidth="1"/>
    <col min="207" max="16384" width="4.140625" style="65"/>
  </cols>
  <sheetData>
    <row r="1" spans="1:17" s="169" customFormat="1" x14ac:dyDescent="0.2">
      <c r="A1" s="1134" t="str">
        <f>'(G1) Fjalori'!A13</f>
        <v>Verdhë = Per tu plotësuar nga Departamenti i Financës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6"/>
    </row>
    <row r="2" spans="1:17" x14ac:dyDescent="0.2">
      <c r="I2" s="64">
        <f>I10+I71+I92+I98+I102+I124+I131+I21</f>
        <v>674218985</v>
      </c>
    </row>
    <row r="3" spans="1:17" ht="21" x14ac:dyDescent="0.35">
      <c r="A3" s="1137" t="str">
        <f>'(G1) Fjalori'!A205</f>
        <v>(C1) SHPENZIMET: VITET E KALUARA DHE VITI AKTUAL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9"/>
    </row>
    <row r="4" spans="1:17" s="1" customFormat="1" x14ac:dyDescent="0.2">
      <c r="A4" s="66"/>
      <c r="B4" s="247"/>
      <c r="C4" s="94"/>
      <c r="D4" s="94"/>
      <c r="E4" s="94"/>
      <c r="F4" s="94"/>
      <c r="G4" s="94"/>
      <c r="H4" s="94"/>
      <c r="L4" s="66"/>
    </row>
    <row r="5" spans="1:17" ht="15" customHeight="1" x14ac:dyDescent="0.2">
      <c r="B5" s="248"/>
      <c r="C5" s="65"/>
      <c r="D5" s="1140">
        <f>'(B1)Informacion i përgjithshëm '!B5</f>
        <v>2019</v>
      </c>
      <c r="E5" s="1140"/>
      <c r="F5" s="1140"/>
      <c r="G5" s="1140"/>
      <c r="H5" s="1140">
        <f>'(B1)Informacion i përgjithshëm '!B6</f>
        <v>2020</v>
      </c>
      <c r="I5" s="1140"/>
      <c r="J5" s="1140"/>
      <c r="K5" s="1140"/>
      <c r="L5" s="1140">
        <f>'(B1)Informacion i përgjithshëm '!B7</f>
        <v>2021</v>
      </c>
      <c r="M5" s="1140"/>
      <c r="N5" s="1140"/>
      <c r="O5" s="1140"/>
    </row>
    <row r="6" spans="1:17" s="69" customFormat="1" ht="25.5" customHeight="1" x14ac:dyDescent="0.25">
      <c r="A6" s="68"/>
      <c r="B6" s="956" t="s">
        <v>2029</v>
      </c>
      <c r="C6" s="68"/>
      <c r="D6" s="1141" t="str">
        <f>'(G1) Fjalori'!A5</f>
        <v>Viti t-2</v>
      </c>
      <c r="E6" s="1141"/>
      <c r="F6" s="1141"/>
      <c r="G6" s="1141"/>
      <c r="H6" s="1141" t="str">
        <f>'(G1) Fjalori'!A6</f>
        <v>Viti i shkuar</v>
      </c>
      <c r="I6" s="1141"/>
      <c r="J6" s="1141"/>
      <c r="K6" s="1141"/>
      <c r="L6" s="1141" t="str">
        <f>'(G1) Fjalori'!A7</f>
        <v>Viti aktual</v>
      </c>
      <c r="M6" s="1141"/>
      <c r="N6" s="1141"/>
      <c r="O6" s="1141"/>
    </row>
    <row r="7" spans="1:17" s="228" customFormat="1" ht="39" customHeight="1" thickBot="1" x14ac:dyDescent="0.3">
      <c r="B7" s="252"/>
      <c r="D7" s="574" t="str">
        <f>'KB 01'!I88</f>
        <v>SHUMA E KËRKUAR NETO</v>
      </c>
      <c r="E7" s="229" t="str">
        <f>'(G1) Fjalori'!A208</f>
        <v>Shpenzimet (Përfshirë Investimet)</v>
      </c>
      <c r="F7" s="229" t="str">
        <f>'(G1) Fjalori'!A209</f>
        <v>Tarifa</v>
      </c>
      <c r="G7" s="229" t="str">
        <f>'(G1) Fjalori'!A210</f>
        <v>Të ardhura me destinacion</v>
      </c>
      <c r="H7" s="574" t="str">
        <f>D7</f>
        <v>SHUMA E KËRKUAR NETO</v>
      </c>
      <c r="I7" s="229" t="str">
        <f>'(G1) Fjalori'!A208</f>
        <v>Shpenzimet (Përfshirë Investimet)</v>
      </c>
      <c r="J7" s="229" t="str">
        <f>'(G1) Fjalori'!A209</f>
        <v>Tarifa</v>
      </c>
      <c r="K7" s="229" t="str">
        <f>'(G1) Fjalori'!A210</f>
        <v>Të ardhura me destinacion</v>
      </c>
      <c r="L7" s="574" t="str">
        <f>D7</f>
        <v>SHUMA E KËRKUAR NETO</v>
      </c>
      <c r="M7" s="229" t="str">
        <f>I7</f>
        <v>Shpenzimet (Përfshirë Investimet)</v>
      </c>
      <c r="N7" s="229" t="str">
        <f>J7</f>
        <v>Tarifa</v>
      </c>
      <c r="O7" s="229" t="str">
        <f>K7</f>
        <v>Të ardhura me destinacion</v>
      </c>
    </row>
    <row r="8" spans="1:17" s="228" customFormat="1" ht="19.5" thickBot="1" x14ac:dyDescent="0.35">
      <c r="A8" s="603" t="str">
        <f>'(B3) Struktura Funksionale'!A6</f>
        <v>01 Shërbimet e Përgjithshme Publike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604"/>
    </row>
    <row r="9" spans="1:17" ht="37.5" x14ac:dyDescent="0.2">
      <c r="A9" s="600" t="str">
        <f>'(B3) Struktura Funksionale'!A7</f>
        <v>Nënfunksioni 1</v>
      </c>
      <c r="B9" s="600" t="str">
        <f>'(B3) Struktura Funksionale'!B7</f>
        <v>011</v>
      </c>
      <c r="C9" s="328" t="str">
        <f>'(B3) Struktura Funksionale'!C7</f>
        <v>Organet ekzekutive dhe legjislative, per  Çështjet financiare dhe fiskale, Çështjet e brendshme</v>
      </c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605"/>
      <c r="P9" s="242"/>
      <c r="Q9" s="243"/>
    </row>
    <row r="10" spans="1:17" x14ac:dyDescent="0.2">
      <c r="A10" s="188" t="str">
        <f>'(B3) Struktura Funksionale'!A8</f>
        <v>Programi 1a</v>
      </c>
      <c r="B10" s="584" t="str">
        <f>'(B3) Struktura Funksionale'!B8</f>
        <v>01110</v>
      </c>
      <c r="C10" s="188" t="str">
        <f>'(B3) Struktura Funksionale'!C8</f>
        <v>Planifikimi Menaxhimi dhe Administrimi</v>
      </c>
      <c r="D10" s="657">
        <f>+E10-F10-G10</f>
        <v>61796021</v>
      </c>
      <c r="E10" s="658">
        <f>50854058+12101012+20319692+1000000+2159813+6837421+53991291+5127424+31871581+4710715</f>
        <v>188973007</v>
      </c>
      <c r="F10" s="659">
        <v>122163500</v>
      </c>
      <c r="G10" s="659">
        <v>5013486</v>
      </c>
      <c r="H10" s="657">
        <f>+I10-J10-K10</f>
        <v>291440420</v>
      </c>
      <c r="I10" s="658">
        <f>68900000+24100000+46852641+1644000+4800000+1142321+7398+4310738+84460602+735524+34493086+216400+2145729+13875000+3810553+8502341+86819</f>
        <v>300083152</v>
      </c>
      <c r="J10" s="659">
        <v>7177842</v>
      </c>
      <c r="K10" s="659">
        <v>1464890</v>
      </c>
      <c r="L10" s="657">
        <f>+M10-N10-O10</f>
        <v>79327198</v>
      </c>
      <c r="M10" s="658">
        <v>423241564</v>
      </c>
      <c r="N10" s="659">
        <v>283517721</v>
      </c>
      <c r="O10" s="659">
        <v>60396645</v>
      </c>
      <c r="P10" s="65">
        <f>I10-J10-K10</f>
        <v>291440420</v>
      </c>
      <c r="Q10" s="65">
        <f>M10-N10-O10</f>
        <v>79327198</v>
      </c>
    </row>
    <row r="11" spans="1:17" x14ac:dyDescent="0.2">
      <c r="A11" s="188" t="str">
        <f>'(B3) Struktura Funksionale'!A9</f>
        <v>Programi 1b</v>
      </c>
      <c r="B11" s="584" t="str">
        <f>'(B3) Struktura Funksionale'!B9</f>
        <v>01120</v>
      </c>
      <c r="C11" s="188" t="str">
        <f>'(B3) Struktura Funksionale'!C9</f>
        <v>Çështje financiare dhe fiskale</v>
      </c>
      <c r="D11" s="657">
        <f t="shared" ref="D11:D48" si="0">+E11-F11-G11</f>
        <v>0</v>
      </c>
      <c r="E11" s="660"/>
      <c r="F11" s="660"/>
      <c r="G11" s="660"/>
      <c r="H11" s="657">
        <f t="shared" ref="H11:H16" si="1">+I11-J11-K11</f>
        <v>0</v>
      </c>
      <c r="I11" s="660"/>
      <c r="J11" s="660"/>
      <c r="K11" s="660"/>
      <c r="L11" s="657">
        <f t="shared" ref="L11:L16" si="2">+M11-N11-O11</f>
        <v>0</v>
      </c>
      <c r="M11" s="660"/>
      <c r="N11" s="660"/>
      <c r="O11" s="660"/>
      <c r="P11" s="65">
        <f>I11-J11-K11</f>
        <v>0</v>
      </c>
      <c r="Q11" s="65">
        <f>M11-N11-O11</f>
        <v>0</v>
      </c>
    </row>
    <row r="12" spans="1:17" hidden="1" x14ac:dyDescent="0.2">
      <c r="A12" s="188" t="str">
        <f>'(B3) Struktura Funksionale'!A10</f>
        <v>Programi 1c</v>
      </c>
      <c r="B12" s="584" t="str">
        <f>'(B3) Struktura Funksionale'!B10</f>
        <v>01130</v>
      </c>
      <c r="C12" s="188" t="str">
        <f>'(B3) Struktura Funksionale'!C10</f>
        <v>Sherbime të pergjithshme publike</v>
      </c>
      <c r="D12" s="657">
        <f t="shared" si="0"/>
        <v>0</v>
      </c>
      <c r="E12" s="660"/>
      <c r="F12" s="660"/>
      <c r="G12" s="660"/>
      <c r="H12" s="657">
        <f t="shared" si="1"/>
        <v>0</v>
      </c>
      <c r="I12" s="660"/>
      <c r="J12" s="660"/>
      <c r="K12" s="660"/>
      <c r="L12" s="657">
        <f t="shared" si="2"/>
        <v>0</v>
      </c>
      <c r="M12" s="660"/>
      <c r="N12" s="660"/>
      <c r="O12" s="660"/>
      <c r="P12" s="65">
        <f>I12-J12-K12</f>
        <v>0</v>
      </c>
      <c r="Q12" s="65">
        <f>M12-N12-O12</f>
        <v>0</v>
      </c>
    </row>
    <row r="13" spans="1:17" x14ac:dyDescent="0.2">
      <c r="A13" s="188" t="str">
        <f>'(B3) Struktura Funksionale'!A11</f>
        <v>Programi 1d</v>
      </c>
      <c r="B13" s="584" t="str">
        <f>'(B3) Struktura Funksionale'!B11</f>
        <v>01170</v>
      </c>
      <c r="C13" s="188" t="str">
        <f>'(B3) Struktura Funksionale'!C11</f>
        <v>Gjendja civile</v>
      </c>
      <c r="D13" s="657">
        <f t="shared" si="0"/>
        <v>-83042</v>
      </c>
      <c r="E13" s="661">
        <f>6380486+1065547+280800+93125</f>
        <v>7819958</v>
      </c>
      <c r="F13" s="661"/>
      <c r="G13" s="704">
        <f>6440000+1080000+289000+94000</f>
        <v>7903000</v>
      </c>
      <c r="H13" s="657">
        <f t="shared" si="1"/>
        <v>-1137000</v>
      </c>
      <c r="I13" s="661">
        <f>6400000+1080000+604216+2375000</f>
        <v>10459216</v>
      </c>
      <c r="J13" s="661"/>
      <c r="K13" s="661">
        <v>11596216</v>
      </c>
      <c r="L13" s="657">
        <f t="shared" si="2"/>
        <v>0</v>
      </c>
      <c r="M13" s="661">
        <f>6740000+1130000+214000</f>
        <v>8084000</v>
      </c>
      <c r="N13" s="661"/>
      <c r="O13" s="661">
        <f>6740000+1130000+214000</f>
        <v>8084000</v>
      </c>
    </row>
    <row r="14" spans="1:17" x14ac:dyDescent="0.2">
      <c r="A14" s="188" t="str">
        <f>'(B3) Struktura Funksionale'!A12</f>
        <v>Programi 1e</v>
      </c>
      <c r="B14" s="584">
        <f>'(B3) Struktura Funksionale'!B12</f>
        <v>0</v>
      </c>
      <c r="C14" s="188">
        <f>'(B3) Struktura Funksionale'!C12</f>
        <v>0</v>
      </c>
      <c r="D14" s="657">
        <f t="shared" si="0"/>
        <v>0</v>
      </c>
      <c r="E14" s="662"/>
      <c r="F14" s="661"/>
      <c r="G14" s="661"/>
      <c r="H14" s="657">
        <f t="shared" si="1"/>
        <v>0</v>
      </c>
      <c r="I14" s="661"/>
      <c r="J14" s="661"/>
      <c r="K14" s="661"/>
      <c r="L14" s="657">
        <f t="shared" si="2"/>
        <v>0</v>
      </c>
      <c r="M14" s="661"/>
      <c r="N14" s="661"/>
      <c r="O14" s="661"/>
    </row>
    <row r="15" spans="1:17" x14ac:dyDescent="0.2">
      <c r="A15" s="188" t="str">
        <f>'(B3) Struktura Funksionale'!A13</f>
        <v>Programi 1f</v>
      </c>
      <c r="B15" s="584">
        <f>'(B3) Struktura Funksionale'!B13</f>
        <v>0</v>
      </c>
      <c r="C15" s="188">
        <f>'(B3) Struktura Funksionale'!C13</f>
        <v>0</v>
      </c>
      <c r="D15" s="657">
        <f t="shared" si="0"/>
        <v>0</v>
      </c>
      <c r="E15" s="662"/>
      <c r="F15" s="661"/>
      <c r="G15" s="661"/>
      <c r="H15" s="657">
        <f t="shared" si="1"/>
        <v>0</v>
      </c>
      <c r="I15" s="661"/>
      <c r="J15" s="661"/>
      <c r="K15" s="661"/>
      <c r="L15" s="657">
        <f t="shared" si="2"/>
        <v>0</v>
      </c>
      <c r="M15" s="661"/>
      <c r="N15" s="661"/>
      <c r="O15" s="661"/>
    </row>
    <row r="16" spans="1:17" x14ac:dyDescent="0.2">
      <c r="A16" s="55"/>
      <c r="B16" s="253"/>
      <c r="C16" s="196"/>
      <c r="D16" s="657">
        <f t="shared" si="0"/>
        <v>61712979</v>
      </c>
      <c r="E16" s="657">
        <f>SUM(E10:E15)</f>
        <v>196792965</v>
      </c>
      <c r="F16" s="657">
        <f>SUM(F10:F15)</f>
        <v>122163500</v>
      </c>
      <c r="G16" s="657">
        <f>SUM(G10:G15)</f>
        <v>12916486</v>
      </c>
      <c r="H16" s="657">
        <f t="shared" si="1"/>
        <v>290303420</v>
      </c>
      <c r="I16" s="657">
        <f>SUM(I10:I15)</f>
        <v>310542368</v>
      </c>
      <c r="J16" s="657">
        <f>SUM(J10:J15)</f>
        <v>7177842</v>
      </c>
      <c r="K16" s="657">
        <f>SUM(K10:K15)</f>
        <v>13061106</v>
      </c>
      <c r="L16" s="657">
        <f t="shared" si="2"/>
        <v>79327198</v>
      </c>
      <c r="M16" s="657">
        <f>SUM(M10:M15)</f>
        <v>431325564</v>
      </c>
      <c r="N16" s="657">
        <f>SUM(N10:N15)</f>
        <v>283517721</v>
      </c>
      <c r="O16" s="657">
        <f>SUM(O10:O15)</f>
        <v>68480645</v>
      </c>
      <c r="P16" s="65">
        <f>I16-J16-K16</f>
        <v>290303420</v>
      </c>
      <c r="Q16" s="65">
        <f>M16-N16-O16</f>
        <v>79327198</v>
      </c>
    </row>
    <row r="17" spans="1:17" ht="37.5" x14ac:dyDescent="0.2">
      <c r="A17" s="599" t="str">
        <f>'(B3) Struktura Funksionale'!A14</f>
        <v>Nënfunksioni 2</v>
      </c>
      <c r="B17" s="599" t="str">
        <f>'(B3) Struktura Funksionale'!B14</f>
        <v>017</v>
      </c>
      <c r="C17" s="250" t="str">
        <f>'(B3) Struktura Funksionale'!C14</f>
        <v>Shërbime të  huamarrjes vendore</v>
      </c>
      <c r="D17" s="663"/>
      <c r="E17" s="663"/>
      <c r="F17" s="663"/>
      <c r="G17" s="663"/>
      <c r="H17" s="663"/>
      <c r="I17" s="663"/>
      <c r="J17" s="663"/>
      <c r="K17" s="663"/>
      <c r="L17" s="663"/>
      <c r="M17" s="663"/>
      <c r="N17" s="663"/>
      <c r="O17" s="664"/>
      <c r="P17" s="242">
        <f>I17-J17-K17</f>
        <v>0</v>
      </c>
      <c r="Q17" s="243">
        <f>M17-N17-O17</f>
        <v>0</v>
      </c>
    </row>
    <row r="18" spans="1:17" hidden="1" x14ac:dyDescent="0.2">
      <c r="A18" s="188" t="str">
        <f>'(B3) Struktura Funksionale'!A15</f>
        <v>Programi 2a</v>
      </c>
      <c r="B18" s="584" t="str">
        <f>'(B3) Struktura Funksionale'!B15</f>
        <v>01310</v>
      </c>
      <c r="C18" s="188" t="str">
        <f>'(B3) Struktura Funksionale'!C15</f>
        <v>Planifikimi i përgjithshëm dhe Shërbimet Statistikore</v>
      </c>
      <c r="D18" s="657">
        <f t="shared" si="0"/>
        <v>0</v>
      </c>
      <c r="E18" s="659"/>
      <c r="F18" s="659"/>
      <c r="G18" s="659"/>
      <c r="H18" s="657">
        <f t="shared" ref="H18:H23" si="3">+I18-J18-K18</f>
        <v>0</v>
      </c>
      <c r="I18" s="665"/>
      <c r="J18" s="659"/>
      <c r="K18" s="659"/>
      <c r="L18" s="657">
        <f t="shared" ref="L18:L23" si="4">+M18-N18-O18</f>
        <v>0</v>
      </c>
      <c r="M18" s="659"/>
      <c r="N18" s="659"/>
      <c r="O18" s="659"/>
      <c r="P18" s="65">
        <f>I18-J18-K18</f>
        <v>0</v>
      </c>
      <c r="Q18" s="65">
        <f>M18-N18-O18</f>
        <v>0</v>
      </c>
    </row>
    <row r="19" spans="1:17" hidden="1" x14ac:dyDescent="0.2">
      <c r="A19" s="188" t="str">
        <f>'(B3) Struktura Funksionale'!A16</f>
        <v>Programi 2b</v>
      </c>
      <c r="B19" s="584" t="str">
        <f>'(B3) Struktura Funksionale'!B16</f>
        <v>01312</v>
      </c>
      <c r="C19" s="188" t="str">
        <f>'(B3) Struktura Funksionale'!C16</f>
        <v>Gjendja civile</v>
      </c>
      <c r="D19" s="657">
        <f t="shared" si="0"/>
        <v>0</v>
      </c>
      <c r="E19" s="660"/>
      <c r="F19" s="660"/>
      <c r="G19" s="660"/>
      <c r="H19" s="657">
        <f t="shared" si="3"/>
        <v>0</v>
      </c>
      <c r="I19" s="666"/>
      <c r="J19" s="660"/>
      <c r="K19" s="660"/>
      <c r="L19" s="657">
        <f t="shared" si="4"/>
        <v>0</v>
      </c>
      <c r="M19" s="660"/>
      <c r="N19" s="660"/>
      <c r="O19" s="660"/>
      <c r="P19" s="65">
        <f>I19-J19-K19</f>
        <v>0</v>
      </c>
      <c r="Q19" s="65">
        <f>M19-N19-O19</f>
        <v>0</v>
      </c>
    </row>
    <row r="20" spans="1:17" hidden="1" x14ac:dyDescent="0.2">
      <c r="A20" s="188" t="str">
        <f>'(B3) Struktura Funksionale'!A17</f>
        <v>Programi 2c</v>
      </c>
      <c r="B20" s="584" t="str">
        <f>'(B3) Struktura Funksionale'!B17</f>
        <v>01320</v>
      </c>
      <c r="C20" s="188" t="str">
        <f>'(B3) Struktura Funksionale'!C17</f>
        <v>Shërbime të tjera të përgjithshme</v>
      </c>
      <c r="D20" s="657">
        <f t="shared" si="0"/>
        <v>0</v>
      </c>
      <c r="E20" s="660"/>
      <c r="F20" s="660"/>
      <c r="G20" s="660"/>
      <c r="H20" s="657">
        <f t="shared" si="3"/>
        <v>0</v>
      </c>
      <c r="I20" s="666"/>
      <c r="J20" s="660"/>
      <c r="K20" s="660"/>
      <c r="L20" s="657">
        <f t="shared" si="4"/>
        <v>0</v>
      </c>
      <c r="M20" s="660"/>
      <c r="N20" s="660"/>
      <c r="O20" s="660"/>
      <c r="P20" s="65">
        <f>I20-J20-K20</f>
        <v>0</v>
      </c>
      <c r="Q20" s="65">
        <f>M20-N20-O20</f>
        <v>0</v>
      </c>
    </row>
    <row r="21" spans="1:17" x14ac:dyDescent="0.2">
      <c r="A21" s="188" t="str">
        <f>'(B3) Struktura Funksionale'!A18</f>
        <v>Programi 2d</v>
      </c>
      <c r="B21" s="584" t="str">
        <f>'(B3) Struktura Funksionale'!B18</f>
        <v>01710</v>
      </c>
      <c r="C21" s="188" t="str">
        <f>'(B3) Struktura Funksionale'!C18</f>
        <v>Pagesa për shërbimin e borxhit të brendshëm</v>
      </c>
      <c r="D21" s="657">
        <f t="shared" si="0"/>
        <v>4415703</v>
      </c>
      <c r="E21" s="662">
        <f>1458638+71805+2661029+224231</f>
        <v>4415703</v>
      </c>
      <c r="F21" s="661"/>
      <c r="G21" s="661"/>
      <c r="H21" s="657">
        <f t="shared" si="3"/>
        <v>5108041</v>
      </c>
      <c r="I21" s="661">
        <v>5108041</v>
      </c>
      <c r="J21" s="661"/>
      <c r="K21" s="661"/>
      <c r="L21" s="657">
        <f t="shared" si="4"/>
        <v>900000</v>
      </c>
      <c r="M21" s="661">
        <v>900000</v>
      </c>
      <c r="N21" s="661"/>
      <c r="O21" s="661"/>
    </row>
    <row r="22" spans="1:17" x14ac:dyDescent="0.2">
      <c r="A22" s="188" t="str">
        <f>'(B3) Struktura Funksionale'!A19</f>
        <v>Programi 2e</v>
      </c>
      <c r="B22" s="584">
        <f>'(B3) Struktura Funksionale'!B19</f>
        <v>0</v>
      </c>
      <c r="C22" s="461">
        <f>'(B3) Struktura Funksionale'!C19</f>
        <v>0</v>
      </c>
      <c r="D22" s="657">
        <f t="shared" si="0"/>
        <v>0</v>
      </c>
      <c r="E22" s="661"/>
      <c r="F22" s="661"/>
      <c r="G22" s="661"/>
      <c r="H22" s="657">
        <f t="shared" si="3"/>
        <v>0</v>
      </c>
      <c r="I22" s="661"/>
      <c r="J22" s="661"/>
      <c r="K22" s="661"/>
      <c r="L22" s="657">
        <f t="shared" si="4"/>
        <v>0</v>
      </c>
      <c r="M22" s="661"/>
      <c r="N22" s="661"/>
      <c r="O22" s="661"/>
    </row>
    <row r="23" spans="1:17" ht="13.5" thickBot="1" x14ac:dyDescent="0.25">
      <c r="A23" s="20"/>
      <c r="B23" s="254"/>
      <c r="C23" s="192"/>
      <c r="D23" s="657">
        <f>+E23-F23-G23</f>
        <v>4415703</v>
      </c>
      <c r="E23" s="657">
        <f>SUM(E18:E22)</f>
        <v>4415703</v>
      </c>
      <c r="F23" s="657">
        <f>SUM(F18:F22)</f>
        <v>0</v>
      </c>
      <c r="G23" s="657">
        <f>SUM(G18:G22)</f>
        <v>0</v>
      </c>
      <c r="H23" s="657">
        <f t="shared" si="3"/>
        <v>5108041</v>
      </c>
      <c r="I23" s="657">
        <f>SUM(I18:I22)</f>
        <v>5108041</v>
      </c>
      <c r="J23" s="657">
        <f>SUM(J18:J22)</f>
        <v>0</v>
      </c>
      <c r="K23" s="657">
        <f>SUM(K18:K22)</f>
        <v>0</v>
      </c>
      <c r="L23" s="657">
        <f t="shared" si="4"/>
        <v>900000</v>
      </c>
      <c r="M23" s="657">
        <f>SUM(M18:M22)</f>
        <v>900000</v>
      </c>
      <c r="N23" s="657">
        <f>SUM(N18:N22)</f>
        <v>0</v>
      </c>
      <c r="O23" s="657">
        <f>SUM(O18:O22)</f>
        <v>0</v>
      </c>
      <c r="P23" s="65">
        <f t="shared" ref="P23:P44" si="5">I23-J23-K23</f>
        <v>5108041</v>
      </c>
      <c r="Q23" s="65">
        <f t="shared" ref="Q23:Q44" si="6">M23-N23-O23</f>
        <v>900000</v>
      </c>
    </row>
    <row r="24" spans="1:17" s="228" customFormat="1" ht="19.5" thickBot="1" x14ac:dyDescent="0.35">
      <c r="A24" s="603" t="str">
        <f>'(B3) Struktura Funksionale'!A20</f>
        <v>03 Rendi dhe Siguria Publike</v>
      </c>
      <c r="B24" s="323"/>
      <c r="C24" s="323"/>
      <c r="D24" s="667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8"/>
    </row>
    <row r="25" spans="1:17" ht="37.5" x14ac:dyDescent="0.2">
      <c r="A25" s="599" t="str">
        <f>'(B3) Struktura Funksionale'!A21</f>
        <v>Nënfunksioni 3</v>
      </c>
      <c r="B25" s="599" t="str">
        <f>'(B3) Struktura Funksionale'!B21</f>
        <v>031</v>
      </c>
      <c r="C25" s="250" t="str">
        <f>'(B3) Struktura Funksionale'!C21</f>
        <v>Shërbimet Policore</v>
      </c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4"/>
      <c r="P25" s="242">
        <f t="shared" si="5"/>
        <v>0</v>
      </c>
      <c r="Q25" s="243">
        <f t="shared" si="6"/>
        <v>0</v>
      </c>
    </row>
    <row r="26" spans="1:17" x14ac:dyDescent="0.2">
      <c r="A26" s="188" t="str">
        <f>'(B3) Struktura Funksionale'!A22</f>
        <v>Programi 3a</v>
      </c>
      <c r="B26" s="584" t="str">
        <f>'(B3) Struktura Funksionale'!B22</f>
        <v>03140</v>
      </c>
      <c r="C26" s="188" t="str">
        <f>'(B3) Struktura Funksionale'!C22</f>
        <v>Shërbimet e Policisë Vendore</v>
      </c>
      <c r="D26" s="657">
        <f t="shared" si="0"/>
        <v>0</v>
      </c>
      <c r="E26" s="679"/>
      <c r="F26" s="660"/>
      <c r="G26" s="660"/>
      <c r="H26" s="657">
        <f>+I26-J26-K26</f>
        <v>0</v>
      </c>
      <c r="I26" s="666"/>
      <c r="J26" s="660"/>
      <c r="K26" s="660"/>
      <c r="L26" s="657">
        <f>+M26-N26-O26</f>
        <v>0</v>
      </c>
      <c r="M26" s="660"/>
      <c r="N26" s="660"/>
      <c r="O26" s="660"/>
      <c r="P26" s="65">
        <f t="shared" si="5"/>
        <v>0</v>
      </c>
      <c r="Q26" s="65">
        <f t="shared" si="6"/>
        <v>0</v>
      </c>
    </row>
    <row r="27" spans="1:17" x14ac:dyDescent="0.2">
      <c r="A27" s="188" t="str">
        <f>'(B3) Struktura Funksionale'!A23</f>
        <v>Programi 3b</v>
      </c>
      <c r="B27" s="584">
        <f>'(B3) Struktura Funksionale'!B23</f>
        <v>0</v>
      </c>
      <c r="C27" s="188">
        <f>'(B3) Struktura Funksionale'!C23</f>
        <v>0</v>
      </c>
      <c r="D27" s="657">
        <f t="shared" si="0"/>
        <v>0</v>
      </c>
      <c r="E27" s="661"/>
      <c r="F27" s="661"/>
      <c r="G27" s="661"/>
      <c r="H27" s="657">
        <f>+I27-J27-K27</f>
        <v>0</v>
      </c>
      <c r="I27" s="662"/>
      <c r="J27" s="661"/>
      <c r="K27" s="661"/>
      <c r="L27" s="657">
        <f>+M27-N27-O27</f>
        <v>0</v>
      </c>
      <c r="M27" s="661"/>
      <c r="N27" s="661"/>
      <c r="O27" s="661"/>
      <c r="P27" s="65">
        <f t="shared" si="5"/>
        <v>0</v>
      </c>
      <c r="Q27" s="65">
        <f t="shared" si="6"/>
        <v>0</v>
      </c>
    </row>
    <row r="28" spans="1:17" x14ac:dyDescent="0.2">
      <c r="A28" s="188" t="str">
        <f>'(B3) Struktura Funksionale'!A24</f>
        <v>Programi 3c</v>
      </c>
      <c r="B28" s="584">
        <f>'(B3) Struktura Funksionale'!B24</f>
        <v>0</v>
      </c>
      <c r="C28" s="188">
        <f>'(B3) Struktura Funksionale'!C24</f>
        <v>0</v>
      </c>
      <c r="D28" s="657">
        <f t="shared" si="0"/>
        <v>0</v>
      </c>
      <c r="E28" s="661"/>
      <c r="F28" s="661"/>
      <c r="G28" s="661"/>
      <c r="H28" s="657">
        <f>+I28-J28-K28</f>
        <v>0</v>
      </c>
      <c r="I28" s="662"/>
      <c r="J28" s="661"/>
      <c r="K28" s="661"/>
      <c r="L28" s="657">
        <f>+M28-N28-O28</f>
        <v>0</v>
      </c>
      <c r="M28" s="661"/>
      <c r="N28" s="661"/>
      <c r="O28" s="661"/>
      <c r="P28" s="65">
        <f t="shared" si="5"/>
        <v>0</v>
      </c>
      <c r="Q28" s="65">
        <f t="shared" si="6"/>
        <v>0</v>
      </c>
    </row>
    <row r="29" spans="1:17" x14ac:dyDescent="0.2">
      <c r="A29" s="20"/>
      <c r="B29" s="254"/>
      <c r="C29" s="192"/>
      <c r="D29" s="657">
        <f t="shared" si="0"/>
        <v>0</v>
      </c>
      <c r="E29" s="657">
        <f>SUM(E26:E28)</f>
        <v>0</v>
      </c>
      <c r="F29" s="657">
        <f>SUM(F26:F28)</f>
        <v>0</v>
      </c>
      <c r="G29" s="657">
        <f>SUM(G26:G28)</f>
        <v>0</v>
      </c>
      <c r="H29" s="657">
        <f>+I29-J29-K29</f>
        <v>0</v>
      </c>
      <c r="I29" s="657">
        <f>SUM(I26:I28)</f>
        <v>0</v>
      </c>
      <c r="J29" s="657">
        <f>SUM(J26:J28)</f>
        <v>0</v>
      </c>
      <c r="K29" s="657">
        <f>SUM(K26:K28)</f>
        <v>0</v>
      </c>
      <c r="L29" s="657">
        <f>+M29-N29-O29</f>
        <v>0</v>
      </c>
      <c r="M29" s="657">
        <f>SUM(M26:M28)</f>
        <v>0</v>
      </c>
      <c r="N29" s="657">
        <f>SUM(N26:N28)</f>
        <v>0</v>
      </c>
      <c r="O29" s="657">
        <f>SUM(O26:O28)</f>
        <v>0</v>
      </c>
      <c r="P29" s="65">
        <f t="shared" si="5"/>
        <v>0</v>
      </c>
      <c r="Q29" s="65">
        <f t="shared" si="6"/>
        <v>0</v>
      </c>
    </row>
    <row r="30" spans="1:17" ht="37.5" x14ac:dyDescent="0.2">
      <c r="A30" s="599" t="str">
        <f>'(B3) Struktura Funksionale'!A25</f>
        <v>Nënfunksioni 4</v>
      </c>
      <c r="B30" s="599" t="str">
        <f>'(B3) Struktura Funksionale'!B25</f>
        <v>032</v>
      </c>
      <c r="C30" s="250" t="str">
        <f>'(B3) Struktura Funksionale'!C25</f>
        <v>Shërbimet e mbrojtjes ndaj zjarrit</v>
      </c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4"/>
      <c r="P30" s="242">
        <f t="shared" si="5"/>
        <v>0</v>
      </c>
      <c r="Q30" s="243">
        <f t="shared" si="6"/>
        <v>0</v>
      </c>
    </row>
    <row r="31" spans="1:17" x14ac:dyDescent="0.2">
      <c r="A31" s="188" t="str">
        <f>'(B3) Struktura Funksionale'!A26</f>
        <v>Programi 4a</v>
      </c>
      <c r="B31" s="584" t="str">
        <f>'(B3) Struktura Funksionale'!B26</f>
        <v>03280</v>
      </c>
      <c r="C31" s="188" t="str">
        <f>'(B3) Struktura Funksionale'!C26</f>
        <v>Mbrotja nga zjarri dhe mbrojtja civile</v>
      </c>
      <c r="D31" s="657">
        <f t="shared" si="0"/>
        <v>-6478126</v>
      </c>
      <c r="E31" s="666">
        <f>757629+126525+2048+8466695+1409602+745352+62902</f>
        <v>11570753</v>
      </c>
      <c r="F31" s="660">
        <v>147240</v>
      </c>
      <c r="G31" s="660">
        <f>13672000+4229639</f>
        <v>17901639</v>
      </c>
      <c r="H31" s="657">
        <f>+I31-J31-K31</f>
        <v>-6763802</v>
      </c>
      <c r="I31" s="660">
        <f>10088459+1688628+1711243</f>
        <v>13488330</v>
      </c>
      <c r="J31" s="660">
        <v>249268</v>
      </c>
      <c r="K31" s="660">
        <f>13672000+6330864</f>
        <v>20002864</v>
      </c>
      <c r="L31" s="657">
        <f>+M31-N31-O31</f>
        <v>6314534</v>
      </c>
      <c r="M31" s="660">
        <f>14082000+6514534</f>
        <v>20596534</v>
      </c>
      <c r="N31" s="660">
        <v>200000</v>
      </c>
      <c r="O31" s="660">
        <v>14082000</v>
      </c>
      <c r="P31" s="65">
        <f t="shared" si="5"/>
        <v>-6763802</v>
      </c>
      <c r="Q31" s="65">
        <f t="shared" si="6"/>
        <v>6314534</v>
      </c>
    </row>
    <row r="32" spans="1:17" x14ac:dyDescent="0.2">
      <c r="A32" s="188" t="str">
        <f>'(B3) Struktura Funksionale'!A27</f>
        <v>Programi 4b</v>
      </c>
      <c r="B32" s="584">
        <f>'(B3) Struktura Funksionale'!B27</f>
        <v>0</v>
      </c>
      <c r="C32" s="188">
        <f>'(B3) Struktura Funksionale'!C27</f>
        <v>0</v>
      </c>
      <c r="D32" s="657">
        <f t="shared" si="0"/>
        <v>0</v>
      </c>
      <c r="E32" s="662"/>
      <c r="F32" s="661"/>
      <c r="G32" s="661"/>
      <c r="H32" s="657">
        <f>+I32-J32-K32</f>
        <v>0</v>
      </c>
      <c r="I32" s="661"/>
      <c r="J32" s="661"/>
      <c r="K32" s="661"/>
      <c r="L32" s="657">
        <f>+M32-N32-O32</f>
        <v>0</v>
      </c>
      <c r="M32" s="661"/>
      <c r="N32" s="661"/>
      <c r="O32" s="661"/>
      <c r="P32" s="65">
        <f t="shared" si="5"/>
        <v>0</v>
      </c>
      <c r="Q32" s="65">
        <f t="shared" si="6"/>
        <v>0</v>
      </c>
    </row>
    <row r="33" spans="1:17" x14ac:dyDescent="0.2">
      <c r="A33" s="188" t="str">
        <f>'(B3) Struktura Funksionale'!A28</f>
        <v>Programi 4c</v>
      </c>
      <c r="B33" s="584">
        <f>'(B3) Struktura Funksionale'!B28</f>
        <v>0</v>
      </c>
      <c r="C33" s="188">
        <f>'(B3) Struktura Funksionale'!C28</f>
        <v>0</v>
      </c>
      <c r="D33" s="657">
        <f t="shared" si="0"/>
        <v>0</v>
      </c>
      <c r="E33" s="662"/>
      <c r="F33" s="661"/>
      <c r="G33" s="661"/>
      <c r="H33" s="657">
        <f>+I33-J33-K33</f>
        <v>0</v>
      </c>
      <c r="I33" s="661"/>
      <c r="J33" s="661"/>
      <c r="K33" s="661"/>
      <c r="L33" s="657">
        <f>+M33-N33-O33</f>
        <v>0</v>
      </c>
      <c r="M33" s="661"/>
      <c r="N33" s="661"/>
      <c r="O33" s="661"/>
      <c r="P33" s="65">
        <f t="shared" si="5"/>
        <v>0</v>
      </c>
      <c r="Q33" s="65">
        <f t="shared" si="6"/>
        <v>0</v>
      </c>
    </row>
    <row r="34" spans="1:17" x14ac:dyDescent="0.2">
      <c r="A34" s="20"/>
      <c r="B34" s="254"/>
      <c r="C34" s="192"/>
      <c r="D34" s="657">
        <f t="shared" si="0"/>
        <v>-6478126</v>
      </c>
      <c r="E34" s="657">
        <f>SUM(E31:E33)</f>
        <v>11570753</v>
      </c>
      <c r="F34" s="657">
        <f>SUM(F31:F33)</f>
        <v>147240</v>
      </c>
      <c r="G34" s="657">
        <f>SUM(G31:G33)</f>
        <v>17901639</v>
      </c>
      <c r="H34" s="657">
        <f>+I34-J34-K34</f>
        <v>-6763802</v>
      </c>
      <c r="I34" s="657">
        <f>SUM(I31:I33)</f>
        <v>13488330</v>
      </c>
      <c r="J34" s="657">
        <f>SUM(J31:J33)</f>
        <v>249268</v>
      </c>
      <c r="K34" s="657">
        <f>SUM(K31:K33)</f>
        <v>20002864</v>
      </c>
      <c r="L34" s="657">
        <f>+M34-N34-O34</f>
        <v>6314534</v>
      </c>
      <c r="M34" s="657">
        <f>SUM(M31:M33)</f>
        <v>20596534</v>
      </c>
      <c r="N34" s="657">
        <f>SUM(N31:N33)</f>
        <v>200000</v>
      </c>
      <c r="O34" s="657">
        <f>SUM(O31:O33)</f>
        <v>14082000</v>
      </c>
      <c r="P34" s="65">
        <f t="shared" si="5"/>
        <v>-6763802</v>
      </c>
      <c r="Q34" s="65">
        <f t="shared" si="6"/>
        <v>6314534</v>
      </c>
    </row>
    <row r="35" spans="1:17" ht="37.5" x14ac:dyDescent="0.2">
      <c r="A35" s="599" t="str">
        <f>'(B3) Struktura Funksionale'!A29</f>
        <v>Nënfunksioni 5</v>
      </c>
      <c r="B35" s="599" t="str">
        <f>'(B3) Struktura Funksionale'!B29</f>
        <v>036</v>
      </c>
      <c r="C35" s="250" t="str">
        <f>'(B3) Struktura Funksionale'!C29</f>
        <v>Marrdheniet me komunitetin</v>
      </c>
      <c r="D35" s="663"/>
      <c r="E35" s="663"/>
      <c r="F35" s="663"/>
      <c r="G35" s="663"/>
      <c r="H35" s="663"/>
      <c r="I35" s="663"/>
      <c r="J35" s="663"/>
      <c r="K35" s="663"/>
      <c r="L35" s="663"/>
      <c r="M35" s="663"/>
      <c r="N35" s="663"/>
      <c r="O35" s="664"/>
      <c r="P35" s="242">
        <f t="shared" si="5"/>
        <v>0</v>
      </c>
      <c r="Q35" s="243">
        <f t="shared" si="6"/>
        <v>0</v>
      </c>
    </row>
    <row r="36" spans="1:17" x14ac:dyDescent="0.2">
      <c r="A36" s="188" t="str">
        <f>'(B3) Struktura Funksionale'!A30</f>
        <v>Programi 5a</v>
      </c>
      <c r="B36" s="585" t="str">
        <f>'(B3) Struktura Funksionale'!B30</f>
        <v>03600</v>
      </c>
      <c r="C36" s="194" t="str">
        <f>'(B3) Struktura Funksionale'!C30</f>
        <v>Marrdheniet me komunitetin</v>
      </c>
      <c r="D36" s="657">
        <f t="shared" si="0"/>
        <v>0</v>
      </c>
      <c r="E36" s="659"/>
      <c r="F36" s="659"/>
      <c r="G36" s="659"/>
      <c r="H36" s="657">
        <f>+I36-J36-K36</f>
        <v>0</v>
      </c>
      <c r="I36" s="659"/>
      <c r="J36" s="659"/>
      <c r="K36" s="659"/>
      <c r="L36" s="657">
        <f>+M36-N36-O36</f>
        <v>0</v>
      </c>
      <c r="M36" s="659"/>
      <c r="N36" s="659"/>
      <c r="O36" s="659"/>
      <c r="P36" s="65">
        <f t="shared" si="5"/>
        <v>0</v>
      </c>
      <c r="Q36" s="65">
        <f t="shared" si="6"/>
        <v>0</v>
      </c>
    </row>
    <row r="37" spans="1:17" hidden="1" x14ac:dyDescent="0.2">
      <c r="A37" s="188" t="str">
        <f>'(B3) Struktura Funksionale'!A31</f>
        <v>Programi 5b</v>
      </c>
      <c r="B37" s="584" t="str">
        <f>'(B3) Struktura Funksionale'!B31</f>
        <v>03602</v>
      </c>
      <c r="C37" s="194" t="str">
        <f>'(B3) Struktura Funksionale'!C31</f>
        <v>Supervizionimi administrativ lokal</v>
      </c>
      <c r="D37" s="657">
        <f t="shared" si="0"/>
        <v>0</v>
      </c>
      <c r="E37" s="660"/>
      <c r="F37" s="660"/>
      <c r="G37" s="660"/>
      <c r="H37" s="657">
        <f>+I37-J37-K37</f>
        <v>0</v>
      </c>
      <c r="I37" s="660"/>
      <c r="J37" s="660"/>
      <c r="K37" s="660"/>
      <c r="L37" s="657">
        <f>+M37-N37-O37</f>
        <v>0</v>
      </c>
      <c r="M37" s="660"/>
      <c r="N37" s="660"/>
      <c r="O37" s="660"/>
      <c r="P37" s="65">
        <f t="shared" si="5"/>
        <v>0</v>
      </c>
      <c r="Q37" s="65">
        <f t="shared" si="6"/>
        <v>0</v>
      </c>
    </row>
    <row r="38" spans="1:17" x14ac:dyDescent="0.2">
      <c r="A38" s="188" t="str">
        <f>'(B3) Struktura Funksionale'!A32</f>
        <v>Programi 5c</v>
      </c>
      <c r="B38" s="584">
        <f>'(B3) Struktura Funksionale'!B32</f>
        <v>0</v>
      </c>
      <c r="C38" s="188"/>
      <c r="D38" s="657">
        <f t="shared" si="0"/>
        <v>0</v>
      </c>
      <c r="E38" s="660"/>
      <c r="F38" s="660"/>
      <c r="G38" s="660"/>
      <c r="H38" s="657">
        <f>+I38-J38-K38</f>
        <v>0</v>
      </c>
      <c r="I38" s="660"/>
      <c r="J38" s="660"/>
      <c r="K38" s="660"/>
      <c r="L38" s="657">
        <f>+M38-N38-O38</f>
        <v>0</v>
      </c>
      <c r="M38" s="660"/>
      <c r="N38" s="660"/>
      <c r="O38" s="660"/>
      <c r="P38" s="65">
        <f t="shared" si="5"/>
        <v>0</v>
      </c>
      <c r="Q38" s="65">
        <f t="shared" si="6"/>
        <v>0</v>
      </c>
    </row>
    <row r="39" spans="1:17" ht="13.5" thickBot="1" x14ac:dyDescent="0.25">
      <c r="A39" s="20"/>
      <c r="B39" s="254"/>
      <c r="C39" s="192"/>
      <c r="D39" s="657">
        <f t="shared" si="0"/>
        <v>0</v>
      </c>
      <c r="E39" s="657">
        <f>SUM(E36:E38)</f>
        <v>0</v>
      </c>
      <c r="F39" s="657">
        <f>SUM(F36:F38)</f>
        <v>0</v>
      </c>
      <c r="G39" s="657">
        <f>SUM(G36:G38)</f>
        <v>0</v>
      </c>
      <c r="H39" s="657">
        <f>+I39-J39-K39</f>
        <v>0</v>
      </c>
      <c r="I39" s="657">
        <f>SUM(I36:I38)</f>
        <v>0</v>
      </c>
      <c r="J39" s="657">
        <f>SUM(J36:J38)</f>
        <v>0</v>
      </c>
      <c r="K39" s="657">
        <f>SUM(K36:K38)</f>
        <v>0</v>
      </c>
      <c r="L39" s="657">
        <f>+M39-N39-O39</f>
        <v>0</v>
      </c>
      <c r="M39" s="657">
        <f>SUM(M36:M38)</f>
        <v>0</v>
      </c>
      <c r="N39" s="657">
        <f>SUM(N36:N38)</f>
        <v>0</v>
      </c>
      <c r="O39" s="657">
        <f>SUM(O36:O38)</f>
        <v>0</v>
      </c>
      <c r="P39" s="65">
        <f t="shared" si="5"/>
        <v>0</v>
      </c>
      <c r="Q39" s="65">
        <f t="shared" si="6"/>
        <v>0</v>
      </c>
    </row>
    <row r="40" spans="1:17" s="228" customFormat="1" ht="19.5" thickBot="1" x14ac:dyDescent="0.35">
      <c r="A40" s="603" t="str">
        <f>'(B3) Struktura Funksionale'!A33</f>
        <v>04 Çeshtjet Ekonomike</v>
      </c>
      <c r="B40" s="323"/>
      <c r="C40" s="323"/>
      <c r="D40" s="667"/>
      <c r="E40" s="667"/>
      <c r="F40" s="667"/>
      <c r="G40" s="667"/>
      <c r="H40" s="667"/>
      <c r="I40" s="667"/>
      <c r="J40" s="667"/>
      <c r="K40" s="667"/>
      <c r="L40" s="667"/>
      <c r="M40" s="667"/>
      <c r="N40" s="667"/>
      <c r="O40" s="668"/>
    </row>
    <row r="41" spans="1:17" ht="37.5" x14ac:dyDescent="0.2">
      <c r="A41" s="599" t="str">
        <f>'(B3) Struktura Funksionale'!A34</f>
        <v>Nënfunksioni 6</v>
      </c>
      <c r="B41" s="599" t="str">
        <f>'(B3) Struktura Funksionale'!B34</f>
        <v>041</v>
      </c>
      <c r="C41" s="250" t="str">
        <f>'(B3) Struktura Funksionale'!C34</f>
        <v>Çështjet e përgjithshme ekonomike, tregtare dhe të punës</v>
      </c>
      <c r="D41" s="663"/>
      <c r="E41" s="663"/>
      <c r="F41" s="663"/>
      <c r="G41" s="663"/>
      <c r="H41" s="663"/>
      <c r="I41" s="663"/>
      <c r="J41" s="663"/>
      <c r="K41" s="663"/>
      <c r="L41" s="663"/>
      <c r="M41" s="663"/>
      <c r="N41" s="663"/>
      <c r="O41" s="664"/>
      <c r="P41" s="242">
        <f t="shared" si="5"/>
        <v>0</v>
      </c>
      <c r="Q41" s="243">
        <f t="shared" si="6"/>
        <v>0</v>
      </c>
    </row>
    <row r="42" spans="1:17" hidden="1" x14ac:dyDescent="0.2">
      <c r="A42" s="188" t="str">
        <f>'(B3) Struktura Funksionale'!A35</f>
        <v>Programi 6a</v>
      </c>
      <c r="B42" s="584" t="str">
        <f>'(B3) Struktura Funksionale'!B35</f>
        <v>04110</v>
      </c>
      <c r="C42" s="188" t="str">
        <f>'(B3) Struktura Funksionale'!C35</f>
        <v xml:space="preserve">Çështjet e përgjithshme ekonomike dhe tregtare </v>
      </c>
      <c r="D42" s="657">
        <f t="shared" si="0"/>
        <v>0</v>
      </c>
      <c r="E42" s="659"/>
      <c r="F42" s="659"/>
      <c r="G42" s="659"/>
      <c r="H42" s="657">
        <f t="shared" ref="H42:H48" si="7">+I42-J42-K42</f>
        <v>0</v>
      </c>
      <c r="I42" s="659"/>
      <c r="J42" s="659"/>
      <c r="K42" s="659"/>
      <c r="L42" s="657">
        <f t="shared" ref="L42:L47" si="8">+M42-N42-O42</f>
        <v>0</v>
      </c>
      <c r="M42" s="659"/>
      <c r="N42" s="659"/>
      <c r="O42" s="659"/>
      <c r="P42" s="65">
        <f t="shared" si="5"/>
        <v>0</v>
      </c>
      <c r="Q42" s="65">
        <f t="shared" si="6"/>
        <v>0</v>
      </c>
    </row>
    <row r="43" spans="1:17" x14ac:dyDescent="0.2">
      <c r="A43" s="188" t="str">
        <f>'(B3) Struktura Funksionale'!A36</f>
        <v>Programi 6b</v>
      </c>
      <c r="B43" s="584" t="str">
        <f>'(B3) Struktura Funksionale'!B36</f>
        <v>04130</v>
      </c>
      <c r="C43" s="188" t="str">
        <f>'(B3) Struktura Funksionale'!C36</f>
        <v>Mbështetje për zhvillimin ekonomik</v>
      </c>
      <c r="D43" s="657">
        <f t="shared" si="0"/>
        <v>-82041</v>
      </c>
      <c r="E43" s="660">
        <f>1355520+226372+3800</f>
        <v>1585692</v>
      </c>
      <c r="F43" s="660"/>
      <c r="G43" s="705">
        <v>1667733</v>
      </c>
      <c r="H43" s="657">
        <f t="shared" si="7"/>
        <v>-71640</v>
      </c>
      <c r="I43" s="660">
        <v>1603935</v>
      </c>
      <c r="J43" s="660"/>
      <c r="K43" s="660">
        <v>1675575</v>
      </c>
      <c r="L43" s="657">
        <f t="shared" si="8"/>
        <v>0</v>
      </c>
      <c r="M43" s="660">
        <v>1675575</v>
      </c>
      <c r="N43" s="660"/>
      <c r="O43" s="660">
        <v>1675575</v>
      </c>
      <c r="P43" s="65">
        <f t="shared" si="5"/>
        <v>-71640</v>
      </c>
      <c r="Q43" s="65">
        <f t="shared" si="6"/>
        <v>0</v>
      </c>
    </row>
    <row r="44" spans="1:17" hidden="1" x14ac:dyDescent="0.2">
      <c r="A44" s="188" t="str">
        <f>'(B3) Struktura Funksionale'!A37</f>
        <v>Programi 6c</v>
      </c>
      <c r="B44" s="584" t="str">
        <f>'(B3) Struktura Funksionale'!B37</f>
        <v>04131</v>
      </c>
      <c r="C44" s="188" t="str">
        <f>'(B3) Struktura Funksionale'!C37</f>
        <v>Promovimi i biznesit lokal</v>
      </c>
      <c r="D44" s="657">
        <f t="shared" si="0"/>
        <v>0</v>
      </c>
      <c r="E44" s="661"/>
      <c r="F44" s="661"/>
      <c r="G44" s="661"/>
      <c r="H44" s="657">
        <f t="shared" si="7"/>
        <v>0</v>
      </c>
      <c r="I44" s="661"/>
      <c r="J44" s="661"/>
      <c r="K44" s="661"/>
      <c r="L44" s="657">
        <f t="shared" si="8"/>
        <v>0</v>
      </c>
      <c r="M44" s="661"/>
      <c r="N44" s="661"/>
      <c r="O44" s="661"/>
      <c r="P44" s="65">
        <f t="shared" si="5"/>
        <v>0</v>
      </c>
      <c r="Q44" s="65">
        <f t="shared" si="6"/>
        <v>0</v>
      </c>
    </row>
    <row r="45" spans="1:17" hidden="1" x14ac:dyDescent="0.2">
      <c r="A45" s="188" t="str">
        <f>'(B3) Struktura Funksionale'!A38</f>
        <v>Programi 6d</v>
      </c>
      <c r="B45" s="584" t="str">
        <f>'(B3) Struktura Funksionale'!B38</f>
        <v>04132</v>
      </c>
      <c r="C45" s="188" t="str">
        <f>'(B3) Struktura Funksionale'!C38</f>
        <v>Mbështetja e Zhvillimit rajonal</v>
      </c>
      <c r="D45" s="657">
        <f t="shared" si="0"/>
        <v>0</v>
      </c>
      <c r="E45" s="661"/>
      <c r="F45" s="661"/>
      <c r="G45" s="661"/>
      <c r="H45" s="657">
        <f t="shared" si="7"/>
        <v>0</v>
      </c>
      <c r="I45" s="661"/>
      <c r="J45" s="661"/>
      <c r="K45" s="661"/>
      <c r="L45" s="657">
        <f t="shared" si="8"/>
        <v>0</v>
      </c>
      <c r="M45" s="661"/>
      <c r="N45" s="661"/>
      <c r="O45" s="661"/>
    </row>
    <row r="46" spans="1:17" x14ac:dyDescent="0.2">
      <c r="A46" s="188" t="str">
        <f>'(B3) Struktura Funksionale'!A39</f>
        <v>Programi 6e</v>
      </c>
      <c r="B46" s="584" t="str">
        <f>'(B3) Struktura Funksionale'!B39</f>
        <v>04160</v>
      </c>
      <c r="C46" s="188" t="str">
        <f>'(B3) Struktura Funksionale'!C39</f>
        <v>Shërbimet e tregjeve, akreditimi dhe inspektimi</v>
      </c>
      <c r="D46" s="657">
        <f t="shared" si="0"/>
        <v>0</v>
      </c>
      <c r="E46" s="660"/>
      <c r="F46" s="660"/>
      <c r="G46" s="660"/>
      <c r="H46" s="669">
        <f t="shared" si="7"/>
        <v>0</v>
      </c>
      <c r="I46" s="660"/>
      <c r="J46" s="660"/>
      <c r="K46" s="660"/>
      <c r="L46" s="657">
        <f t="shared" si="8"/>
        <v>0</v>
      </c>
      <c r="M46" s="660"/>
      <c r="N46" s="660"/>
      <c r="O46" s="660"/>
    </row>
    <row r="47" spans="1:17" x14ac:dyDescent="0.2">
      <c r="A47" s="188" t="str">
        <f>'(B3) Struktura Funksionale'!A40</f>
        <v>Programi 6f</v>
      </c>
      <c r="B47" s="584">
        <f>'(B3) Struktura Funksionale'!B40</f>
        <v>0</v>
      </c>
      <c r="C47" s="188">
        <f>'(B3) Struktura Funksionale'!C40</f>
        <v>0</v>
      </c>
      <c r="D47" s="657">
        <f t="shared" si="0"/>
        <v>0</v>
      </c>
      <c r="E47" s="670"/>
      <c r="F47" s="661"/>
      <c r="G47" s="661"/>
      <c r="H47" s="669">
        <f t="shared" si="7"/>
        <v>0</v>
      </c>
      <c r="I47" s="670"/>
      <c r="J47" s="661"/>
      <c r="K47" s="661"/>
      <c r="L47" s="657">
        <f t="shared" si="8"/>
        <v>0</v>
      </c>
      <c r="M47" s="661"/>
      <c r="N47" s="661"/>
      <c r="O47" s="661"/>
    </row>
    <row r="48" spans="1:17" x14ac:dyDescent="0.2">
      <c r="A48" s="20"/>
      <c r="B48" s="254"/>
      <c r="C48" s="192"/>
      <c r="D48" s="657">
        <f t="shared" si="0"/>
        <v>-82041</v>
      </c>
      <c r="E48" s="657">
        <f>SUM(E42:E47)</f>
        <v>1585692</v>
      </c>
      <c r="F48" s="657">
        <f>SUM(F42:F47)</f>
        <v>0</v>
      </c>
      <c r="G48" s="657">
        <f>SUM(G42:G47)</f>
        <v>1667733</v>
      </c>
      <c r="H48" s="669">
        <f t="shared" si="7"/>
        <v>-71640</v>
      </c>
      <c r="I48" s="657">
        <f>SUM(I42:I46)</f>
        <v>1603935</v>
      </c>
      <c r="J48" s="657">
        <f>SUM(J42:J47)</f>
        <v>0</v>
      </c>
      <c r="K48" s="657">
        <f>SUM(K42:K47)</f>
        <v>1675575</v>
      </c>
      <c r="L48" s="657">
        <f>+M48-N48-O48</f>
        <v>0</v>
      </c>
      <c r="M48" s="657">
        <f>SUM(M42:M47)</f>
        <v>1675575</v>
      </c>
      <c r="N48" s="657">
        <f>SUM(N42:N47)</f>
        <v>0</v>
      </c>
      <c r="O48" s="657">
        <f>SUM(O42:O47)</f>
        <v>1675575</v>
      </c>
      <c r="P48" s="601">
        <f>SUM(P42:P46)</f>
        <v>-71640</v>
      </c>
      <c r="Q48" s="193">
        <f>SUM(Q42:Q46)</f>
        <v>0</v>
      </c>
    </row>
    <row r="49" spans="1:17" ht="37.5" x14ac:dyDescent="0.2">
      <c r="A49" s="599" t="str">
        <f>'(B3) Struktura Funksionale'!A41</f>
        <v>Nënfunksioni 7</v>
      </c>
      <c r="B49" s="599" t="str">
        <f>'(B3) Struktura Funksionale'!B41</f>
        <v>042</v>
      </c>
      <c r="C49" s="250" t="str">
        <f>'(B3) Struktura Funksionale'!C41</f>
        <v>Bujqësia, pyjet, peshkimi dhe gjuetia</v>
      </c>
      <c r="D49" s="663"/>
      <c r="E49" s="663"/>
      <c r="F49" s="663"/>
      <c r="G49" s="663"/>
      <c r="H49" s="663"/>
      <c r="I49" s="663"/>
      <c r="J49" s="663"/>
      <c r="K49" s="663"/>
      <c r="L49" s="663"/>
      <c r="M49" s="663"/>
      <c r="N49" s="663"/>
      <c r="O49" s="664"/>
      <c r="P49" s="242">
        <f>I49-J49-K49</f>
        <v>0</v>
      </c>
      <c r="Q49" s="243">
        <f>M49-N49-O49</f>
        <v>0</v>
      </c>
    </row>
    <row r="50" spans="1:17" x14ac:dyDescent="0.2">
      <c r="A50" s="188" t="str">
        <f>'(B3) Struktura Funksionale'!A42</f>
        <v>Programi 7a</v>
      </c>
      <c r="B50" s="584" t="str">
        <f>'(B3) Struktura Funksionale'!B42</f>
        <v>04220</v>
      </c>
      <c r="C50" s="188" t="str">
        <f>'(B3) Struktura Funksionale'!C42</f>
        <v>Shërbimet bujqësore, inspektimi, ushqimi dhe mbrojtja e konsumatoreve</v>
      </c>
      <c r="D50" s="657">
        <f t="shared" ref="D50:D119" si="9">+E50-F50-G50</f>
        <v>0</v>
      </c>
      <c r="E50" s="659"/>
      <c r="F50" s="659"/>
      <c r="G50" s="659"/>
      <c r="H50" s="657">
        <f t="shared" ref="H50:H56" si="10">+I50-J50-K50</f>
        <v>0</v>
      </c>
      <c r="I50" s="659"/>
      <c r="J50" s="659"/>
      <c r="K50" s="659"/>
      <c r="L50" s="657">
        <f t="shared" ref="L50:L56" si="11">+M50-N50-O50</f>
        <v>0</v>
      </c>
      <c r="M50" s="659"/>
      <c r="N50" s="659"/>
      <c r="O50" s="659"/>
      <c r="P50" s="65">
        <f>I50-J50-K50</f>
        <v>0</v>
      </c>
      <c r="Q50" s="65">
        <f>M50-N50-O50</f>
        <v>0</v>
      </c>
    </row>
    <row r="51" spans="1:17" hidden="1" x14ac:dyDescent="0.2">
      <c r="A51" s="188" t="str">
        <f>'(B3) Struktura Funksionale'!A43</f>
        <v>Programi 7b</v>
      </c>
      <c r="B51" s="584" t="str">
        <f>'(B3) Struktura Funksionale'!B43</f>
        <v>04222</v>
      </c>
      <c r="C51" s="188" t="str">
        <f>'(B3) Struktura Funksionale'!C43</f>
        <v>Këshillimi Bujqësor</v>
      </c>
      <c r="D51" s="657">
        <f t="shared" si="9"/>
        <v>0</v>
      </c>
      <c r="E51" s="660"/>
      <c r="F51" s="660"/>
      <c r="G51" s="660"/>
      <c r="H51" s="657">
        <f t="shared" si="10"/>
        <v>0</v>
      </c>
      <c r="I51" s="660"/>
      <c r="J51" s="660"/>
      <c r="K51" s="660"/>
      <c r="L51" s="657">
        <f t="shared" si="11"/>
        <v>0</v>
      </c>
      <c r="M51" s="660"/>
      <c r="N51" s="660"/>
      <c r="O51" s="660"/>
      <c r="P51" s="65">
        <f>I51-J51-K51</f>
        <v>0</v>
      </c>
      <c r="Q51" s="65">
        <f>M51-N51-O51</f>
        <v>0</v>
      </c>
    </row>
    <row r="52" spans="1:17" hidden="1" x14ac:dyDescent="0.2">
      <c r="A52" s="188" t="str">
        <f>'(B3) Struktura Funksionale'!A44</f>
        <v>Programi 7c</v>
      </c>
      <c r="B52" s="584" t="str">
        <f>'(B3) Struktura Funksionale'!B44</f>
        <v>04223</v>
      </c>
      <c r="C52" s="188" t="str">
        <f>'(B3) Struktura Funksionale'!C44</f>
        <v>Veterineria</v>
      </c>
      <c r="D52" s="657">
        <f t="shared" si="9"/>
        <v>0</v>
      </c>
      <c r="E52" s="666"/>
      <c r="F52" s="660"/>
      <c r="G52" s="660"/>
      <c r="H52" s="657">
        <f t="shared" si="10"/>
        <v>0</v>
      </c>
      <c r="I52" s="660"/>
      <c r="J52" s="660"/>
      <c r="K52" s="660"/>
      <c r="L52" s="657">
        <f t="shared" si="11"/>
        <v>0</v>
      </c>
      <c r="M52" s="660"/>
      <c r="N52" s="660"/>
      <c r="O52" s="660"/>
      <c r="P52" s="65">
        <f>I52-J52-K52</f>
        <v>0</v>
      </c>
      <c r="Q52" s="65">
        <f>M52-N52-O52</f>
        <v>0</v>
      </c>
    </row>
    <row r="53" spans="1:17" x14ac:dyDescent="0.2">
      <c r="A53" s="188" t="str">
        <f>'(B3) Struktura Funksionale'!A45</f>
        <v>Programi 7d</v>
      </c>
      <c r="B53" s="584" t="str">
        <f>'(B3) Struktura Funksionale'!B45</f>
        <v>04240</v>
      </c>
      <c r="C53" s="188" t="str">
        <f>'(B3) Struktura Funksionale'!C45</f>
        <v>Menaxhimi i Infrastruktuës së ujitjes dhe kullimit</v>
      </c>
      <c r="D53" s="657">
        <f t="shared" si="9"/>
        <v>-10565356</v>
      </c>
      <c r="E53" s="662">
        <f>38960+161600+26987+235820+311127+28369+3724003</f>
        <v>4526866</v>
      </c>
      <c r="F53" s="661"/>
      <c r="G53" s="661">
        <f>10289000+4803222</f>
        <v>15092222</v>
      </c>
      <c r="H53" s="657">
        <f t="shared" si="10"/>
        <v>-740782</v>
      </c>
      <c r="I53" s="661">
        <f>1928221+321709+7643829</f>
        <v>9893759</v>
      </c>
      <c r="J53" s="661">
        <f>345541</f>
        <v>345541</v>
      </c>
      <c r="K53" s="661">
        <v>10289000</v>
      </c>
      <c r="L53" s="657">
        <f t="shared" si="11"/>
        <v>4247730</v>
      </c>
      <c r="M53" s="661">
        <f>2696386+265000+3560000+4377614+4747730</f>
        <v>15646730</v>
      </c>
      <c r="N53" s="661">
        <v>500000</v>
      </c>
      <c r="O53" s="661">
        <v>10899000</v>
      </c>
    </row>
    <row r="54" spans="1:17" x14ac:dyDescent="0.2">
      <c r="A54" s="188" t="str">
        <f>'(B3) Struktura Funksionale'!A46</f>
        <v>Programi 7e</v>
      </c>
      <c r="B54" s="584" t="str">
        <f>'(B3) Struktura Funksionale'!B46</f>
        <v>04260</v>
      </c>
      <c r="C54" s="188" t="str">
        <f>'(B3) Struktura Funksionale'!C46</f>
        <v>Administrimi i pyjeve dhe kullotave</v>
      </c>
      <c r="D54" s="657">
        <f t="shared" si="9"/>
        <v>-6687348</v>
      </c>
      <c r="E54" s="662">
        <f>619993+102701+409427+185104+86031</f>
        <v>1403256</v>
      </c>
      <c r="F54" s="661">
        <f>907500+428130</f>
        <v>1335630</v>
      </c>
      <c r="G54" s="661">
        <f>6399232+355742</f>
        <v>6754974</v>
      </c>
      <c r="H54" s="657">
        <f t="shared" si="10"/>
        <v>5059460</v>
      </c>
      <c r="I54" s="661">
        <f>7748642+1329245+400000+3997170+186000+99999+4345235</f>
        <v>18106291</v>
      </c>
      <c r="J54" s="661">
        <f>1302290+345541</f>
        <v>1647831</v>
      </c>
      <c r="K54" s="661">
        <v>11399000</v>
      </c>
      <c r="L54" s="657">
        <f t="shared" si="11"/>
        <v>20664759</v>
      </c>
      <c r="M54" s="661">
        <f>13537200+7628350+415000+8000000+5123209</f>
        <v>34703759</v>
      </c>
      <c r="N54" s="661">
        <f>1000000+500000</f>
        <v>1500000</v>
      </c>
      <c r="O54" s="661">
        <v>12539000</v>
      </c>
    </row>
    <row r="55" spans="1:17" x14ac:dyDescent="0.2">
      <c r="A55" s="188" t="str">
        <f>'(B3) Struktura Funksionale'!A47</f>
        <v>Programi 7f</v>
      </c>
      <c r="B55" s="584">
        <f>'(B3) Struktura Funksionale'!B47</f>
        <v>0</v>
      </c>
      <c r="C55" s="188">
        <f>'(B3) Struktura Funksionale'!C47</f>
        <v>0</v>
      </c>
      <c r="D55" s="657">
        <f t="shared" si="9"/>
        <v>0</v>
      </c>
      <c r="E55" s="660"/>
      <c r="F55" s="660"/>
      <c r="G55" s="660"/>
      <c r="H55" s="657">
        <f t="shared" si="10"/>
        <v>0</v>
      </c>
      <c r="I55" s="660"/>
      <c r="J55" s="660"/>
      <c r="K55" s="660"/>
      <c r="L55" s="657">
        <f t="shared" si="11"/>
        <v>0</v>
      </c>
      <c r="M55" s="660"/>
      <c r="N55" s="660"/>
      <c r="O55" s="660"/>
    </row>
    <row r="56" spans="1:17" x14ac:dyDescent="0.2">
      <c r="A56" s="20"/>
      <c r="B56" s="254"/>
      <c r="C56" s="192"/>
      <c r="D56" s="657">
        <f t="shared" si="9"/>
        <v>-17252704</v>
      </c>
      <c r="E56" s="657">
        <f>SUM(E50:E55)</f>
        <v>5930122</v>
      </c>
      <c r="F56" s="657">
        <f t="shared" ref="F56:O56" si="12">SUM(F50:F55)</f>
        <v>1335630</v>
      </c>
      <c r="G56" s="657">
        <f t="shared" si="12"/>
        <v>21847196</v>
      </c>
      <c r="H56" s="657">
        <f t="shared" si="10"/>
        <v>4318678</v>
      </c>
      <c r="I56" s="657">
        <f t="shared" si="12"/>
        <v>28000050</v>
      </c>
      <c r="J56" s="657">
        <f t="shared" si="12"/>
        <v>1993372</v>
      </c>
      <c r="K56" s="657">
        <f t="shared" si="12"/>
        <v>21688000</v>
      </c>
      <c r="L56" s="657">
        <f t="shared" si="11"/>
        <v>24912489</v>
      </c>
      <c r="M56" s="657">
        <f t="shared" si="12"/>
        <v>50350489</v>
      </c>
      <c r="N56" s="657">
        <f t="shared" si="12"/>
        <v>2000000</v>
      </c>
      <c r="O56" s="657">
        <f t="shared" si="12"/>
        <v>23438000</v>
      </c>
      <c r="P56" s="65">
        <f>I56-J56-K56</f>
        <v>4318678</v>
      </c>
      <c r="Q56" s="65">
        <f>M56-N56-O56</f>
        <v>24912489</v>
      </c>
    </row>
    <row r="57" spans="1:17" ht="37.5" x14ac:dyDescent="0.2">
      <c r="A57" s="599" t="str">
        <f>'(B3) Struktura Funksionale'!A48</f>
        <v>Nënfunksioni 8</v>
      </c>
      <c r="B57" s="599" t="str">
        <f>'(B3) Struktura Funksionale'!B48</f>
        <v>045</v>
      </c>
      <c r="C57" s="250" t="str">
        <f>'(B3) Struktura Funksionale'!C48</f>
        <v>Transporti</v>
      </c>
      <c r="D57" s="663"/>
      <c r="E57" s="663"/>
      <c r="F57" s="663"/>
      <c r="G57" s="663"/>
      <c r="H57" s="663"/>
      <c r="I57" s="663"/>
      <c r="J57" s="663"/>
      <c r="K57" s="663"/>
      <c r="L57" s="663"/>
      <c r="M57" s="663"/>
      <c r="N57" s="663"/>
      <c r="O57" s="664"/>
      <c r="P57" s="242">
        <f>I57-J57-K57</f>
        <v>0</v>
      </c>
      <c r="Q57" s="243">
        <f>M57-N57-O57</f>
        <v>0</v>
      </c>
    </row>
    <row r="58" spans="1:17" x14ac:dyDescent="0.2">
      <c r="A58" s="188" t="str">
        <f>'(B3) Struktura Funksionale'!A49</f>
        <v>Programi 8a</v>
      </c>
      <c r="B58" s="584" t="str">
        <f>'(B3) Struktura Funksionale'!B49</f>
        <v>04520</v>
      </c>
      <c r="C58" s="188" t="str">
        <f>'(B3) Struktura Funksionale'!C49</f>
        <v>Rrjeti rrugor rural</v>
      </c>
      <c r="D58" s="657">
        <f t="shared" si="9"/>
        <v>183207764</v>
      </c>
      <c r="E58" s="659">
        <f>52666439+943192+157513+153967200+3640925+341580+1364657+71488</f>
        <v>213152994</v>
      </c>
      <c r="F58" s="659">
        <f>776563+2567926</f>
        <v>3344489</v>
      </c>
      <c r="G58" s="950">
        <f>20302521+6298220</f>
        <v>26600741</v>
      </c>
      <c r="H58" s="657">
        <f>+I58-J58-K58</f>
        <v>11182173</v>
      </c>
      <c r="I58" s="660">
        <f>32485173</f>
        <v>32485173</v>
      </c>
      <c r="J58" s="659">
        <f>1000000</f>
        <v>1000000</v>
      </c>
      <c r="K58" s="659">
        <f>20303000</f>
        <v>20303000</v>
      </c>
      <c r="L58" s="657">
        <f>+M58-N58-O58</f>
        <v>22179899</v>
      </c>
      <c r="M58" s="659">
        <f>43938602+3544297</f>
        <v>47482899</v>
      </c>
      <c r="N58" s="659">
        <f>1000000+4000000</f>
        <v>5000000</v>
      </c>
      <c r="O58" s="659">
        <f>20303000</f>
        <v>20303000</v>
      </c>
      <c r="P58" s="65">
        <f>I58-J58-K58</f>
        <v>11182173</v>
      </c>
      <c r="Q58" s="65">
        <f>M58-N58-O58</f>
        <v>22179899</v>
      </c>
    </row>
    <row r="59" spans="1:17" x14ac:dyDescent="0.2">
      <c r="A59" s="188" t="str">
        <f>'(B3) Struktura Funksionale'!A50</f>
        <v>Programi 8b</v>
      </c>
      <c r="B59" s="584" t="str">
        <f>'(B3) Struktura Funksionale'!B50</f>
        <v>04530</v>
      </c>
      <c r="C59" s="188" t="str">
        <f>'(B3) Struktura Funksionale'!C50</f>
        <v>Studimi i rrugëve</v>
      </c>
      <c r="D59" s="657">
        <f t="shared" si="9"/>
        <v>0</v>
      </c>
      <c r="E59" s="660"/>
      <c r="F59" s="660"/>
      <c r="G59" s="660"/>
      <c r="H59" s="657">
        <f>+I59-J59-K59</f>
        <v>9475594</v>
      </c>
      <c r="I59" s="660">
        <f>8684198+42778290+791396</f>
        <v>52253884</v>
      </c>
      <c r="J59" s="659"/>
      <c r="K59" s="660">
        <v>42778290</v>
      </c>
      <c r="L59" s="657">
        <f>+M59-N59-O59</f>
        <v>128440000</v>
      </c>
      <c r="M59" s="660">
        <v>128440000</v>
      </c>
      <c r="N59" s="660"/>
      <c r="O59" s="660"/>
      <c r="P59" s="65" t="e">
        <f>I59-#REF!-K59</f>
        <v>#REF!</v>
      </c>
      <c r="Q59" s="65">
        <f>M59-N59-O59</f>
        <v>128440000</v>
      </c>
    </row>
    <row r="60" spans="1:17" x14ac:dyDescent="0.2">
      <c r="A60" s="188" t="str">
        <f>'(B3) Struktura Funksionale'!A51</f>
        <v>Programi 8c</v>
      </c>
      <c r="B60" s="584" t="str">
        <f>'(B3) Struktura Funksionale'!B51</f>
        <v>04570</v>
      </c>
      <c r="C60" s="188" t="str">
        <f>'(B3) Struktura Funksionale'!C51</f>
        <v>Transporti publik</v>
      </c>
      <c r="D60" s="657">
        <f t="shared" si="9"/>
        <v>0</v>
      </c>
      <c r="E60" s="660"/>
      <c r="F60" s="660"/>
      <c r="G60" s="660"/>
      <c r="H60" s="657">
        <f>+I60-J60-K60</f>
        <v>0</v>
      </c>
      <c r="I60" s="660"/>
      <c r="J60" s="660"/>
      <c r="K60" s="660"/>
      <c r="L60" s="657">
        <f>+M60-N60-O60</f>
        <v>0</v>
      </c>
      <c r="M60" s="660"/>
      <c r="N60" s="660"/>
      <c r="O60" s="660"/>
      <c r="P60" s="65">
        <f>I60-J60-K60</f>
        <v>0</v>
      </c>
      <c r="Q60" s="65">
        <f>M60-N60-O60</f>
        <v>0</v>
      </c>
    </row>
    <row r="61" spans="1:17" x14ac:dyDescent="0.2">
      <c r="A61" s="188" t="str">
        <f>'(B3) Struktura Funksionale'!A52</f>
        <v>Programi 8d</v>
      </c>
      <c r="B61" s="584">
        <f>'(B3) Struktura Funksionale'!B52</f>
        <v>0</v>
      </c>
      <c r="C61" s="188">
        <f>'(B3) Struktura Funksionale'!C52</f>
        <v>0</v>
      </c>
      <c r="D61" s="657">
        <f t="shared" si="9"/>
        <v>0</v>
      </c>
      <c r="E61" s="660"/>
      <c r="F61" s="660"/>
      <c r="G61" s="660"/>
      <c r="H61" s="657">
        <f>+I61-J61-K61</f>
        <v>0</v>
      </c>
      <c r="I61" s="660"/>
      <c r="J61" s="660"/>
      <c r="K61" s="660"/>
      <c r="L61" s="657">
        <f>+M61-N61-O61</f>
        <v>0</v>
      </c>
      <c r="M61" s="660"/>
      <c r="N61" s="660"/>
      <c r="O61" s="660"/>
    </row>
    <row r="62" spans="1:17" x14ac:dyDescent="0.2">
      <c r="A62" s="20"/>
      <c r="B62" s="254"/>
      <c r="C62" s="192"/>
      <c r="D62" s="657">
        <f t="shared" si="9"/>
        <v>183207764</v>
      </c>
      <c r="E62" s="657">
        <f>SUM(E58:E61)</f>
        <v>213152994</v>
      </c>
      <c r="F62" s="657">
        <f t="shared" ref="F62:O62" si="13">SUM(F58:F61)</f>
        <v>3344489</v>
      </c>
      <c r="G62" s="657">
        <f t="shared" si="13"/>
        <v>26600741</v>
      </c>
      <c r="H62" s="657">
        <f>+I62-J62-K62</f>
        <v>20657767</v>
      </c>
      <c r="I62" s="657">
        <f t="shared" si="13"/>
        <v>84739057</v>
      </c>
      <c r="J62" s="657">
        <f t="shared" si="13"/>
        <v>1000000</v>
      </c>
      <c r="K62" s="657">
        <f t="shared" si="13"/>
        <v>63081290</v>
      </c>
      <c r="L62" s="657">
        <f>+M62-N62-O62</f>
        <v>150619899</v>
      </c>
      <c r="M62" s="657">
        <f t="shared" si="13"/>
        <v>175922899</v>
      </c>
      <c r="N62" s="657">
        <f t="shared" si="13"/>
        <v>5000000</v>
      </c>
      <c r="O62" s="657">
        <f t="shared" si="13"/>
        <v>20303000</v>
      </c>
      <c r="P62" s="65">
        <f>I62-J62-K62</f>
        <v>20657767</v>
      </c>
      <c r="Q62" s="65">
        <f>M62-N62-O62</f>
        <v>150619899</v>
      </c>
    </row>
    <row r="63" spans="1:17" ht="37.5" x14ac:dyDescent="0.2">
      <c r="A63" s="599" t="str">
        <f>'(B3) Struktura Funksionale'!A53</f>
        <v>Nënfunksioni 9</v>
      </c>
      <c r="B63" s="599" t="str">
        <f>'(B3) Struktura Funksionale'!B53</f>
        <v>047</v>
      </c>
      <c r="C63" s="250" t="str">
        <f>'(B3) Struktura Funksionale'!C53</f>
        <v>Industri të tjera</v>
      </c>
      <c r="D63" s="663"/>
      <c r="E63" s="663"/>
      <c r="F63" s="663"/>
      <c r="G63" s="663"/>
      <c r="H63" s="663"/>
      <c r="I63" s="663"/>
      <c r="J63" s="663"/>
      <c r="K63" s="663"/>
      <c r="L63" s="663"/>
      <c r="M63" s="663"/>
      <c r="N63" s="663"/>
      <c r="O63" s="664"/>
      <c r="P63" s="242">
        <f>I63-J63-K63</f>
        <v>0</v>
      </c>
      <c r="Q63" s="243">
        <f>M63-N63-O63</f>
        <v>0</v>
      </c>
    </row>
    <row r="64" spans="1:17" x14ac:dyDescent="0.2">
      <c r="A64" s="188" t="str">
        <f>'(B3) Struktura Funksionale'!A54</f>
        <v>Programi 9a</v>
      </c>
      <c r="B64" s="584" t="str">
        <f>'(B3) Struktura Funksionale'!B54</f>
        <v>04740</v>
      </c>
      <c r="C64" s="188" t="str">
        <f>'(B3) Struktura Funksionale'!C54</f>
        <v>Projekte Zhvillimi</v>
      </c>
      <c r="D64" s="657">
        <f t="shared" si="9"/>
        <v>0</v>
      </c>
      <c r="E64" s="660"/>
      <c r="F64" s="660"/>
      <c r="G64" s="660"/>
      <c r="H64" s="657">
        <f>+I64-J64-K64</f>
        <v>0</v>
      </c>
      <c r="I64" s="666"/>
      <c r="J64" s="660"/>
      <c r="K64" s="660"/>
      <c r="L64" s="657">
        <f>+M64-N64-O64</f>
        <v>0</v>
      </c>
      <c r="M64" s="660"/>
      <c r="N64" s="660"/>
      <c r="O64" s="660"/>
      <c r="P64" s="65">
        <f>I64-J64-K64</f>
        <v>0</v>
      </c>
      <c r="Q64" s="65">
        <f>M64-N64-O64</f>
        <v>0</v>
      </c>
    </row>
    <row r="65" spans="1:17" x14ac:dyDescent="0.2">
      <c r="A65" s="188" t="str">
        <f>'(B3) Struktura Funksionale'!A55</f>
        <v>Programi 9b</v>
      </c>
      <c r="B65" s="584" t="str">
        <f>'(B3) Struktura Funksionale'!B55</f>
        <v>04760</v>
      </c>
      <c r="C65" s="188" t="str">
        <f>'(B3) Struktura Funksionale'!C55</f>
        <v>Zhvillimi i turizmit</v>
      </c>
      <c r="D65" s="657">
        <f t="shared" si="9"/>
        <v>0</v>
      </c>
      <c r="E65" s="661"/>
      <c r="F65" s="661"/>
      <c r="G65" s="661"/>
      <c r="H65" s="657">
        <f>+I65-J65-K65</f>
        <v>0</v>
      </c>
      <c r="I65" s="662"/>
      <c r="J65" s="661"/>
      <c r="K65" s="661"/>
      <c r="L65" s="657">
        <f>+M65-N65-O65</f>
        <v>0</v>
      </c>
      <c r="M65" s="661"/>
      <c r="N65" s="661"/>
      <c r="O65" s="661"/>
      <c r="P65" s="65">
        <f>I65-J65-K65</f>
        <v>0</v>
      </c>
      <c r="Q65" s="65">
        <f>M65-N65-O65</f>
        <v>0</v>
      </c>
    </row>
    <row r="66" spans="1:17" hidden="1" x14ac:dyDescent="0.2">
      <c r="A66" s="188" t="str">
        <f>'(B3) Struktura Funksionale'!A56</f>
        <v>Programi 9c</v>
      </c>
      <c r="B66" s="584" t="str">
        <f>'(B3) Struktura Funksionale'!B56</f>
        <v>04742</v>
      </c>
      <c r="C66" s="188" t="str">
        <f>'(B3) Struktura Funksionale'!C56</f>
        <v>Rekreacioni</v>
      </c>
      <c r="D66" s="657">
        <f t="shared" si="9"/>
        <v>0</v>
      </c>
      <c r="E66" s="661"/>
      <c r="F66" s="661"/>
      <c r="G66" s="661"/>
      <c r="H66" s="657">
        <f>+I66-J66-K66</f>
        <v>0</v>
      </c>
      <c r="I66" s="662"/>
      <c r="J66" s="661"/>
      <c r="K66" s="661"/>
      <c r="L66" s="657">
        <f>+M66-N66-O66</f>
        <v>0</v>
      </c>
      <c r="M66" s="661"/>
      <c r="N66" s="661"/>
      <c r="O66" s="661"/>
      <c r="P66" s="65">
        <f>I66-J66-K66</f>
        <v>0</v>
      </c>
      <c r="Q66" s="65">
        <f>M66-N66-O66</f>
        <v>0</v>
      </c>
    </row>
    <row r="67" spans="1:17" x14ac:dyDescent="0.2">
      <c r="A67" s="188" t="str">
        <f>'(B3) Struktura Funksionale'!A57</f>
        <v>Programi 9d</v>
      </c>
      <c r="B67" s="584">
        <f>'(B3) Struktura Funksionale'!B57</f>
        <v>0</v>
      </c>
      <c r="C67" s="188">
        <f>'(B3) Struktura Funksionale'!C57</f>
        <v>0</v>
      </c>
      <c r="D67" s="657">
        <f t="shared" si="9"/>
        <v>0</v>
      </c>
      <c r="E67" s="660"/>
      <c r="F67" s="660"/>
      <c r="G67" s="660"/>
      <c r="H67" s="657">
        <f>+I67-J67-K67</f>
        <v>0</v>
      </c>
      <c r="I67" s="660"/>
      <c r="J67" s="660"/>
      <c r="K67" s="660"/>
      <c r="L67" s="657">
        <f>+M67-N67-O67</f>
        <v>0</v>
      </c>
      <c r="M67" s="660"/>
      <c r="N67" s="660"/>
      <c r="O67" s="660"/>
    </row>
    <row r="68" spans="1:17" ht="13.5" thickBot="1" x14ac:dyDescent="0.25">
      <c r="A68" s="208"/>
      <c r="B68" s="255"/>
      <c r="C68" s="208"/>
      <c r="D68" s="657">
        <f t="shared" si="9"/>
        <v>0</v>
      </c>
      <c r="E68" s="669">
        <f>SUM(E64:E67)</f>
        <v>0</v>
      </c>
      <c r="F68" s="669">
        <f t="shared" ref="F68:Q68" si="14">SUM(F64:F67)</f>
        <v>0</v>
      </c>
      <c r="G68" s="669">
        <f t="shared" si="14"/>
        <v>0</v>
      </c>
      <c r="H68" s="657">
        <f>+I68-J68-K68</f>
        <v>0</v>
      </c>
      <c r="I68" s="669">
        <f t="shared" si="14"/>
        <v>0</v>
      </c>
      <c r="J68" s="669">
        <f t="shared" si="14"/>
        <v>0</v>
      </c>
      <c r="K68" s="669">
        <f t="shared" si="14"/>
        <v>0</v>
      </c>
      <c r="L68" s="657">
        <f>+M68-N68-O68</f>
        <v>0</v>
      </c>
      <c r="M68" s="669">
        <f t="shared" si="14"/>
        <v>0</v>
      </c>
      <c r="N68" s="669">
        <f t="shared" si="14"/>
        <v>0</v>
      </c>
      <c r="O68" s="669">
        <f t="shared" si="14"/>
        <v>0</v>
      </c>
      <c r="P68" s="602">
        <f t="shared" si="14"/>
        <v>0</v>
      </c>
      <c r="Q68" s="67">
        <f t="shared" si="14"/>
        <v>0</v>
      </c>
    </row>
    <row r="69" spans="1:17" s="228" customFormat="1" ht="19.5" thickBot="1" x14ac:dyDescent="0.35">
      <c r="A69" s="603" t="str">
        <f>'(B3) Struktura Funksionale'!A58</f>
        <v>05 Mbrojtja Mjedisore</v>
      </c>
      <c r="B69" s="323"/>
      <c r="C69" s="323"/>
      <c r="D69" s="667"/>
      <c r="E69" s="667"/>
      <c r="F69" s="667"/>
      <c r="G69" s="667"/>
      <c r="H69" s="667"/>
      <c r="I69" s="667"/>
      <c r="J69" s="667"/>
      <c r="K69" s="667"/>
      <c r="L69" s="667"/>
      <c r="M69" s="667"/>
      <c r="N69" s="667"/>
      <c r="O69" s="668"/>
    </row>
    <row r="70" spans="1:17" ht="22.5" customHeight="1" x14ac:dyDescent="0.2">
      <c r="A70" s="599" t="str">
        <f>'(B3) Struktura Funksionale'!A59</f>
        <v>Nënfunksioni 10</v>
      </c>
      <c r="B70" s="599" t="str">
        <f>'(B3) Struktura Funksionale'!B59</f>
        <v>062</v>
      </c>
      <c r="C70" s="250" t="str">
        <f>'(B3) Struktura Funksionale'!C59</f>
        <v>Menaxhimi i mbetjeve</v>
      </c>
      <c r="D70" s="663"/>
      <c r="E70" s="663"/>
      <c r="F70" s="663"/>
      <c r="G70" s="663"/>
      <c r="H70" s="663"/>
      <c r="I70" s="663"/>
      <c r="J70" s="663"/>
      <c r="K70" s="663"/>
      <c r="L70" s="663"/>
      <c r="M70" s="663"/>
      <c r="N70" s="663"/>
      <c r="O70" s="664"/>
      <c r="P70" s="242">
        <f t="shared" ref="P70:P102" si="15">I70-J70-K70</f>
        <v>0</v>
      </c>
      <c r="Q70" s="243">
        <f t="shared" ref="Q70:Q91" si="16">M70-N70-O70</f>
        <v>0</v>
      </c>
    </row>
    <row r="71" spans="1:17" x14ac:dyDescent="0.2">
      <c r="A71" s="188" t="str">
        <f>'(B3) Struktura Funksionale'!A60</f>
        <v>Programi 10a</v>
      </c>
      <c r="B71" s="584" t="str">
        <f>'(B3) Struktura Funksionale'!B60</f>
        <v>06260</v>
      </c>
      <c r="C71" s="188" t="str">
        <f>'(B3) Struktura Funksionale'!C60</f>
        <v>Menaxhimi i mbetjeve</v>
      </c>
      <c r="D71" s="657">
        <f t="shared" si="9"/>
        <v>-37298791</v>
      </c>
      <c r="E71" s="659">
        <f>20020677+17600000</f>
        <v>37620677</v>
      </c>
      <c r="F71" s="659">
        <f>74919468</f>
        <v>74919468</v>
      </c>
      <c r="G71" s="659"/>
      <c r="H71" s="657">
        <f>+I71-J71-K71</f>
        <v>28151146</v>
      </c>
      <c r="I71" s="659">
        <v>105911830</v>
      </c>
      <c r="J71" s="659">
        <v>77760684</v>
      </c>
      <c r="K71" s="659"/>
      <c r="L71" s="657">
        <f>+M71-N71-O71</f>
        <v>17288286</v>
      </c>
      <c r="M71" s="659">
        <f>97040040+43348246</f>
        <v>140388286</v>
      </c>
      <c r="N71" s="659">
        <v>123100000</v>
      </c>
      <c r="O71" s="659"/>
      <c r="P71" s="65">
        <f t="shared" si="15"/>
        <v>28151146</v>
      </c>
      <c r="Q71" s="65">
        <f t="shared" si="16"/>
        <v>17288286</v>
      </c>
    </row>
    <row r="72" spans="1:17" x14ac:dyDescent="0.2">
      <c r="A72" s="188" t="str">
        <f>'(B3) Struktura Funksionale'!A61</f>
        <v>Programi 10b</v>
      </c>
      <c r="B72" s="584">
        <f>'(B3) Struktura Funksionale'!B61</f>
        <v>0</v>
      </c>
      <c r="C72" s="188">
        <f>'(B3) Struktura Funksionale'!C61</f>
        <v>0</v>
      </c>
      <c r="D72" s="657">
        <f t="shared" si="9"/>
        <v>0</v>
      </c>
      <c r="E72" s="660"/>
      <c r="F72" s="660"/>
      <c r="G72" s="660"/>
      <c r="H72" s="657">
        <f>+I72-J72-K72</f>
        <v>0</v>
      </c>
      <c r="I72" s="660"/>
      <c r="J72" s="660"/>
      <c r="K72" s="660"/>
      <c r="L72" s="657">
        <f>+M72-N72-O72</f>
        <v>0</v>
      </c>
      <c r="M72" s="660"/>
      <c r="N72" s="660"/>
      <c r="O72" s="660"/>
      <c r="P72" s="65">
        <f t="shared" si="15"/>
        <v>0</v>
      </c>
      <c r="Q72" s="65">
        <f t="shared" si="16"/>
        <v>0</v>
      </c>
    </row>
    <row r="73" spans="1:17" x14ac:dyDescent="0.2">
      <c r="A73" s="188" t="str">
        <f>'(B3) Struktura Funksionale'!A62</f>
        <v>Programi 10c</v>
      </c>
      <c r="B73" s="584">
        <f>'(B3) Struktura Funksionale'!B62</f>
        <v>0</v>
      </c>
      <c r="C73" s="188">
        <f>'(B3) Struktura Funksionale'!C62</f>
        <v>0</v>
      </c>
      <c r="D73" s="657">
        <f t="shared" si="9"/>
        <v>0</v>
      </c>
      <c r="E73" s="660"/>
      <c r="F73" s="660"/>
      <c r="G73" s="660"/>
      <c r="H73" s="657">
        <f>+I73-J73-K73</f>
        <v>0</v>
      </c>
      <c r="I73" s="660"/>
      <c r="J73" s="660"/>
      <c r="K73" s="660"/>
      <c r="L73" s="657">
        <f>+M73-N73-O73</f>
        <v>0</v>
      </c>
      <c r="M73" s="660"/>
      <c r="N73" s="660"/>
      <c r="O73" s="660"/>
      <c r="P73" s="65">
        <f t="shared" si="15"/>
        <v>0</v>
      </c>
      <c r="Q73" s="65">
        <f t="shared" si="16"/>
        <v>0</v>
      </c>
    </row>
    <row r="74" spans="1:17" x14ac:dyDescent="0.2">
      <c r="A74" s="20"/>
      <c r="B74" s="254"/>
      <c r="C74" s="192"/>
      <c r="D74" s="657">
        <f t="shared" si="9"/>
        <v>-37298791</v>
      </c>
      <c r="E74" s="657">
        <f>SUM(E71:E73)</f>
        <v>37620677</v>
      </c>
      <c r="F74" s="657">
        <f>SUM(F71:F73)</f>
        <v>74919468</v>
      </c>
      <c r="G74" s="657">
        <f>SUM(G71:G73)</f>
        <v>0</v>
      </c>
      <c r="H74" s="657">
        <f>+I74-J74-K74</f>
        <v>28151146</v>
      </c>
      <c r="I74" s="657">
        <f>SUM(I71:I73)</f>
        <v>105911830</v>
      </c>
      <c r="J74" s="657">
        <f>SUM(J71:J73)</f>
        <v>77760684</v>
      </c>
      <c r="K74" s="657">
        <f>SUM(K71:K73)</f>
        <v>0</v>
      </c>
      <c r="L74" s="657">
        <f>+M74-N74-O74</f>
        <v>17288286</v>
      </c>
      <c r="M74" s="669">
        <f>SUM(M71:M73)</f>
        <v>140388286</v>
      </c>
      <c r="N74" s="657">
        <f>SUM(N71:N73)</f>
        <v>123100000</v>
      </c>
      <c r="O74" s="657">
        <f>SUM(O71:O73)</f>
        <v>0</v>
      </c>
      <c r="P74" s="65">
        <f t="shared" si="15"/>
        <v>28151146</v>
      </c>
      <c r="Q74" s="65">
        <f t="shared" si="16"/>
        <v>17288286</v>
      </c>
    </row>
    <row r="75" spans="1:17" ht="24" customHeight="1" x14ac:dyDescent="0.2">
      <c r="A75" s="599" t="str">
        <f>'(B3) Struktura Funksionale'!A63</f>
        <v>Nënfunksioni 11</v>
      </c>
      <c r="B75" s="599" t="str">
        <f>'(B3) Struktura Funksionale'!B63</f>
        <v>052</v>
      </c>
      <c r="C75" s="250" t="str">
        <f>'(B3) Struktura Funksionale'!C63</f>
        <v>Menaxhimi i Ujërave të zeza</v>
      </c>
      <c r="D75" s="663"/>
      <c r="E75" s="663"/>
      <c r="F75" s="663"/>
      <c r="G75" s="663"/>
      <c r="H75" s="663"/>
      <c r="I75" s="663"/>
      <c r="J75" s="663"/>
      <c r="K75" s="663"/>
      <c r="L75" s="663"/>
      <c r="M75" s="663"/>
      <c r="N75" s="663"/>
      <c r="O75" s="664"/>
      <c r="P75" s="242">
        <f t="shared" si="15"/>
        <v>0</v>
      </c>
      <c r="Q75" s="243">
        <f t="shared" si="16"/>
        <v>0</v>
      </c>
    </row>
    <row r="76" spans="1:17" x14ac:dyDescent="0.2">
      <c r="A76" s="188" t="str">
        <f>'(B3) Struktura Funksionale'!A64</f>
        <v>Programi 11a</v>
      </c>
      <c r="B76" s="584" t="str">
        <f>'(B3) Struktura Funksionale'!B64</f>
        <v>05200</v>
      </c>
      <c r="C76" s="188" t="str">
        <f>'(B3) Struktura Funksionale'!C64</f>
        <v>Menaxhimi i ujrave të zeza dhe kanalizimeve</v>
      </c>
      <c r="D76" s="657">
        <f t="shared" si="9"/>
        <v>0</v>
      </c>
      <c r="E76" s="660"/>
      <c r="F76" s="660"/>
      <c r="G76" s="660"/>
      <c r="H76" s="657">
        <f>+I76-J76-K76</f>
        <v>0</v>
      </c>
      <c r="I76" s="666"/>
      <c r="J76" s="660"/>
      <c r="K76" s="660"/>
      <c r="L76" s="657">
        <f>+M76-N76-O76</f>
        <v>0</v>
      </c>
      <c r="M76" s="660"/>
      <c r="N76" s="660"/>
      <c r="O76" s="660"/>
      <c r="P76" s="65">
        <f t="shared" si="15"/>
        <v>0</v>
      </c>
      <c r="Q76" s="65">
        <f t="shared" si="16"/>
        <v>0</v>
      </c>
    </row>
    <row r="77" spans="1:17" x14ac:dyDescent="0.2">
      <c r="A77" s="188" t="str">
        <f>'(B3) Struktura Funksionale'!A65</f>
        <v>Programi 11b</v>
      </c>
      <c r="B77" s="584">
        <f>'(B3) Struktura Funksionale'!B65</f>
        <v>0</v>
      </c>
      <c r="C77" s="188">
        <f>'(B3) Struktura Funksionale'!C65</f>
        <v>0</v>
      </c>
      <c r="D77" s="657">
        <f t="shared" si="9"/>
        <v>0</v>
      </c>
      <c r="E77" s="661"/>
      <c r="F77" s="661"/>
      <c r="G77" s="661"/>
      <c r="H77" s="657">
        <f>+I77-J77-K77</f>
        <v>0</v>
      </c>
      <c r="I77" s="662"/>
      <c r="J77" s="661"/>
      <c r="K77" s="661"/>
      <c r="L77" s="657">
        <f>+M77-N77-O77</f>
        <v>0</v>
      </c>
      <c r="M77" s="661"/>
      <c r="N77" s="661"/>
      <c r="O77" s="661"/>
      <c r="P77" s="65">
        <f t="shared" si="15"/>
        <v>0</v>
      </c>
      <c r="Q77" s="65">
        <f t="shared" si="16"/>
        <v>0</v>
      </c>
    </row>
    <row r="78" spans="1:17" x14ac:dyDescent="0.2">
      <c r="A78" s="188" t="str">
        <f>'(B3) Struktura Funksionale'!A66</f>
        <v>Programi 11c</v>
      </c>
      <c r="B78" s="584">
        <f>'(B3) Struktura Funksionale'!B66</f>
        <v>0</v>
      </c>
      <c r="C78" s="188">
        <f>'(B3) Struktura Funksionale'!C66</f>
        <v>0</v>
      </c>
      <c r="D78" s="657">
        <f t="shared" si="9"/>
        <v>0</v>
      </c>
      <c r="E78" s="661"/>
      <c r="F78" s="661"/>
      <c r="G78" s="661"/>
      <c r="H78" s="657">
        <f>+I78-J78-K78</f>
        <v>0</v>
      </c>
      <c r="I78" s="662"/>
      <c r="J78" s="661"/>
      <c r="K78" s="661"/>
      <c r="L78" s="657">
        <f>+M78-N78-O78</f>
        <v>0</v>
      </c>
      <c r="M78" s="661"/>
      <c r="N78" s="661"/>
      <c r="O78" s="661"/>
      <c r="P78" s="65">
        <f t="shared" si="15"/>
        <v>0</v>
      </c>
      <c r="Q78" s="65">
        <f t="shared" si="16"/>
        <v>0</v>
      </c>
    </row>
    <row r="79" spans="1:17" x14ac:dyDescent="0.2">
      <c r="A79" s="20"/>
      <c r="B79" s="254"/>
      <c r="C79" s="192"/>
      <c r="D79" s="657">
        <f t="shared" si="9"/>
        <v>0</v>
      </c>
      <c r="E79" s="657">
        <f>SUM(E76:E78)</f>
        <v>0</v>
      </c>
      <c r="F79" s="657">
        <f>SUM(F76:F78)</f>
        <v>0</v>
      </c>
      <c r="G79" s="657">
        <f>SUM(G76:G78)</f>
        <v>0</v>
      </c>
      <c r="H79" s="657">
        <f>+I79-J79-K79</f>
        <v>0</v>
      </c>
      <c r="I79" s="657">
        <f>SUM(I76:I78)</f>
        <v>0</v>
      </c>
      <c r="J79" s="657">
        <f>SUM(J76:J78)</f>
        <v>0</v>
      </c>
      <c r="K79" s="657">
        <f>SUM(K76:K78)</f>
        <v>0</v>
      </c>
      <c r="L79" s="657">
        <f>+M79-N79-O79</f>
        <v>0</v>
      </c>
      <c r="M79" s="657">
        <f>SUM(M76:M78)</f>
        <v>0</v>
      </c>
      <c r="N79" s="657">
        <f>SUM(N76:N78)</f>
        <v>0</v>
      </c>
      <c r="O79" s="657">
        <f>SUM(O76:O78)</f>
        <v>0</v>
      </c>
      <c r="P79" s="65">
        <f t="shared" si="15"/>
        <v>0</v>
      </c>
      <c r="Q79" s="65">
        <f t="shared" si="16"/>
        <v>0</v>
      </c>
    </row>
    <row r="80" spans="1:17" ht="22.5" customHeight="1" x14ac:dyDescent="0.2">
      <c r="A80" s="599" t="str">
        <f>'(B3) Struktura Funksionale'!A67</f>
        <v>Nënfunksioni 12</v>
      </c>
      <c r="B80" s="599" t="str">
        <f>'(B3) Struktura Funksionale'!B67</f>
        <v>053</v>
      </c>
      <c r="C80" s="250" t="str">
        <f>'(B3) Struktura Funksionale'!C67</f>
        <v>Reduktimi i ndotjes</v>
      </c>
      <c r="D80" s="663"/>
      <c r="E80" s="663"/>
      <c r="F80" s="663"/>
      <c r="G80" s="663"/>
      <c r="H80" s="663"/>
      <c r="I80" s="663"/>
      <c r="J80" s="663"/>
      <c r="K80" s="663"/>
      <c r="L80" s="663"/>
      <c r="M80" s="663"/>
      <c r="N80" s="663"/>
      <c r="O80" s="664"/>
      <c r="P80" s="242">
        <f t="shared" si="15"/>
        <v>0</v>
      </c>
      <c r="Q80" s="243">
        <f t="shared" si="16"/>
        <v>0</v>
      </c>
    </row>
    <row r="81" spans="1:17" x14ac:dyDescent="0.2">
      <c r="A81" s="188" t="str">
        <f>'(B3) Struktura Funksionale'!A68</f>
        <v>Programi 12a</v>
      </c>
      <c r="B81" s="584" t="str">
        <f>'(B3) Struktura Funksionale'!B68</f>
        <v>05320</v>
      </c>
      <c r="C81" s="188" t="str">
        <f>'(B3) Struktura Funksionale'!C68</f>
        <v>Programet e mbrojtjes së mjedisit</v>
      </c>
      <c r="D81" s="657">
        <f t="shared" si="9"/>
        <v>0</v>
      </c>
      <c r="E81" s="660"/>
      <c r="F81" s="660"/>
      <c r="G81" s="660"/>
      <c r="H81" s="657">
        <f>+I81-J81-K81</f>
        <v>0</v>
      </c>
      <c r="I81" s="666"/>
      <c r="J81" s="660"/>
      <c r="K81" s="660"/>
      <c r="L81" s="657">
        <f>+M81-N81-O81</f>
        <v>0</v>
      </c>
      <c r="M81" s="660"/>
      <c r="N81" s="660"/>
      <c r="O81" s="660"/>
      <c r="P81" s="65">
        <f t="shared" si="15"/>
        <v>0</v>
      </c>
      <c r="Q81" s="65">
        <f t="shared" si="16"/>
        <v>0</v>
      </c>
    </row>
    <row r="82" spans="1:17" x14ac:dyDescent="0.2">
      <c r="A82" s="188" t="str">
        <f>'(B3) Struktura Funksionale'!A69</f>
        <v>Programi 12b</v>
      </c>
      <c r="B82" s="584">
        <f>'(B3) Struktura Funksionale'!B69</f>
        <v>0</v>
      </c>
      <c r="C82" s="188">
        <f>'(B3) Struktura Funksionale'!C69</f>
        <v>0</v>
      </c>
      <c r="D82" s="657">
        <f t="shared" si="9"/>
        <v>0</v>
      </c>
      <c r="E82" s="661"/>
      <c r="F82" s="661"/>
      <c r="G82" s="661"/>
      <c r="H82" s="657">
        <f>+I82-J82-K82</f>
        <v>0</v>
      </c>
      <c r="I82" s="662"/>
      <c r="J82" s="661"/>
      <c r="K82" s="661"/>
      <c r="L82" s="657">
        <f>+M82-N82-O82</f>
        <v>0</v>
      </c>
      <c r="M82" s="661"/>
      <c r="N82" s="661"/>
      <c r="O82" s="661"/>
      <c r="P82" s="65">
        <f t="shared" si="15"/>
        <v>0</v>
      </c>
      <c r="Q82" s="65">
        <f t="shared" si="16"/>
        <v>0</v>
      </c>
    </row>
    <row r="83" spans="1:17" x14ac:dyDescent="0.2">
      <c r="A83" s="188" t="str">
        <f>'(B3) Struktura Funksionale'!A70</f>
        <v>Programi 12c</v>
      </c>
      <c r="B83" s="584">
        <f>'(B3) Struktura Funksionale'!B70</f>
        <v>0</v>
      </c>
      <c r="C83" s="188">
        <f>'(B3) Struktura Funksionale'!C70</f>
        <v>0</v>
      </c>
      <c r="D83" s="657">
        <f t="shared" si="9"/>
        <v>0</v>
      </c>
      <c r="E83" s="661"/>
      <c r="F83" s="661"/>
      <c r="G83" s="661"/>
      <c r="H83" s="657">
        <f>+I83-J83-K83</f>
        <v>0</v>
      </c>
      <c r="I83" s="662"/>
      <c r="J83" s="661"/>
      <c r="K83" s="661"/>
      <c r="L83" s="657">
        <f>+M83-N83-O83</f>
        <v>0</v>
      </c>
      <c r="M83" s="661"/>
      <c r="N83" s="661"/>
      <c r="O83" s="661"/>
      <c r="P83" s="65">
        <f t="shared" si="15"/>
        <v>0</v>
      </c>
      <c r="Q83" s="65">
        <f t="shared" si="16"/>
        <v>0</v>
      </c>
    </row>
    <row r="84" spans="1:17" x14ac:dyDescent="0.2">
      <c r="A84" s="20"/>
      <c r="B84" s="254"/>
      <c r="C84" s="192"/>
      <c r="D84" s="657">
        <f t="shared" si="9"/>
        <v>0</v>
      </c>
      <c r="E84" s="657">
        <f>SUM(E81:E83)</f>
        <v>0</v>
      </c>
      <c r="F84" s="657">
        <f>SUM(F81:F83)</f>
        <v>0</v>
      </c>
      <c r="G84" s="657">
        <f>SUM(G81:G83)</f>
        <v>0</v>
      </c>
      <c r="H84" s="657">
        <f>+I84-J84-K84</f>
        <v>0</v>
      </c>
      <c r="I84" s="657">
        <f>SUM(I81:I83)</f>
        <v>0</v>
      </c>
      <c r="J84" s="657">
        <f>SUM(J81:J83)</f>
        <v>0</v>
      </c>
      <c r="K84" s="657">
        <f>SUM(K81:K83)</f>
        <v>0</v>
      </c>
      <c r="L84" s="657">
        <f>+M84-N84-O84</f>
        <v>0</v>
      </c>
      <c r="M84" s="657">
        <f>SUM(M81:M83)</f>
        <v>0</v>
      </c>
      <c r="N84" s="657">
        <f>SUM(N81:N83)</f>
        <v>0</v>
      </c>
      <c r="O84" s="657">
        <f>SUM(O81:O83)</f>
        <v>0</v>
      </c>
      <c r="P84" s="65">
        <f t="shared" si="15"/>
        <v>0</v>
      </c>
      <c r="Q84" s="65">
        <f t="shared" si="16"/>
        <v>0</v>
      </c>
    </row>
    <row r="85" spans="1:17" ht="23.25" customHeight="1" x14ac:dyDescent="0.2">
      <c r="A85" s="599" t="str">
        <f>'(B3) Struktura Funksionale'!A71</f>
        <v>Nënfunksioni 13</v>
      </c>
      <c r="B85" s="599" t="str">
        <f>'(B3) Struktura Funksionale'!B71</f>
        <v>056</v>
      </c>
      <c r="C85" s="250" t="str">
        <f>'(B3) Struktura Funksionale'!C71</f>
        <v>Mbrojtja e mjedisit</v>
      </c>
      <c r="D85" s="663"/>
      <c r="E85" s="663"/>
      <c r="F85" s="663"/>
      <c r="G85" s="663"/>
      <c r="H85" s="663"/>
      <c r="I85" s="663"/>
      <c r="J85" s="663"/>
      <c r="K85" s="663"/>
      <c r="L85" s="663"/>
      <c r="M85" s="663"/>
      <c r="N85" s="663"/>
      <c r="O85" s="664"/>
      <c r="P85" s="242">
        <f t="shared" si="15"/>
        <v>0</v>
      </c>
      <c r="Q85" s="243">
        <f t="shared" si="16"/>
        <v>0</v>
      </c>
    </row>
    <row r="86" spans="1:17" x14ac:dyDescent="0.2">
      <c r="A86" s="188" t="str">
        <f>'(B3) Struktura Funksionale'!A72</f>
        <v>Programi 13a</v>
      </c>
      <c r="B86" s="584" t="str">
        <f>'(B3) Struktura Funksionale'!B72</f>
        <v>05630</v>
      </c>
      <c r="C86" s="188" t="str">
        <f>'(B3) Struktura Funksionale'!C72</f>
        <v>Ndërgjegjësimi mjedisor</v>
      </c>
      <c r="D86" s="657">
        <f t="shared" si="9"/>
        <v>0</v>
      </c>
      <c r="E86" s="659"/>
      <c r="F86" s="659"/>
      <c r="G86" s="659"/>
      <c r="H86" s="657">
        <f>+I86-J86-K86</f>
        <v>0</v>
      </c>
      <c r="I86" s="659"/>
      <c r="J86" s="659"/>
      <c r="K86" s="659"/>
      <c r="L86" s="657">
        <f>+M86-N86-O86</f>
        <v>0</v>
      </c>
      <c r="M86" s="659"/>
      <c r="N86" s="659"/>
      <c r="O86" s="659"/>
      <c r="P86" s="65">
        <f t="shared" si="15"/>
        <v>0</v>
      </c>
      <c r="Q86" s="65">
        <f t="shared" si="16"/>
        <v>0</v>
      </c>
    </row>
    <row r="87" spans="1:17" hidden="1" x14ac:dyDescent="0.2">
      <c r="A87" s="188" t="str">
        <f>'(B3) Struktura Funksionale'!A73</f>
        <v>Programi 13b</v>
      </c>
      <c r="B87" s="584" t="str">
        <f>'(B3) Struktura Funksionale'!B73</f>
        <v>05640</v>
      </c>
      <c r="C87" s="188" t="str">
        <f>'(B3) Struktura Funksionale'!C73</f>
        <v>Administrimi i resurseve ujore</v>
      </c>
      <c r="D87" s="657">
        <f t="shared" si="9"/>
        <v>0</v>
      </c>
      <c r="E87" s="660"/>
      <c r="F87" s="660"/>
      <c r="G87" s="660"/>
      <c r="H87" s="657">
        <f>+I87-J87-K87</f>
        <v>0</v>
      </c>
      <c r="I87" s="660"/>
      <c r="J87" s="660"/>
      <c r="K87" s="660"/>
      <c r="L87" s="657">
        <f>+M87-N87-O87</f>
        <v>0</v>
      </c>
      <c r="M87" s="660"/>
      <c r="N87" s="660"/>
      <c r="O87" s="660"/>
      <c r="P87" s="65">
        <f t="shared" si="15"/>
        <v>0</v>
      </c>
      <c r="Q87" s="65">
        <f t="shared" si="16"/>
        <v>0</v>
      </c>
    </row>
    <row r="88" spans="1:17" x14ac:dyDescent="0.2">
      <c r="A88" s="188" t="str">
        <f>'(B3) Struktura Funksionale'!A74</f>
        <v>Programi 13c</v>
      </c>
      <c r="B88" s="584">
        <f>'(B3) Struktura Funksionale'!B74</f>
        <v>0</v>
      </c>
      <c r="C88" s="188">
        <f>'(B3) Struktura Funksionale'!C74</f>
        <v>0</v>
      </c>
      <c r="D88" s="657">
        <f t="shared" si="9"/>
        <v>0</v>
      </c>
      <c r="E88" s="660"/>
      <c r="F88" s="660"/>
      <c r="G88" s="660"/>
      <c r="H88" s="657">
        <f>+I88-J88-K88</f>
        <v>0</v>
      </c>
      <c r="I88" s="660"/>
      <c r="J88" s="660"/>
      <c r="K88" s="660"/>
      <c r="L88" s="657">
        <f>+M88-N88-O88</f>
        <v>0</v>
      </c>
      <c r="M88" s="660"/>
      <c r="N88" s="660"/>
      <c r="O88" s="660"/>
      <c r="P88" s="65">
        <f t="shared" si="15"/>
        <v>0</v>
      </c>
      <c r="Q88" s="65">
        <f t="shared" si="16"/>
        <v>0</v>
      </c>
    </row>
    <row r="89" spans="1:17" ht="13.5" thickBot="1" x14ac:dyDescent="0.25">
      <c r="A89" s="20"/>
      <c r="B89" s="254"/>
      <c r="C89" s="192"/>
      <c r="D89" s="657">
        <f t="shared" si="9"/>
        <v>0</v>
      </c>
      <c r="E89" s="657">
        <f>SUM(E86:E88)</f>
        <v>0</v>
      </c>
      <c r="F89" s="657">
        <f>SUM(F86:F88)</f>
        <v>0</v>
      </c>
      <c r="G89" s="657">
        <f>SUM(G86:G88)</f>
        <v>0</v>
      </c>
      <c r="H89" s="657">
        <f>+I89-J89-K89</f>
        <v>0</v>
      </c>
      <c r="I89" s="657">
        <f>SUM(I86:I88)</f>
        <v>0</v>
      </c>
      <c r="J89" s="657">
        <f>SUM(J86:J88)</f>
        <v>0</v>
      </c>
      <c r="K89" s="657">
        <f>SUM(K86:K88)</f>
        <v>0</v>
      </c>
      <c r="L89" s="657">
        <f>+M89-N89-O89</f>
        <v>0</v>
      </c>
      <c r="M89" s="657">
        <f>SUM(M86:M88)</f>
        <v>0</v>
      </c>
      <c r="N89" s="657">
        <f>SUM(N86:N88)</f>
        <v>0</v>
      </c>
      <c r="O89" s="657">
        <f>SUM(O86:O88)</f>
        <v>0</v>
      </c>
      <c r="P89" s="65">
        <f t="shared" si="15"/>
        <v>0</v>
      </c>
      <c r="Q89" s="65">
        <f t="shared" si="16"/>
        <v>0</v>
      </c>
    </row>
    <row r="90" spans="1:17" s="228" customFormat="1" ht="19.5" thickBot="1" x14ac:dyDescent="0.35">
      <c r="A90" s="603" t="str">
        <f>'(B3) Struktura Funksionale'!A75</f>
        <v>06 Strehimi dhe Komoditetet e Komunitetit</v>
      </c>
      <c r="B90" s="323"/>
      <c r="C90" s="323"/>
      <c r="D90" s="667"/>
      <c r="E90" s="667"/>
      <c r="F90" s="667"/>
      <c r="G90" s="667"/>
      <c r="H90" s="667"/>
      <c r="I90" s="667"/>
      <c r="J90" s="667"/>
      <c r="K90" s="667"/>
      <c r="L90" s="667"/>
      <c r="M90" s="667"/>
      <c r="N90" s="667"/>
      <c r="O90" s="668"/>
    </row>
    <row r="91" spans="1:17" ht="22.5" customHeight="1" x14ac:dyDescent="0.2">
      <c r="A91" s="599" t="str">
        <f>'(B3) Struktura Funksionale'!A76</f>
        <v>Nënfunksioni 14</v>
      </c>
      <c r="B91" s="599" t="str">
        <f>'(B3) Struktura Funksionale'!B76</f>
        <v>061</v>
      </c>
      <c r="C91" s="250" t="str">
        <f>'(B3) Struktura Funksionale'!C76</f>
        <v>Urbanistika</v>
      </c>
      <c r="D91" s="663"/>
      <c r="E91" s="663"/>
      <c r="F91" s="663"/>
      <c r="G91" s="663"/>
      <c r="H91" s="663"/>
      <c r="I91" s="663"/>
      <c r="J91" s="663"/>
      <c r="K91" s="663"/>
      <c r="L91" s="663"/>
      <c r="M91" s="663"/>
      <c r="N91" s="663"/>
      <c r="O91" s="664"/>
      <c r="P91" s="242">
        <f t="shared" si="15"/>
        <v>0</v>
      </c>
      <c r="Q91" s="243">
        <f t="shared" si="16"/>
        <v>0</v>
      </c>
    </row>
    <row r="92" spans="1:17" x14ac:dyDescent="0.2">
      <c r="A92" s="188" t="str">
        <f>'(B3) Struktura Funksionale'!A77</f>
        <v>Programi 14a</v>
      </c>
      <c r="B92" s="584" t="str">
        <f>'(B3) Struktura Funksionale'!B77</f>
        <v>06140</v>
      </c>
      <c r="C92" s="188" t="str">
        <f>'(B3) Struktura Funksionale'!C77</f>
        <v>Planifikimi Urban Vendor</v>
      </c>
      <c r="D92" s="657">
        <f t="shared" si="9"/>
        <v>-26349394</v>
      </c>
      <c r="E92" s="659">
        <f>15480+295993</f>
        <v>311473</v>
      </c>
      <c r="F92" s="659">
        <v>26660867</v>
      </c>
      <c r="G92" s="659"/>
      <c r="H92" s="657">
        <f>+I92-J59-K92</f>
        <v>1379258</v>
      </c>
      <c r="I92" s="659">
        <v>1379258</v>
      </c>
      <c r="J92" s="659"/>
      <c r="K92" s="659"/>
      <c r="L92" s="657">
        <f>+M92-N92-O92</f>
        <v>-50512445</v>
      </c>
      <c r="M92" s="659">
        <f>180116+6888958+7303481</f>
        <v>14372555</v>
      </c>
      <c r="N92" s="659">
        <f>47885000+17000000</f>
        <v>64885000</v>
      </c>
      <c r="O92" s="659"/>
      <c r="P92" s="65">
        <f>I92-J59-K92</f>
        <v>1379258</v>
      </c>
      <c r="Q92" s="65">
        <f t="shared" ref="Q92:Q141" si="17">M92-N92-O92</f>
        <v>-50512445</v>
      </c>
    </row>
    <row r="93" spans="1:17" hidden="1" x14ac:dyDescent="0.2">
      <c r="A93" s="188" t="str">
        <f>'(B3) Struktura Funksionale'!A78</f>
        <v>Programi 14b</v>
      </c>
      <c r="B93" s="584" t="str">
        <f>'(B3) Struktura Funksionale'!B78</f>
        <v>06180</v>
      </c>
      <c r="C93" s="188" t="str">
        <f>'(B3) Struktura Funksionale'!C78</f>
        <v>Planifikimi urban dhe strehimi</v>
      </c>
      <c r="D93" s="657">
        <f t="shared" si="9"/>
        <v>0</v>
      </c>
      <c r="E93" s="660"/>
      <c r="F93" s="660"/>
      <c r="G93" s="660"/>
      <c r="H93" s="657">
        <f>+I93-J93-K93</f>
        <v>0</v>
      </c>
      <c r="I93" s="660"/>
      <c r="J93" s="660"/>
      <c r="K93" s="660"/>
      <c r="L93" s="657">
        <f>+M93-N93-O93</f>
        <v>0</v>
      </c>
      <c r="M93" s="660"/>
      <c r="N93" s="660"/>
      <c r="O93" s="660"/>
      <c r="P93" s="65">
        <f t="shared" si="15"/>
        <v>0</v>
      </c>
      <c r="Q93" s="65">
        <f t="shared" si="17"/>
        <v>0</v>
      </c>
    </row>
    <row r="94" spans="1:17" x14ac:dyDescent="0.2">
      <c r="A94" s="188" t="str">
        <f>'(B3) Struktura Funksionale'!A79</f>
        <v>Programi 14c</v>
      </c>
      <c r="B94" s="584">
        <f>'(B3) Struktura Funksionale'!B79</f>
        <v>0</v>
      </c>
      <c r="C94" s="188">
        <f>'(B3) Struktura Funksionale'!C79</f>
        <v>0</v>
      </c>
      <c r="D94" s="657">
        <f t="shared" si="9"/>
        <v>0</v>
      </c>
      <c r="E94" s="660"/>
      <c r="F94" s="660"/>
      <c r="G94" s="660"/>
      <c r="H94" s="657">
        <f>+I94-J94-K94</f>
        <v>0</v>
      </c>
      <c r="I94" s="660"/>
      <c r="J94" s="660"/>
      <c r="K94" s="660"/>
      <c r="L94" s="657">
        <f>+M94-N94-O94</f>
        <v>0</v>
      </c>
      <c r="M94" s="660"/>
      <c r="N94" s="660"/>
      <c r="O94" s="660"/>
      <c r="P94" s="65">
        <f t="shared" si="15"/>
        <v>0</v>
      </c>
      <c r="Q94" s="65">
        <f t="shared" si="17"/>
        <v>0</v>
      </c>
    </row>
    <row r="95" spans="1:17" x14ac:dyDescent="0.2">
      <c r="A95" s="20"/>
      <c r="B95" s="254"/>
      <c r="C95" s="192"/>
      <c r="D95" s="657">
        <f t="shared" si="9"/>
        <v>-26349394</v>
      </c>
      <c r="E95" s="657">
        <f>SUM(E92:E94)</f>
        <v>311473</v>
      </c>
      <c r="F95" s="657">
        <f>SUM(F92:F94)</f>
        <v>26660867</v>
      </c>
      <c r="G95" s="657">
        <f>SUM(G92:G94)</f>
        <v>0</v>
      </c>
      <c r="H95" s="657">
        <f>+I95-J95-K95</f>
        <v>-155142110</v>
      </c>
      <c r="I95" s="657">
        <f>SUM(I92:I94)</f>
        <v>1379258</v>
      </c>
      <c r="J95" s="657">
        <f>SUM(J59:J94)</f>
        <v>156521368</v>
      </c>
      <c r="K95" s="657">
        <f>SUM(K92:K94)</f>
        <v>0</v>
      </c>
      <c r="L95" s="657">
        <f>+M95-N95-O95</f>
        <v>-50512445</v>
      </c>
      <c r="M95" s="657">
        <f>SUM(M92:M94)</f>
        <v>14372555</v>
      </c>
      <c r="N95" s="657">
        <f>SUM(N92:N94)</f>
        <v>64885000</v>
      </c>
      <c r="O95" s="657">
        <f>SUM(O92:O94)</f>
        <v>0</v>
      </c>
      <c r="P95" s="65">
        <f t="shared" si="15"/>
        <v>-155142110</v>
      </c>
      <c r="Q95" s="65">
        <f t="shared" si="17"/>
        <v>-50512445</v>
      </c>
    </row>
    <row r="96" spans="1:17" ht="21.75" customHeight="1" x14ac:dyDescent="0.2">
      <c r="A96" s="599" t="str">
        <f>'(B3) Struktura Funksionale'!A80</f>
        <v>Nënfunksioni 15</v>
      </c>
      <c r="B96" s="599" t="str">
        <f>'(B3) Struktura Funksionale'!B80</f>
        <v>062</v>
      </c>
      <c r="C96" s="250" t="str">
        <f>'(B3) Struktura Funksionale'!C80</f>
        <v>Zhvillimi i komunitetit</v>
      </c>
      <c r="D96" s="663"/>
      <c r="E96" s="663"/>
      <c r="F96" s="663"/>
      <c r="G96" s="663"/>
      <c r="H96" s="663"/>
      <c r="I96" s="663"/>
      <c r="J96" s="663"/>
      <c r="K96" s="663"/>
      <c r="L96" s="663"/>
      <c r="M96" s="663"/>
      <c r="N96" s="663"/>
      <c r="O96" s="664"/>
      <c r="P96" s="242">
        <f t="shared" si="15"/>
        <v>0</v>
      </c>
      <c r="Q96" s="243">
        <f t="shared" si="17"/>
        <v>0</v>
      </c>
    </row>
    <row r="97" spans="1:17" x14ac:dyDescent="0.2">
      <c r="A97" s="188" t="str">
        <f>'(B3) Struktura Funksionale'!A81</f>
        <v>Programi 15a</v>
      </c>
      <c r="B97" s="584" t="str">
        <f>'(B3) Struktura Funksionale'!B81</f>
        <v>06210</v>
      </c>
      <c r="C97" s="188" t="str">
        <f>'(B3) Struktura Funksionale'!C81</f>
        <v>Programet e zhvillimit</v>
      </c>
      <c r="D97" s="657">
        <f t="shared" si="9"/>
        <v>0</v>
      </c>
      <c r="E97" s="659"/>
      <c r="F97" s="659"/>
      <c r="G97" s="659"/>
      <c r="H97" s="657">
        <f>+I97-J97-K97</f>
        <v>0</v>
      </c>
      <c r="I97" s="659"/>
      <c r="J97" s="659"/>
      <c r="K97" s="659"/>
      <c r="L97" s="657">
        <f>+M97-N97-O97</f>
        <v>0</v>
      </c>
      <c r="M97" s="659"/>
      <c r="N97" s="659"/>
      <c r="O97" s="659"/>
      <c r="P97" s="65">
        <f t="shared" si="15"/>
        <v>0</v>
      </c>
      <c r="Q97" s="65">
        <f t="shared" si="17"/>
        <v>0</v>
      </c>
    </row>
    <row r="98" spans="1:17" x14ac:dyDescent="0.2">
      <c r="A98" s="188" t="str">
        <f>'(B3) Struktura Funksionale'!A82</f>
        <v>Programi 15b</v>
      </c>
      <c r="B98" s="584" t="str">
        <f>'(B3) Struktura Funksionale'!B82</f>
        <v>06260</v>
      </c>
      <c r="C98" s="188" t="str">
        <f>'(B3) Struktura Funksionale'!C82</f>
        <v>Sherbime publike vendore</v>
      </c>
      <c r="D98" s="657">
        <f t="shared" si="9"/>
        <v>6568834</v>
      </c>
      <c r="E98" s="660">
        <f>53639+9814522+8360639+10210886+220331+4039085+10297917+3125049+2609425</f>
        <v>48731493</v>
      </c>
      <c r="F98" s="660">
        <f>34714918+5292741+2155000</f>
        <v>42162659</v>
      </c>
      <c r="G98" s="660"/>
      <c r="H98" s="657">
        <f>+I98-J98-K98</f>
        <v>29138856</v>
      </c>
      <c r="I98" s="660">
        <f>11516740+60766097</f>
        <v>72282837</v>
      </c>
      <c r="J98" s="660">
        <f>43143981</f>
        <v>43143981</v>
      </c>
      <c r="K98" s="660"/>
      <c r="L98" s="657">
        <f>+M98-N98-O98</f>
        <v>118698859</v>
      </c>
      <c r="M98" s="660">
        <f>34800200+44090719+201600+300000+2095500+1643900+3000000+1600000+8926900+97040040</f>
        <v>193698859</v>
      </c>
      <c r="N98" s="660">
        <f>75000000</f>
        <v>75000000</v>
      </c>
      <c r="O98" s="660"/>
      <c r="P98" s="65">
        <f t="shared" si="15"/>
        <v>29138856</v>
      </c>
      <c r="Q98" s="65">
        <f t="shared" si="17"/>
        <v>118698859</v>
      </c>
    </row>
    <row r="99" spans="1:17" x14ac:dyDescent="0.2">
      <c r="A99" s="188" t="str">
        <f>'(B3) Struktura Funksionale'!A83</f>
        <v>Programi 15c</v>
      </c>
      <c r="B99" s="584">
        <f>'(B3) Struktura Funksionale'!B83</f>
        <v>0</v>
      </c>
      <c r="C99" s="188">
        <f>'(B3) Struktura Funksionale'!C83</f>
        <v>0</v>
      </c>
      <c r="D99" s="657">
        <f t="shared" si="9"/>
        <v>0</v>
      </c>
      <c r="E99" s="660"/>
      <c r="F99" s="660"/>
      <c r="G99" s="660"/>
      <c r="H99" s="657">
        <f>+I99-J99-K99</f>
        <v>0</v>
      </c>
      <c r="I99" s="660"/>
      <c r="J99" s="660"/>
      <c r="K99" s="660"/>
      <c r="L99" s="657">
        <f>+M99-N99-O99</f>
        <v>0</v>
      </c>
      <c r="M99" s="660"/>
      <c r="N99" s="660"/>
      <c r="O99" s="660"/>
      <c r="P99" s="65">
        <f t="shared" si="15"/>
        <v>0</v>
      </c>
      <c r="Q99" s="65">
        <f t="shared" si="17"/>
        <v>0</v>
      </c>
    </row>
    <row r="100" spans="1:17" x14ac:dyDescent="0.2">
      <c r="A100" s="20"/>
      <c r="B100" s="254"/>
      <c r="C100" s="192"/>
      <c r="D100" s="657">
        <f t="shared" si="9"/>
        <v>6568834</v>
      </c>
      <c r="E100" s="657">
        <f>SUM(E97:E99)</f>
        <v>48731493</v>
      </c>
      <c r="F100" s="657">
        <f t="shared" ref="F100:M100" si="18">SUM(F97:F99)</f>
        <v>42162659</v>
      </c>
      <c r="G100" s="657">
        <f t="shared" si="18"/>
        <v>0</v>
      </c>
      <c r="H100" s="657">
        <f>+I100-J100-K100</f>
        <v>29138856</v>
      </c>
      <c r="I100" s="657">
        <f t="shared" si="18"/>
        <v>72282837</v>
      </c>
      <c r="J100" s="657">
        <f t="shared" si="18"/>
        <v>43143981</v>
      </c>
      <c r="K100" s="657">
        <f t="shared" si="18"/>
        <v>0</v>
      </c>
      <c r="L100" s="657">
        <f>+M100-N100-O100</f>
        <v>118698859</v>
      </c>
      <c r="M100" s="657">
        <f t="shared" si="18"/>
        <v>193698859</v>
      </c>
      <c r="N100" s="657">
        <f>SUM(N97:N99)</f>
        <v>75000000</v>
      </c>
      <c r="O100" s="657">
        <f>SUM(O97:O99)</f>
        <v>0</v>
      </c>
      <c r="P100" s="65">
        <f t="shared" si="15"/>
        <v>29138856</v>
      </c>
      <c r="Q100" s="65">
        <f t="shared" si="17"/>
        <v>118698859</v>
      </c>
    </row>
    <row r="101" spans="1:17" ht="23.25" customHeight="1" x14ac:dyDescent="0.2">
      <c r="A101" s="599" t="str">
        <f>'(B3) Struktura Funksionale'!A84</f>
        <v>Nënfunksioni 16</v>
      </c>
      <c r="B101" s="599" t="str">
        <f>'(B3) Struktura Funksionale'!B84</f>
        <v>063</v>
      </c>
      <c r="C101" s="250" t="str">
        <f>'(B3) Struktura Funksionale'!C84</f>
        <v>Furnizimi me ujë</v>
      </c>
      <c r="D101" s="663"/>
      <c r="E101" s="663"/>
      <c r="F101" s="663"/>
      <c r="G101" s="663"/>
      <c r="H101" s="663"/>
      <c r="I101" s="663"/>
      <c r="J101" s="663"/>
      <c r="K101" s="663"/>
      <c r="L101" s="663"/>
      <c r="M101" s="663"/>
      <c r="N101" s="663"/>
      <c r="O101" s="664"/>
      <c r="P101" s="242">
        <f t="shared" si="15"/>
        <v>0</v>
      </c>
      <c r="Q101" s="243">
        <f t="shared" si="17"/>
        <v>0</v>
      </c>
    </row>
    <row r="102" spans="1:17" x14ac:dyDescent="0.2">
      <c r="A102" s="188" t="str">
        <f>'(B3) Struktura Funksionale'!A85</f>
        <v>Programi 16a</v>
      </c>
      <c r="B102" s="584" t="str">
        <f>'(B3) Struktura Funksionale'!B85</f>
        <v>06330</v>
      </c>
      <c r="C102" s="188" t="str">
        <f>'(B3) Struktura Funksionale'!C85</f>
        <v xml:space="preserve">Furnizimi me ujë </v>
      </c>
      <c r="D102" s="657">
        <f t="shared" si="9"/>
        <v>11999999</v>
      </c>
      <c r="E102" s="659">
        <v>11999999</v>
      </c>
      <c r="F102" s="659"/>
      <c r="G102" s="659"/>
      <c r="H102" s="657">
        <f>+I102-J102-K102</f>
        <v>272714</v>
      </c>
      <c r="I102" s="659">
        <v>272714</v>
      </c>
      <c r="J102" s="659"/>
      <c r="K102" s="659"/>
      <c r="L102" s="657">
        <f>+M102-N102-O102</f>
        <v>59359820</v>
      </c>
      <c r="M102" s="659">
        <f>324493+59035327</f>
        <v>59359820</v>
      </c>
      <c r="N102" s="659"/>
      <c r="O102" s="659"/>
      <c r="P102" s="65">
        <f t="shared" si="15"/>
        <v>272714</v>
      </c>
      <c r="Q102" s="65">
        <f t="shared" si="17"/>
        <v>59359820</v>
      </c>
    </row>
    <row r="103" spans="1:17" x14ac:dyDescent="0.2">
      <c r="A103" s="188" t="str">
        <f>'(B3) Struktura Funksionale'!A86</f>
        <v>Programi 16b</v>
      </c>
      <c r="B103" s="584">
        <f>'(B3) Struktura Funksionale'!B86</f>
        <v>0</v>
      </c>
      <c r="C103" s="188">
        <f>'(B3) Struktura Funksionale'!C86</f>
        <v>0</v>
      </c>
      <c r="D103" s="657">
        <f t="shared" si="9"/>
        <v>0</v>
      </c>
      <c r="E103" s="660"/>
      <c r="F103" s="660"/>
      <c r="G103" s="660"/>
      <c r="H103" s="657">
        <f>+I103-J103-K103</f>
        <v>0</v>
      </c>
      <c r="I103" s="660"/>
      <c r="J103" s="660"/>
      <c r="K103" s="660"/>
      <c r="L103" s="657">
        <f>+M103-N103-O103</f>
        <v>0</v>
      </c>
      <c r="M103" s="660"/>
      <c r="N103" s="660"/>
      <c r="O103" s="660"/>
      <c r="P103" s="65">
        <f t="shared" ref="P103:P126" si="19">I103-J103-K103</f>
        <v>0</v>
      </c>
      <c r="Q103" s="65">
        <f t="shared" si="17"/>
        <v>0</v>
      </c>
    </row>
    <row r="104" spans="1:17" x14ac:dyDescent="0.2">
      <c r="A104" s="188" t="str">
        <f>'(B3) Struktura Funksionale'!A87</f>
        <v>Programi 16c</v>
      </c>
      <c r="B104" s="584">
        <f>'(B3) Struktura Funksionale'!B87</f>
        <v>0</v>
      </c>
      <c r="C104" s="188">
        <f>'(B3) Struktura Funksionale'!C87</f>
        <v>0</v>
      </c>
      <c r="D104" s="657">
        <f t="shared" si="9"/>
        <v>0</v>
      </c>
      <c r="E104" s="660"/>
      <c r="F104" s="660"/>
      <c r="G104" s="660"/>
      <c r="H104" s="657">
        <f>+I104-J104-K104</f>
        <v>0</v>
      </c>
      <c r="I104" s="660"/>
      <c r="J104" s="660"/>
      <c r="K104" s="660"/>
      <c r="L104" s="657">
        <f>+M104-N104-O104</f>
        <v>0</v>
      </c>
      <c r="M104" s="660"/>
      <c r="N104" s="660"/>
      <c r="O104" s="660"/>
      <c r="P104" s="65">
        <f t="shared" si="19"/>
        <v>0</v>
      </c>
      <c r="Q104" s="65">
        <f t="shared" si="17"/>
        <v>0</v>
      </c>
    </row>
    <row r="105" spans="1:17" x14ac:dyDescent="0.2">
      <c r="A105" s="20"/>
      <c r="B105" s="256"/>
      <c r="C105" s="21"/>
      <c r="D105" s="657">
        <f t="shared" si="9"/>
        <v>11999999</v>
      </c>
      <c r="E105" s="669">
        <f>SUM(E102:E104)</f>
        <v>11999999</v>
      </c>
      <c r="F105" s="669">
        <f>SUM(F102:F104)</f>
        <v>0</v>
      </c>
      <c r="G105" s="669">
        <f>SUM(G102:G104)</f>
        <v>0</v>
      </c>
      <c r="H105" s="657">
        <f>+I105-J105-K105</f>
        <v>272714</v>
      </c>
      <c r="I105" s="669">
        <f>SUM(I102:I104)</f>
        <v>272714</v>
      </c>
      <c r="J105" s="669">
        <f>SUM(J102:J104)</f>
        <v>0</v>
      </c>
      <c r="K105" s="669">
        <f>SUM(K102:K104)</f>
        <v>0</v>
      </c>
      <c r="L105" s="657">
        <f>+M105-N105-O105</f>
        <v>59359820</v>
      </c>
      <c r="M105" s="669">
        <f>SUM(M102:M104)</f>
        <v>59359820</v>
      </c>
      <c r="N105" s="669">
        <f>SUM(N102:N104)</f>
        <v>0</v>
      </c>
      <c r="O105" s="669">
        <f>SUM(O102:O104)</f>
        <v>0</v>
      </c>
      <c r="P105" s="65">
        <f t="shared" si="19"/>
        <v>272714</v>
      </c>
      <c r="Q105" s="65">
        <f t="shared" si="17"/>
        <v>59359820</v>
      </c>
    </row>
    <row r="106" spans="1:17" ht="21.75" customHeight="1" x14ac:dyDescent="0.2">
      <c r="A106" s="599" t="str">
        <f>'(B3) Struktura Funksionale'!A88</f>
        <v>Nënfunksioni 17</v>
      </c>
      <c r="B106" s="599" t="str">
        <f>'(B3) Struktura Funksionale'!B88</f>
        <v>064</v>
      </c>
      <c r="C106" s="250" t="str">
        <f>'(B3) Struktura Funksionale'!C88</f>
        <v>Ndriçimi i rrugëve</v>
      </c>
      <c r="D106" s="663"/>
      <c r="E106" s="663"/>
      <c r="F106" s="663"/>
      <c r="G106" s="663"/>
      <c r="H106" s="663"/>
      <c r="I106" s="663"/>
      <c r="J106" s="663"/>
      <c r="K106" s="663"/>
      <c r="L106" s="663"/>
      <c r="M106" s="663"/>
      <c r="N106" s="663"/>
      <c r="O106" s="664"/>
      <c r="P106" s="242">
        <f t="shared" si="19"/>
        <v>0</v>
      </c>
      <c r="Q106" s="243">
        <f t="shared" si="17"/>
        <v>0</v>
      </c>
    </row>
    <row r="107" spans="1:17" x14ac:dyDescent="0.2">
      <c r="A107" s="188" t="str">
        <f>'(B3) Struktura Funksionale'!A89</f>
        <v>Programi 17a</v>
      </c>
      <c r="B107" s="584" t="str">
        <f>'(B3) Struktura Funksionale'!B89</f>
        <v>06440</v>
      </c>
      <c r="C107" s="188" t="str">
        <f>'(B3) Struktura Funksionale'!C89</f>
        <v>Ndriçim rrugësh</v>
      </c>
      <c r="D107" s="657">
        <f t="shared" si="9"/>
        <v>-680801</v>
      </c>
      <c r="E107" s="660">
        <f>489931+984055+9195043+6415302</f>
        <v>17084331</v>
      </c>
      <c r="F107" s="660">
        <v>17765132</v>
      </c>
      <c r="G107" s="660"/>
      <c r="H107" s="657">
        <f>+I107-J107-K107</f>
        <v>2306709</v>
      </c>
      <c r="I107" s="660">
        <v>19881683</v>
      </c>
      <c r="J107" s="660">
        <v>17574974</v>
      </c>
      <c r="K107" s="660"/>
      <c r="L107" s="657">
        <f>+M107-N107-O107</f>
        <v>-3060000</v>
      </c>
      <c r="M107" s="660">
        <v>26000000</v>
      </c>
      <c r="N107" s="660">
        <v>29060000</v>
      </c>
      <c r="O107" s="660"/>
      <c r="P107" s="65">
        <f t="shared" si="19"/>
        <v>2306709</v>
      </c>
      <c r="Q107" s="65">
        <f t="shared" si="17"/>
        <v>-3060000</v>
      </c>
    </row>
    <row r="108" spans="1:17" x14ac:dyDescent="0.2">
      <c r="A108" s="188" t="str">
        <f>'(B3) Struktura Funksionale'!A90</f>
        <v>Programi 17b</v>
      </c>
      <c r="B108" s="584">
        <f>'(B3) Struktura Funksionale'!B90</f>
        <v>0</v>
      </c>
      <c r="C108" s="188">
        <f>'(B3) Struktura Funksionale'!C90</f>
        <v>0</v>
      </c>
      <c r="D108" s="657">
        <f t="shared" si="9"/>
        <v>0</v>
      </c>
      <c r="E108" s="660"/>
      <c r="F108" s="660"/>
      <c r="G108" s="660"/>
      <c r="H108" s="657">
        <f>+I108-J108-K108</f>
        <v>0</v>
      </c>
      <c r="I108" s="660"/>
      <c r="J108" s="660"/>
      <c r="K108" s="660"/>
      <c r="L108" s="657">
        <f>+M108-N108-O108</f>
        <v>0</v>
      </c>
      <c r="M108" s="660"/>
      <c r="N108" s="660"/>
      <c r="O108" s="660"/>
      <c r="P108" s="65">
        <f t="shared" si="19"/>
        <v>0</v>
      </c>
      <c r="Q108" s="65">
        <f t="shared" si="17"/>
        <v>0</v>
      </c>
    </row>
    <row r="109" spans="1:17" x14ac:dyDescent="0.2">
      <c r="A109" s="188" t="str">
        <f>'(B3) Struktura Funksionale'!A91</f>
        <v>Programi 17c</v>
      </c>
      <c r="B109" s="584">
        <f>'(B3) Struktura Funksionale'!B91</f>
        <v>0</v>
      </c>
      <c r="C109" s="188">
        <f>'(B3) Struktura Funksionale'!C91</f>
        <v>0</v>
      </c>
      <c r="D109" s="657">
        <f t="shared" si="9"/>
        <v>0</v>
      </c>
      <c r="E109" s="660"/>
      <c r="F109" s="660"/>
      <c r="G109" s="660"/>
      <c r="H109" s="657">
        <f>+I109-J109-K109</f>
        <v>0</v>
      </c>
      <c r="I109" s="660"/>
      <c r="J109" s="660"/>
      <c r="K109" s="660"/>
      <c r="L109" s="657">
        <f>+M109-N109-O109</f>
        <v>0</v>
      </c>
      <c r="M109" s="660"/>
      <c r="N109" s="660"/>
      <c r="O109" s="660"/>
      <c r="P109" s="65">
        <f t="shared" si="19"/>
        <v>0</v>
      </c>
      <c r="Q109" s="65">
        <f t="shared" si="17"/>
        <v>0</v>
      </c>
    </row>
    <row r="110" spans="1:17" ht="13.5" thickBot="1" x14ac:dyDescent="0.25">
      <c r="A110" s="20"/>
      <c r="B110" s="254"/>
      <c r="C110" s="192"/>
      <c r="D110" s="657">
        <f t="shared" si="9"/>
        <v>-680801</v>
      </c>
      <c r="E110" s="657">
        <f>SUM(E107:E109)</f>
        <v>17084331</v>
      </c>
      <c r="F110" s="657">
        <f>SUM(F107:F109)</f>
        <v>17765132</v>
      </c>
      <c r="G110" s="657">
        <f>SUM(G107:G109)</f>
        <v>0</v>
      </c>
      <c r="H110" s="657">
        <f>+I110-J110-K110</f>
        <v>2306709</v>
      </c>
      <c r="I110" s="657">
        <f>SUM(I107:I109)</f>
        <v>19881683</v>
      </c>
      <c r="J110" s="657">
        <f>SUM(J107:J109)</f>
        <v>17574974</v>
      </c>
      <c r="K110" s="657">
        <f>SUM(K107:K109)</f>
        <v>0</v>
      </c>
      <c r="L110" s="657">
        <f>+M110-N110-O110</f>
        <v>-3060000</v>
      </c>
      <c r="M110" s="657">
        <f>SUM(M107:M109)</f>
        <v>26000000</v>
      </c>
      <c r="N110" s="657">
        <f>SUM(N107:N109)</f>
        <v>29060000</v>
      </c>
      <c r="O110" s="657">
        <f>SUM(O107:O109)</f>
        <v>0</v>
      </c>
      <c r="P110" s="65">
        <f t="shared" si="19"/>
        <v>2306709</v>
      </c>
      <c r="Q110" s="65">
        <f t="shared" si="17"/>
        <v>-3060000</v>
      </c>
    </row>
    <row r="111" spans="1:17" s="228" customFormat="1" ht="19.5" thickBot="1" x14ac:dyDescent="0.35">
      <c r="A111" s="603" t="str">
        <f>'(B3) Struktura Funksionale'!A92</f>
        <v>07 Shëndetësia</v>
      </c>
      <c r="B111" s="323"/>
      <c r="C111" s="323"/>
      <c r="D111" s="667"/>
      <c r="E111" s="667"/>
      <c r="F111" s="667"/>
      <c r="G111" s="667"/>
      <c r="H111" s="667"/>
      <c r="I111" s="667"/>
      <c r="J111" s="667"/>
      <c r="K111" s="667"/>
      <c r="L111" s="667"/>
      <c r="M111" s="667"/>
      <c r="N111" s="667"/>
      <c r="O111" s="668"/>
    </row>
    <row r="112" spans="1:17" ht="21.75" customHeight="1" x14ac:dyDescent="0.2">
      <c r="A112" s="599" t="str">
        <f>'(B3) Struktura Funksionale'!A93</f>
        <v>Nënfunksioni 18</v>
      </c>
      <c r="B112" s="599" t="str">
        <f>'(B3) Struktura Funksionale'!B93</f>
        <v>072</v>
      </c>
      <c r="C112" s="250" t="str">
        <f>'(B3) Struktura Funksionale'!C93</f>
        <v>Shërbimet e kujdesit parësor</v>
      </c>
      <c r="D112" s="663"/>
      <c r="E112" s="663"/>
      <c r="F112" s="663"/>
      <c r="G112" s="663"/>
      <c r="H112" s="663"/>
      <c r="I112" s="663"/>
      <c r="J112" s="663"/>
      <c r="K112" s="663"/>
      <c r="L112" s="663"/>
      <c r="M112" s="663"/>
      <c r="N112" s="663"/>
      <c r="O112" s="664"/>
      <c r="P112" s="242">
        <f t="shared" si="19"/>
        <v>0</v>
      </c>
      <c r="Q112" s="243">
        <f t="shared" si="17"/>
        <v>0</v>
      </c>
    </row>
    <row r="113" spans="1:17" x14ac:dyDescent="0.2">
      <c r="A113" s="188" t="str">
        <f>'(B3) Struktura Funksionale'!A94</f>
        <v>Programi 18a</v>
      </c>
      <c r="B113" s="584" t="str">
        <f>'(B3) Struktura Funksionale'!B94</f>
        <v>07220</v>
      </c>
      <c r="C113" s="188" t="str">
        <f>'(B3) Struktura Funksionale'!C94</f>
        <v>Shërbimet e kujdesit parësor</v>
      </c>
      <c r="D113" s="657">
        <f t="shared" si="9"/>
        <v>0</v>
      </c>
      <c r="E113" s="659"/>
      <c r="F113" s="659"/>
      <c r="G113" s="659"/>
      <c r="H113" s="657">
        <f>+I113-J113-K113</f>
        <v>0</v>
      </c>
      <c r="I113" s="659"/>
      <c r="J113" s="659"/>
      <c r="K113" s="659"/>
      <c r="L113" s="657">
        <f>+M113-N113-O113</f>
        <v>0</v>
      </c>
      <c r="M113" s="659"/>
      <c r="N113" s="659"/>
      <c r="O113" s="659"/>
      <c r="P113" s="65">
        <f t="shared" si="19"/>
        <v>0</v>
      </c>
      <c r="Q113" s="65">
        <f t="shared" si="17"/>
        <v>0</v>
      </c>
    </row>
    <row r="114" spans="1:17" x14ac:dyDescent="0.2">
      <c r="A114" s="188" t="str">
        <f>'(B3) Struktura Funksionale'!A95</f>
        <v>Programi 18b</v>
      </c>
      <c r="B114" s="584">
        <f>'(B3) Struktura Funksionale'!B95</f>
        <v>0</v>
      </c>
      <c r="C114" s="188">
        <f>'(B3) Struktura Funksionale'!C95</f>
        <v>0</v>
      </c>
      <c r="D114" s="657">
        <f t="shared" si="9"/>
        <v>0</v>
      </c>
      <c r="E114" s="660"/>
      <c r="F114" s="660"/>
      <c r="G114" s="660"/>
      <c r="H114" s="657">
        <f>+I114-J114-K114</f>
        <v>0</v>
      </c>
      <c r="I114" s="660"/>
      <c r="J114" s="660"/>
      <c r="K114" s="660"/>
      <c r="L114" s="657">
        <f>+M114-N114-O114</f>
        <v>0</v>
      </c>
      <c r="M114" s="660"/>
      <c r="N114" s="660"/>
      <c r="O114" s="660"/>
      <c r="P114" s="65">
        <f t="shared" si="19"/>
        <v>0</v>
      </c>
      <c r="Q114" s="65">
        <f t="shared" si="17"/>
        <v>0</v>
      </c>
    </row>
    <row r="115" spans="1:17" x14ac:dyDescent="0.2">
      <c r="A115" s="188" t="str">
        <f>'(B3) Struktura Funksionale'!A96</f>
        <v>Programi 18c</v>
      </c>
      <c r="B115" s="584">
        <f>'(B3) Struktura Funksionale'!B96</f>
        <v>0</v>
      </c>
      <c r="C115" s="188">
        <f>'(B3) Struktura Funksionale'!C96</f>
        <v>0</v>
      </c>
      <c r="D115" s="657">
        <f t="shared" si="9"/>
        <v>0</v>
      </c>
      <c r="E115" s="660"/>
      <c r="F115" s="660"/>
      <c r="G115" s="660"/>
      <c r="H115" s="657">
        <f>+I115-J115-K115</f>
        <v>0</v>
      </c>
      <c r="I115" s="660"/>
      <c r="J115" s="660"/>
      <c r="K115" s="660"/>
      <c r="L115" s="657">
        <f>+M115-N115-O115</f>
        <v>0</v>
      </c>
      <c r="M115" s="660"/>
      <c r="N115" s="660"/>
      <c r="O115" s="660"/>
      <c r="P115" s="65">
        <f t="shared" si="19"/>
        <v>0</v>
      </c>
      <c r="Q115" s="65">
        <f t="shared" si="17"/>
        <v>0</v>
      </c>
    </row>
    <row r="116" spans="1:17" ht="13.5" thickBot="1" x14ac:dyDescent="0.25">
      <c r="A116" s="20"/>
      <c r="B116" s="254"/>
      <c r="C116" s="192"/>
      <c r="D116" s="657">
        <f t="shared" si="9"/>
        <v>0</v>
      </c>
      <c r="E116" s="657">
        <f>SUM(E113:E115)</f>
        <v>0</v>
      </c>
      <c r="F116" s="657">
        <f>SUM(F113:F115)</f>
        <v>0</v>
      </c>
      <c r="G116" s="657">
        <f>SUM(G113:G115)</f>
        <v>0</v>
      </c>
      <c r="H116" s="657">
        <f>+I116-J116-K116</f>
        <v>0</v>
      </c>
      <c r="I116" s="657">
        <f>SUM(I113:I115)</f>
        <v>0</v>
      </c>
      <c r="J116" s="657">
        <f>SUM(J113:J115)</f>
        <v>0</v>
      </c>
      <c r="K116" s="657">
        <f>SUM(K113:K115)</f>
        <v>0</v>
      </c>
      <c r="L116" s="657">
        <f>+M116-N116-O116</f>
        <v>0</v>
      </c>
      <c r="M116" s="657">
        <f>SUM(M113:M115)</f>
        <v>0</v>
      </c>
      <c r="N116" s="657">
        <f>SUM(N113:N115)</f>
        <v>0</v>
      </c>
      <c r="O116" s="657">
        <f>SUM(O113:O115)</f>
        <v>0</v>
      </c>
      <c r="P116" s="65">
        <f t="shared" si="19"/>
        <v>0</v>
      </c>
      <c r="Q116" s="65">
        <f t="shared" si="17"/>
        <v>0</v>
      </c>
    </row>
    <row r="117" spans="1:17" s="228" customFormat="1" ht="19.5" thickBot="1" x14ac:dyDescent="0.35">
      <c r="A117" s="603" t="str">
        <f>'(B3) Struktura Funksionale'!A97</f>
        <v>08 Argëtimi, Kultura dhe Feja</v>
      </c>
      <c r="B117" s="323"/>
      <c r="C117" s="323"/>
      <c r="D117" s="667"/>
      <c r="E117" s="667"/>
      <c r="F117" s="667"/>
      <c r="G117" s="667"/>
      <c r="H117" s="667"/>
      <c r="I117" s="667"/>
      <c r="J117" s="667"/>
      <c r="K117" s="667"/>
      <c r="L117" s="667"/>
      <c r="M117" s="667"/>
      <c r="N117" s="667"/>
      <c r="O117" s="668"/>
    </row>
    <row r="118" spans="1:17" ht="24.75" customHeight="1" x14ac:dyDescent="0.2">
      <c r="A118" s="599" t="str">
        <f>'(B3) Struktura Funksionale'!A98</f>
        <v>Nënfunksioni 19</v>
      </c>
      <c r="B118" s="599" t="str">
        <f>'(B3) Struktura Funksionale'!B98</f>
        <v>081</v>
      </c>
      <c r="C118" s="250" t="str">
        <f>'(B3) Struktura Funksionale'!C98</f>
        <v>Shërbimet rekreative dhe sportive</v>
      </c>
      <c r="D118" s="663"/>
      <c r="E118" s="663"/>
      <c r="F118" s="663"/>
      <c r="G118" s="663"/>
      <c r="H118" s="663"/>
      <c r="I118" s="663"/>
      <c r="J118" s="663"/>
      <c r="K118" s="663"/>
      <c r="L118" s="663"/>
      <c r="M118" s="663"/>
      <c r="N118" s="663"/>
      <c r="O118" s="664"/>
      <c r="P118" s="242">
        <f t="shared" si="19"/>
        <v>0</v>
      </c>
      <c r="Q118" s="243">
        <f t="shared" si="17"/>
        <v>0</v>
      </c>
    </row>
    <row r="119" spans="1:17" hidden="1" x14ac:dyDescent="0.2">
      <c r="A119" s="188" t="str">
        <f>'(B3) Struktura Funksionale'!A99</f>
        <v>Programi 19a</v>
      </c>
      <c r="B119" s="584" t="str">
        <f>'(B3) Struktura Funksionale'!B99</f>
        <v>08120</v>
      </c>
      <c r="C119" s="188" t="str">
        <f>'(B3) Struktura Funksionale'!C99</f>
        <v>Parqet</v>
      </c>
      <c r="D119" s="657">
        <f t="shared" si="9"/>
        <v>0</v>
      </c>
      <c r="E119" s="659"/>
      <c r="F119" s="659"/>
      <c r="G119" s="659"/>
      <c r="H119" s="657">
        <f>+I119-J119-K119</f>
        <v>0</v>
      </c>
      <c r="I119" s="659"/>
      <c r="J119" s="659"/>
      <c r="K119" s="659"/>
      <c r="L119" s="657">
        <f>+M119-N119-O119</f>
        <v>0</v>
      </c>
      <c r="M119" s="659"/>
      <c r="N119" s="659"/>
      <c r="O119" s="659"/>
      <c r="P119" s="65">
        <f t="shared" si="19"/>
        <v>0</v>
      </c>
      <c r="Q119" s="65">
        <f t="shared" si="17"/>
        <v>0</v>
      </c>
    </row>
    <row r="120" spans="1:17" x14ac:dyDescent="0.2">
      <c r="A120" s="188" t="str">
        <f>'(B3) Struktura Funksionale'!A100</f>
        <v>Programi 19b</v>
      </c>
      <c r="B120" s="584" t="str">
        <f>'(B3) Struktura Funksionale'!B100</f>
        <v>08130</v>
      </c>
      <c r="C120" s="188" t="str">
        <f>'(B3) Struktura Funksionale'!C100</f>
        <v>Sport dhe argëtim</v>
      </c>
      <c r="D120" s="951">
        <f>+E120-F120-G120</f>
        <v>24095664</v>
      </c>
      <c r="E120" s="660">
        <f>4011000+77000+8420000+1134459+771331+9817774+16000</f>
        <v>24247564</v>
      </c>
      <c r="F120" s="660">
        <v>151900</v>
      </c>
      <c r="G120" s="660"/>
      <c r="H120" s="952">
        <f>+I120-J120-K120</f>
        <v>10765948</v>
      </c>
      <c r="I120" s="660">
        <f>10803448</f>
        <v>10803448</v>
      </c>
      <c r="J120" s="660">
        <f>25400+12100</f>
        <v>37500</v>
      </c>
      <c r="K120" s="660"/>
      <c r="L120" s="657">
        <f>+M120-N120-O120</f>
        <v>20414388</v>
      </c>
      <c r="M120" s="660">
        <f>20166100+598288</f>
        <v>20764388</v>
      </c>
      <c r="N120" s="660">
        <v>350000</v>
      </c>
      <c r="O120" s="660"/>
      <c r="P120" s="65">
        <f t="shared" si="19"/>
        <v>10765948</v>
      </c>
      <c r="Q120" s="65">
        <f t="shared" si="17"/>
        <v>20414388</v>
      </c>
    </row>
    <row r="121" spans="1:17" x14ac:dyDescent="0.2">
      <c r="A121" s="188" t="str">
        <f>'(B3) Struktura Funksionale'!A101</f>
        <v>Programi 19c</v>
      </c>
      <c r="B121" s="584">
        <f>'(B3) Struktura Funksionale'!B101</f>
        <v>0</v>
      </c>
      <c r="C121" s="188">
        <f>'(B3) Struktura Funksionale'!C101</f>
        <v>0</v>
      </c>
      <c r="D121" s="951">
        <f>+E121-F121-G121</f>
        <v>0</v>
      </c>
      <c r="E121" s="660"/>
      <c r="F121" s="660"/>
      <c r="G121" s="660"/>
      <c r="H121" s="952">
        <f>+I121-J121-K121</f>
        <v>0</v>
      </c>
      <c r="I121" s="660"/>
      <c r="J121" s="660"/>
      <c r="K121" s="660"/>
      <c r="L121" s="657">
        <f>+M121-N121-O121</f>
        <v>0</v>
      </c>
      <c r="M121" s="660"/>
      <c r="N121" s="660"/>
      <c r="O121" s="660"/>
      <c r="P121" s="65">
        <f t="shared" si="19"/>
        <v>0</v>
      </c>
      <c r="Q121" s="65">
        <f t="shared" si="17"/>
        <v>0</v>
      </c>
    </row>
    <row r="122" spans="1:17" x14ac:dyDescent="0.2">
      <c r="A122" s="20"/>
      <c r="B122" s="254"/>
      <c r="C122" s="192"/>
      <c r="D122" s="951">
        <f>+E122-F122-G122</f>
        <v>24095664</v>
      </c>
      <c r="E122" s="669">
        <f>SUM(E119:E121)</f>
        <v>24247564</v>
      </c>
      <c r="F122" s="669">
        <f>SUM(F119:F121)</f>
        <v>151900</v>
      </c>
      <c r="G122" s="669">
        <f>SUM(G119:G121)</f>
        <v>0</v>
      </c>
      <c r="H122" s="952">
        <f>+I122-J122-K122</f>
        <v>10765948</v>
      </c>
      <c r="I122" s="657">
        <f>SUM(I119:I121)</f>
        <v>10803448</v>
      </c>
      <c r="J122" s="657">
        <f>SUM(J119:J121)</f>
        <v>37500</v>
      </c>
      <c r="K122" s="657">
        <f>SUM(K119:K121)</f>
        <v>0</v>
      </c>
      <c r="L122" s="657">
        <f>+M122-N122-O122</f>
        <v>20414388</v>
      </c>
      <c r="M122" s="657">
        <f>SUM(M119:M121)</f>
        <v>20764388</v>
      </c>
      <c r="N122" s="657">
        <f>SUM(N119:N121)</f>
        <v>350000</v>
      </c>
      <c r="O122" s="657">
        <f>SUM(O119:O121)</f>
        <v>0</v>
      </c>
      <c r="P122" s="65">
        <f t="shared" si="19"/>
        <v>10765948</v>
      </c>
      <c r="Q122" s="65">
        <f t="shared" si="17"/>
        <v>20414388</v>
      </c>
    </row>
    <row r="123" spans="1:17" ht="21" customHeight="1" x14ac:dyDescent="0.2">
      <c r="A123" s="599" t="str">
        <f>'(B3) Struktura Funksionale'!A102</f>
        <v>Nënfunksioni 20</v>
      </c>
      <c r="B123" s="599" t="str">
        <f>'(B3) Struktura Funksionale'!B102</f>
        <v>082</v>
      </c>
      <c r="C123" s="250" t="str">
        <f>'(B3) Struktura Funksionale'!C102</f>
        <v>Shërbimet kulturore</v>
      </c>
      <c r="D123" s="663"/>
      <c r="E123" s="953"/>
      <c r="F123" s="953"/>
      <c r="G123" s="953"/>
      <c r="H123" s="663"/>
      <c r="I123" s="663"/>
      <c r="J123" s="663"/>
      <c r="K123" s="663"/>
      <c r="L123" s="663"/>
      <c r="M123" s="663"/>
      <c r="N123" s="663"/>
      <c r="O123" s="664"/>
      <c r="P123" s="242">
        <f t="shared" si="19"/>
        <v>0</v>
      </c>
      <c r="Q123" s="243">
        <f t="shared" si="17"/>
        <v>0</v>
      </c>
    </row>
    <row r="124" spans="1:17" x14ac:dyDescent="0.2">
      <c r="A124" s="188" t="str">
        <f>'(B3) Struktura Funksionale'!A103</f>
        <v>Programi 20a</v>
      </c>
      <c r="B124" s="584" t="str">
        <f>'(B3) Struktura Funksionale'!B103</f>
        <v>08220</v>
      </c>
      <c r="C124" s="188" t="str">
        <f>'(B3) Struktura Funksionale'!C103</f>
        <v>Trashëgimia kulturore, eventet artistike dhe kulturore</v>
      </c>
      <c r="D124" s="951">
        <f t="shared" ref="D124:D179" si="20">+E124-F124-G124</f>
        <v>761183</v>
      </c>
      <c r="E124" s="660">
        <f>715423+119478+163796+21386</f>
        <v>1020083</v>
      </c>
      <c r="F124" s="660">
        <f>178400+80500</f>
        <v>258900</v>
      </c>
      <c r="G124" s="954"/>
      <c r="H124" s="952">
        <f>+I124-J124-K124</f>
        <v>17369102</v>
      </c>
      <c r="I124" s="659">
        <v>17381102</v>
      </c>
      <c r="J124" s="659">
        <v>12000</v>
      </c>
      <c r="K124" s="671"/>
      <c r="L124" s="657">
        <f>+M124-N124-O124</f>
        <v>35466037</v>
      </c>
      <c r="M124" s="659">
        <f>34798500+1047537</f>
        <v>35846037</v>
      </c>
      <c r="N124" s="659">
        <v>380000</v>
      </c>
      <c r="O124" s="659"/>
      <c r="P124" s="65">
        <f t="shared" si="19"/>
        <v>17369102</v>
      </c>
      <c r="Q124" s="65">
        <f t="shared" si="17"/>
        <v>35466037</v>
      </c>
    </row>
    <row r="125" spans="1:17" hidden="1" x14ac:dyDescent="0.2">
      <c r="A125" s="188" t="str">
        <f>'(B3) Struktura Funksionale'!A104</f>
        <v>Programi 20b</v>
      </c>
      <c r="B125" s="584" t="str">
        <f>'(B3) Struktura Funksionale'!B104</f>
        <v>08230</v>
      </c>
      <c r="C125" s="188" t="str">
        <f>'(B3) Struktura Funksionale'!C104</f>
        <v>Arti dhe kultura</v>
      </c>
      <c r="D125" s="951">
        <f t="shared" si="20"/>
        <v>0</v>
      </c>
      <c r="E125" s="660"/>
      <c r="F125" s="660"/>
      <c r="G125" s="660"/>
      <c r="H125" s="952">
        <f>+I125-J125-K125</f>
        <v>0</v>
      </c>
      <c r="I125" s="660"/>
      <c r="J125" s="660"/>
      <c r="K125" s="660"/>
      <c r="L125" s="657">
        <f>+M125-N125-O125</f>
        <v>0</v>
      </c>
      <c r="M125" s="660"/>
      <c r="N125" s="660"/>
      <c r="O125" s="660"/>
      <c r="P125" s="65">
        <f t="shared" si="19"/>
        <v>0</v>
      </c>
      <c r="Q125" s="65">
        <f t="shared" si="17"/>
        <v>0</v>
      </c>
    </row>
    <row r="126" spans="1:17" hidden="1" x14ac:dyDescent="0.2">
      <c r="A126" s="188" t="str">
        <f>'(B3) Struktura Funksionale'!A105</f>
        <v>Programi 20c</v>
      </c>
      <c r="B126" s="584" t="str">
        <f>'(B3) Struktura Funksionale'!B105</f>
        <v>08280</v>
      </c>
      <c r="C126" s="188" t="str">
        <f>'(B3) Struktura Funksionale'!C105</f>
        <v xml:space="preserve">Muzetë, teatrot dhe eventet kulturore </v>
      </c>
      <c r="D126" s="951">
        <f t="shared" si="20"/>
        <v>0</v>
      </c>
      <c r="E126" s="660"/>
      <c r="F126" s="660"/>
      <c r="G126" s="660"/>
      <c r="H126" s="952">
        <f>+I126-J126-K126</f>
        <v>0</v>
      </c>
      <c r="I126" s="660"/>
      <c r="J126" s="660"/>
      <c r="K126" s="660"/>
      <c r="L126" s="657">
        <f>+M126-N126-O126</f>
        <v>0</v>
      </c>
      <c r="M126" s="660"/>
      <c r="N126" s="660"/>
      <c r="O126" s="660"/>
      <c r="P126" s="65">
        <f t="shared" si="19"/>
        <v>0</v>
      </c>
      <c r="Q126" s="65">
        <f t="shared" si="17"/>
        <v>0</v>
      </c>
    </row>
    <row r="127" spans="1:17" x14ac:dyDescent="0.2">
      <c r="A127" s="188" t="str">
        <f>'(B3) Struktura Funksionale'!A106</f>
        <v>Programi 20d</v>
      </c>
      <c r="B127" s="584">
        <f>'(B3) Struktura Funksionale'!B106</f>
        <v>0</v>
      </c>
      <c r="C127" s="188">
        <f>'(B3) Struktura Funksionale'!C106</f>
        <v>0</v>
      </c>
      <c r="D127" s="951">
        <f t="shared" si="20"/>
        <v>0</v>
      </c>
      <c r="E127" s="660"/>
      <c r="F127" s="660"/>
      <c r="G127" s="660"/>
      <c r="H127" s="952">
        <f>+I127-J127-K127</f>
        <v>0</v>
      </c>
      <c r="I127" s="660"/>
      <c r="J127" s="660"/>
      <c r="K127" s="660"/>
      <c r="L127" s="657">
        <f>+M127-N127-O127</f>
        <v>0</v>
      </c>
      <c r="M127" s="660"/>
      <c r="N127" s="660"/>
      <c r="O127" s="660"/>
    </row>
    <row r="128" spans="1:17" ht="13.5" thickBot="1" x14ac:dyDescent="0.25">
      <c r="A128" s="20"/>
      <c r="B128" s="254"/>
      <c r="C128" s="192"/>
      <c r="D128" s="657">
        <f t="shared" si="20"/>
        <v>761183</v>
      </c>
      <c r="E128" s="657">
        <f>SUM(E124:E127)</f>
        <v>1020083</v>
      </c>
      <c r="F128" s="657">
        <f>SUM(F124:F127)</f>
        <v>258900</v>
      </c>
      <c r="G128" s="657">
        <f>SUM(G124:G127)</f>
        <v>0</v>
      </c>
      <c r="H128" s="657">
        <f>+I128-J128-K128</f>
        <v>17369102</v>
      </c>
      <c r="I128" s="657">
        <f>SUM(I124:I127)</f>
        <v>17381102</v>
      </c>
      <c r="J128" s="657">
        <f>SUM(J124:J127)</f>
        <v>12000</v>
      </c>
      <c r="K128" s="657">
        <f>SUM(K124:K127)</f>
        <v>0</v>
      </c>
      <c r="L128" s="657">
        <f>+M128-N128-O128</f>
        <v>35466037</v>
      </c>
      <c r="M128" s="657">
        <f>SUM(M124:M127)</f>
        <v>35846037</v>
      </c>
      <c r="N128" s="657">
        <f>SUM(N124:N127)</f>
        <v>380000</v>
      </c>
      <c r="O128" s="657">
        <f>SUM(O124:O127)</f>
        <v>0</v>
      </c>
    </row>
    <row r="129" spans="1:17" s="228" customFormat="1" ht="19.5" thickBot="1" x14ac:dyDescent="0.35">
      <c r="A129" s="603" t="str">
        <f>'(B3) Struktura Funksionale'!A107</f>
        <v>09 Arsimi</v>
      </c>
      <c r="B129" s="323"/>
      <c r="C129" s="323"/>
      <c r="D129" s="667"/>
      <c r="E129" s="667"/>
      <c r="F129" s="667"/>
      <c r="G129" s="667"/>
      <c r="H129" s="667"/>
      <c r="I129" s="667"/>
      <c r="J129" s="667"/>
      <c r="K129" s="667"/>
      <c r="L129" s="667"/>
      <c r="M129" s="667"/>
      <c r="N129" s="667"/>
      <c r="O129" s="668"/>
    </row>
    <row r="130" spans="1:17" ht="22.5" customHeight="1" x14ac:dyDescent="0.2">
      <c r="A130" s="599" t="str">
        <f>'(B3) Struktura Funksionale'!A108</f>
        <v>Nënfunksioni 21</v>
      </c>
      <c r="B130" s="599" t="str">
        <f>'(B3) Struktura Funksionale'!B108</f>
        <v>091</v>
      </c>
      <c r="C130" s="250" t="str">
        <f>'(B3) Struktura Funksionale'!C108</f>
        <v>Arsimi bazë dhe parashkollor</v>
      </c>
      <c r="D130" s="663"/>
      <c r="E130" s="663"/>
      <c r="F130" s="663"/>
      <c r="G130" s="663"/>
      <c r="H130" s="663"/>
      <c r="I130" s="663"/>
      <c r="J130" s="663"/>
      <c r="K130" s="663"/>
      <c r="L130" s="663"/>
      <c r="M130" s="663"/>
      <c r="N130" s="663"/>
      <c r="O130" s="664"/>
      <c r="P130" s="242"/>
      <c r="Q130" s="243"/>
    </row>
    <row r="131" spans="1:17" x14ac:dyDescent="0.2">
      <c r="A131" s="188" t="str">
        <f>'(B3) Struktura Funksionale'!A109</f>
        <v>Programi 21a</v>
      </c>
      <c r="B131" s="584" t="str">
        <f>'(B3) Struktura Funksionale'!B109</f>
        <v>09120</v>
      </c>
      <c r="C131" s="188" t="str">
        <f>'(B3) Struktura Funksionale'!C109</f>
        <v>Arsimi bazë përfshirë arsimin parashkollor.</v>
      </c>
      <c r="D131" s="657">
        <f t="shared" si="20"/>
        <v>37753972</v>
      </c>
      <c r="E131" s="660">
        <f>115189495+17259135+4013748+210763+6178097+2722717+15623634+813600</f>
        <v>162011189</v>
      </c>
      <c r="F131" s="660">
        <v>663300</v>
      </c>
      <c r="G131" s="660">
        <f>123593917</f>
        <v>123593917</v>
      </c>
      <c r="H131" s="657">
        <f>+I131-J131-K131</f>
        <v>35764463</v>
      </c>
      <c r="I131" s="659">
        <f>106153525+17524445+1161140+304120+19768843+3233742+6749528+1485000+15326592+93116</f>
        <v>171800051</v>
      </c>
      <c r="J131" s="659">
        <f>1090480+595945</f>
        <v>1686425</v>
      </c>
      <c r="K131" s="659">
        <f>113821353+19062281+1161409+304120</f>
        <v>134349163</v>
      </c>
      <c r="L131" s="657">
        <f>+M131-N131-O131</f>
        <v>74356627</v>
      </c>
      <c r="M131" s="659">
        <f>125724000+42268000+35340000+1500000+2793399+9205662</f>
        <v>216831061</v>
      </c>
      <c r="N131" s="659">
        <v>5544000</v>
      </c>
      <c r="O131" s="659">
        <f>125724000+11206434</f>
        <v>136930434</v>
      </c>
      <c r="P131" s="65">
        <f>I131-J131-K131</f>
        <v>35764463</v>
      </c>
      <c r="Q131" s="65">
        <f t="shared" si="17"/>
        <v>74356627</v>
      </c>
    </row>
    <row r="132" spans="1:17" hidden="1" x14ac:dyDescent="0.2">
      <c r="A132" s="188" t="str">
        <f>'(B3) Struktura Funksionale'!A110</f>
        <v>Programi 21b</v>
      </c>
      <c r="B132" s="584" t="str">
        <f>'(B3) Struktura Funksionale'!B110</f>
        <v>09122</v>
      </c>
      <c r="C132" s="188" t="str">
        <f>'(B3) Struktura Funksionale'!C110</f>
        <v>Mësuesit e kopshteve dhe pagat e stafit mbështetës</v>
      </c>
      <c r="D132" s="657">
        <f t="shared" si="20"/>
        <v>0</v>
      </c>
      <c r="E132" s="660"/>
      <c r="F132" s="660"/>
      <c r="G132" s="660"/>
      <c r="H132" s="657">
        <f>+I132-J132-K132</f>
        <v>0</v>
      </c>
      <c r="I132" s="660"/>
      <c r="J132" s="660"/>
      <c r="K132" s="660"/>
      <c r="L132" s="657">
        <f>+M132-N132-O132</f>
        <v>0</v>
      </c>
      <c r="M132" s="660"/>
      <c r="N132" s="660"/>
      <c r="O132" s="660"/>
      <c r="P132" s="65">
        <f>I132-J132-K132</f>
        <v>0</v>
      </c>
      <c r="Q132" s="65">
        <f t="shared" si="17"/>
        <v>0</v>
      </c>
    </row>
    <row r="133" spans="1:17" hidden="1" x14ac:dyDescent="0.2">
      <c r="A133" s="188" t="str">
        <f>'(B3) Struktura Funksionale'!A111</f>
        <v>Programi 21c</v>
      </c>
      <c r="B133" s="584" t="str">
        <f>'(B3) Struktura Funksionale'!B111</f>
        <v>09123</v>
      </c>
      <c r="C133" s="188" t="str">
        <f>'(B3) Struktura Funksionale'!C111</f>
        <v>Ushqimi i kopshteve</v>
      </c>
      <c r="D133" s="657">
        <f t="shared" si="20"/>
        <v>0</v>
      </c>
      <c r="E133" s="660"/>
      <c r="F133" s="660"/>
      <c r="G133" s="660"/>
      <c r="H133" s="657">
        <f>+I133-J133-K133</f>
        <v>0</v>
      </c>
      <c r="I133" s="660"/>
      <c r="J133" s="660"/>
      <c r="K133" s="660"/>
      <c r="L133" s="657">
        <f>+M133-N133-O133</f>
        <v>0</v>
      </c>
      <c r="M133" s="660"/>
      <c r="N133" s="660"/>
      <c r="O133" s="660"/>
      <c r="P133" s="65">
        <f>I133-J133-K133</f>
        <v>0</v>
      </c>
      <c r="Q133" s="65">
        <f t="shared" si="17"/>
        <v>0</v>
      </c>
    </row>
    <row r="134" spans="1:17" x14ac:dyDescent="0.2">
      <c r="A134" s="188" t="str">
        <f>'(B3) Struktura Funksionale'!A112</f>
        <v>Programi 21d</v>
      </c>
      <c r="B134" s="584">
        <f>'(B3) Struktura Funksionale'!B112</f>
        <v>0</v>
      </c>
      <c r="C134" s="188">
        <f>'(B3) Struktura Funksionale'!C112</f>
        <v>0</v>
      </c>
      <c r="D134" s="657">
        <f t="shared" si="20"/>
        <v>0</v>
      </c>
      <c r="E134" s="660"/>
      <c r="F134" s="660"/>
      <c r="G134" s="660"/>
      <c r="H134" s="657">
        <f>+I134-J134-K134</f>
        <v>0</v>
      </c>
      <c r="I134" s="660"/>
      <c r="J134" s="660"/>
      <c r="K134" s="660"/>
      <c r="L134" s="657">
        <f>+M134-N134-O134</f>
        <v>0</v>
      </c>
      <c r="M134" s="660"/>
      <c r="N134" s="660"/>
      <c r="O134" s="660"/>
    </row>
    <row r="135" spans="1:17" x14ac:dyDescent="0.2">
      <c r="A135" s="20"/>
      <c r="B135" s="254"/>
      <c r="C135" s="192"/>
      <c r="D135" s="657">
        <f t="shared" si="20"/>
        <v>37753972</v>
      </c>
      <c r="E135" s="657">
        <f>SUM(E131:E134)</f>
        <v>162011189</v>
      </c>
      <c r="F135" s="657">
        <f t="shared" ref="F135:O135" si="21">SUM(F131:F134)</f>
        <v>663300</v>
      </c>
      <c r="G135" s="657">
        <f t="shared" si="21"/>
        <v>123593917</v>
      </c>
      <c r="H135" s="657">
        <f>+I135-J135-K135</f>
        <v>35764463</v>
      </c>
      <c r="I135" s="657">
        <f t="shared" si="21"/>
        <v>171800051</v>
      </c>
      <c r="J135" s="657">
        <f t="shared" si="21"/>
        <v>1686425</v>
      </c>
      <c r="K135" s="657">
        <f t="shared" si="21"/>
        <v>134349163</v>
      </c>
      <c r="L135" s="657">
        <f>+M135-N135-O135</f>
        <v>74356627</v>
      </c>
      <c r="M135" s="657">
        <f t="shared" si="21"/>
        <v>216831061</v>
      </c>
      <c r="N135" s="657">
        <f t="shared" si="21"/>
        <v>5544000</v>
      </c>
      <c r="O135" s="657">
        <f t="shared" si="21"/>
        <v>136930434</v>
      </c>
      <c r="P135" s="65">
        <f>I135-J135-K135</f>
        <v>35764463</v>
      </c>
      <c r="Q135" s="65">
        <f t="shared" si="17"/>
        <v>74356627</v>
      </c>
    </row>
    <row r="136" spans="1:17" ht="24" customHeight="1" x14ac:dyDescent="0.2">
      <c r="A136" s="599" t="str">
        <f>'(B3) Struktura Funksionale'!A113</f>
        <v>Nënfunksioni 22</v>
      </c>
      <c r="B136" s="599" t="str">
        <f>'(B3) Struktura Funksionale'!B113</f>
        <v>092</v>
      </c>
      <c r="C136" s="250" t="str">
        <f>'(B3) Struktura Funksionale'!C113</f>
        <v>Arsimi parauniversitar</v>
      </c>
      <c r="D136" s="663"/>
      <c r="E136" s="663"/>
      <c r="F136" s="663"/>
      <c r="G136" s="663"/>
      <c r="H136" s="663"/>
      <c r="I136" s="663"/>
      <c r="J136" s="663"/>
      <c r="K136" s="663"/>
      <c r="L136" s="663"/>
      <c r="M136" s="663"/>
      <c r="N136" s="663"/>
      <c r="O136" s="664"/>
      <c r="P136" s="242">
        <f>I136-J136-K136</f>
        <v>0</v>
      </c>
      <c r="Q136" s="243">
        <f t="shared" si="17"/>
        <v>0</v>
      </c>
    </row>
    <row r="137" spans="1:17" x14ac:dyDescent="0.2">
      <c r="A137" s="188" t="str">
        <f>'(B3) Struktura Funksionale'!A114</f>
        <v>Programi 22a</v>
      </c>
      <c r="B137" s="584" t="str">
        <f>'(B3) Struktura Funksionale'!B114</f>
        <v>09230</v>
      </c>
      <c r="C137" s="188" t="str">
        <f>'(B3) Struktura Funksionale'!C114</f>
        <v>Arsimi i mesëm i përgjithshëm</v>
      </c>
      <c r="D137" s="657">
        <f t="shared" si="20"/>
        <v>18720794</v>
      </c>
      <c r="E137" s="659">
        <f>6828991+13930487+6687885+1111476</f>
        <v>28558839</v>
      </c>
      <c r="F137" s="659"/>
      <c r="G137" s="702">
        <v>9838045</v>
      </c>
      <c r="H137" s="657">
        <f>+I137-J137-K149</f>
        <v>41191090</v>
      </c>
      <c r="I137" s="660">
        <f>6358875+1061938+21127657+12642620</f>
        <v>41191090</v>
      </c>
      <c r="J137" s="659"/>
      <c r="K137" s="660">
        <f>10536439</f>
        <v>10536439</v>
      </c>
      <c r="L137" s="657">
        <f>+M137-N137-O137</f>
        <v>13744569</v>
      </c>
      <c r="M137" s="659">
        <f>9548000+1628943+9000000+3115626</f>
        <v>23292569</v>
      </c>
      <c r="N137" s="659"/>
      <c r="O137" s="659">
        <v>9548000</v>
      </c>
      <c r="P137" s="65">
        <f>I137-J137-K149</f>
        <v>41191090</v>
      </c>
      <c r="Q137" s="65">
        <f t="shared" si="17"/>
        <v>13744569</v>
      </c>
    </row>
    <row r="138" spans="1:17" hidden="1" x14ac:dyDescent="0.2">
      <c r="A138" s="188" t="str">
        <f>'(B3) Struktura Funksionale'!A115</f>
        <v>Programi 22b</v>
      </c>
      <c r="B138" s="584" t="str">
        <f>'(B3) Struktura Funksionale'!B115</f>
        <v>09232</v>
      </c>
      <c r="C138" s="188" t="str">
        <f>'(B3) Struktura Funksionale'!C115</f>
        <v>Pagat e stafit mbështetës</v>
      </c>
      <c r="D138" s="657">
        <f t="shared" si="20"/>
        <v>0</v>
      </c>
      <c r="E138" s="660"/>
      <c r="F138" s="660"/>
      <c r="G138" s="660"/>
      <c r="H138" s="657">
        <f>+I138-J138-K138</f>
        <v>0</v>
      </c>
      <c r="I138" s="660"/>
      <c r="J138" s="660"/>
      <c r="K138" s="660"/>
      <c r="L138" s="657">
        <f>+M138-N138-O138</f>
        <v>0</v>
      </c>
      <c r="M138" s="660"/>
      <c r="N138" s="660"/>
      <c r="O138" s="660"/>
      <c r="P138" s="65">
        <f>I138-J138-K138</f>
        <v>0</v>
      </c>
      <c r="Q138" s="65">
        <f t="shared" si="17"/>
        <v>0</v>
      </c>
    </row>
    <row r="139" spans="1:17" x14ac:dyDescent="0.2">
      <c r="A139" s="188" t="str">
        <f>'(B3) Struktura Funksionale'!A116</f>
        <v>Programi 22c</v>
      </c>
      <c r="B139" s="584" t="str">
        <f>'(B3) Struktura Funksionale'!B116</f>
        <v>09240</v>
      </c>
      <c r="C139" s="188" t="str">
        <f>'(B3) Struktura Funksionale'!C116</f>
        <v>Arsimi profesional</v>
      </c>
      <c r="D139" s="657">
        <f t="shared" si="20"/>
        <v>0</v>
      </c>
      <c r="E139" s="660"/>
      <c r="F139" s="660"/>
      <c r="G139" s="660"/>
      <c r="H139" s="657">
        <f>+I139-J139-K139</f>
        <v>0</v>
      </c>
      <c r="I139" s="660"/>
      <c r="J139" s="660"/>
      <c r="K139" s="660"/>
      <c r="L139" s="657">
        <f>+M139-N139-O139</f>
        <v>0</v>
      </c>
      <c r="M139" s="660"/>
      <c r="N139" s="660"/>
      <c r="O139" s="660"/>
      <c r="P139" s="65">
        <f>I139-J139-K139</f>
        <v>0</v>
      </c>
      <c r="Q139" s="65">
        <f t="shared" si="17"/>
        <v>0</v>
      </c>
    </row>
    <row r="140" spans="1:17" x14ac:dyDescent="0.2">
      <c r="A140" s="188" t="str">
        <f>'(B3) Struktura Funksionale'!A117</f>
        <v>Programi 22d</v>
      </c>
      <c r="B140" s="584">
        <f>'(B3) Struktura Funksionale'!B117</f>
        <v>0</v>
      </c>
      <c r="C140" s="188">
        <f>'(B3) Struktura Funksionale'!C117</f>
        <v>0</v>
      </c>
      <c r="D140" s="657">
        <f t="shared" si="20"/>
        <v>0</v>
      </c>
      <c r="E140" s="660"/>
      <c r="F140" s="660"/>
      <c r="G140" s="660"/>
      <c r="H140" s="657">
        <f>+I140-J140-K140</f>
        <v>0</v>
      </c>
      <c r="I140" s="660"/>
      <c r="J140" s="660"/>
      <c r="K140" s="660"/>
      <c r="L140" s="657">
        <f>+M140-N140-O140</f>
        <v>0</v>
      </c>
      <c r="M140" s="660"/>
      <c r="N140" s="660"/>
      <c r="O140" s="660"/>
    </row>
    <row r="141" spans="1:17" ht="13.5" thickBot="1" x14ac:dyDescent="0.25">
      <c r="A141" s="20"/>
      <c r="B141" s="256"/>
      <c r="C141" s="21"/>
      <c r="D141" s="669">
        <f t="shared" si="20"/>
        <v>18720794</v>
      </c>
      <c r="E141" s="669">
        <f>SUM(E137:E140)</f>
        <v>28558839</v>
      </c>
      <c r="F141" s="669">
        <f t="shared" ref="F141:O141" si="22">SUM(F137:F140)</f>
        <v>0</v>
      </c>
      <c r="G141" s="669">
        <f t="shared" si="22"/>
        <v>9838045</v>
      </c>
      <c r="H141" s="669">
        <f>+I141-J141-K141</f>
        <v>30654651</v>
      </c>
      <c r="I141" s="669">
        <f t="shared" si="22"/>
        <v>41191090</v>
      </c>
      <c r="J141" s="669">
        <f t="shared" si="22"/>
        <v>0</v>
      </c>
      <c r="K141" s="669">
        <f t="shared" si="22"/>
        <v>10536439</v>
      </c>
      <c r="L141" s="669">
        <f>+M141-N141-O141</f>
        <v>13744569</v>
      </c>
      <c r="M141" s="669">
        <f t="shared" si="22"/>
        <v>23292569</v>
      </c>
      <c r="N141" s="669">
        <f t="shared" si="22"/>
        <v>0</v>
      </c>
      <c r="O141" s="669">
        <f t="shared" si="22"/>
        <v>9548000</v>
      </c>
      <c r="P141" s="65">
        <f t="shared" ref="P141:P177" si="23">I141-J141-K141</f>
        <v>30654651</v>
      </c>
      <c r="Q141" s="65">
        <f t="shared" si="17"/>
        <v>13744569</v>
      </c>
    </row>
    <row r="142" spans="1:17" ht="24.75" hidden="1" customHeight="1" x14ac:dyDescent="0.2">
      <c r="A142" s="599" t="e">
        <f>'(B3) Struktura Funksionale'!A118</f>
        <v>#REF!</v>
      </c>
      <c r="B142" s="599" t="str">
        <f>'(B3) Struktura Funksionale'!B118</f>
        <v>096</v>
      </c>
      <c r="C142" s="250" t="str">
        <f>'(B3) Struktura Funksionale'!C118</f>
        <v>Shërbimet plotësuese në arsim</v>
      </c>
      <c r="D142" s="672"/>
      <c r="E142" s="672"/>
      <c r="F142" s="672"/>
      <c r="G142" s="672"/>
      <c r="H142" s="672"/>
      <c r="I142" s="672"/>
      <c r="J142" s="672"/>
      <c r="K142" s="672"/>
      <c r="L142" s="672"/>
      <c r="M142" s="672"/>
      <c r="N142" s="672"/>
      <c r="O142" s="673"/>
      <c r="P142" s="249">
        <f t="shared" si="23"/>
        <v>0</v>
      </c>
      <c r="Q142" s="249">
        <f>M142-N142-O142</f>
        <v>0</v>
      </c>
    </row>
    <row r="143" spans="1:17" ht="13.5" hidden="1" thickBot="1" x14ac:dyDescent="0.25">
      <c r="A143" s="188" t="str">
        <f>'(B3) Struktura Funksionale'!A119</f>
        <v>Programi 23a</v>
      </c>
      <c r="B143" s="584" t="str">
        <f>'(B3) Struktura Funksionale'!B119</f>
        <v>09660</v>
      </c>
      <c r="C143" s="188" t="str">
        <f>'(B3) Struktura Funksionale'!C119</f>
        <v xml:space="preserve">Programe arsimore për trajnimin e mësuesve dhe edukatorëve </v>
      </c>
      <c r="D143" s="657">
        <f t="shared" si="20"/>
        <v>0</v>
      </c>
      <c r="E143" s="660"/>
      <c r="F143" s="660"/>
      <c r="G143" s="660"/>
      <c r="H143" s="657">
        <f>+I143-J143-K143</f>
        <v>0</v>
      </c>
      <c r="I143" s="660"/>
      <c r="J143" s="660"/>
      <c r="K143" s="660"/>
      <c r="L143" s="657">
        <f>+M143-N143-O143</f>
        <v>0</v>
      </c>
      <c r="M143" s="660"/>
      <c r="N143" s="660"/>
      <c r="O143" s="660"/>
      <c r="P143" s="65">
        <f t="shared" si="23"/>
        <v>0</v>
      </c>
      <c r="Q143" s="65">
        <f>M143-N143-O143</f>
        <v>0</v>
      </c>
    </row>
    <row r="144" spans="1:17" ht="13.5" hidden="1" thickBot="1" x14ac:dyDescent="0.25">
      <c r="A144" s="188" t="str">
        <f>'(B3) Struktura Funksionale'!A120</f>
        <v>Programi 23b</v>
      </c>
      <c r="B144" s="584">
        <f>'(B3) Struktura Funksionale'!B120</f>
        <v>0</v>
      </c>
      <c r="C144" s="188">
        <f>'(B3) Struktura Funksionale'!C120</f>
        <v>0</v>
      </c>
      <c r="D144" s="657">
        <f t="shared" si="20"/>
        <v>0</v>
      </c>
      <c r="E144" s="660"/>
      <c r="F144" s="660"/>
      <c r="G144" s="660"/>
      <c r="H144" s="657">
        <f>+I144-J144-K144</f>
        <v>0</v>
      </c>
      <c r="I144" s="660"/>
      <c r="J144" s="660"/>
      <c r="K144" s="660"/>
      <c r="L144" s="657">
        <f>+M144-N144-O144</f>
        <v>0</v>
      </c>
      <c r="M144" s="660"/>
      <c r="N144" s="660"/>
      <c r="O144" s="660"/>
      <c r="P144" s="65">
        <f t="shared" si="23"/>
        <v>0</v>
      </c>
      <c r="Q144" s="65">
        <f>M144-N144-O144</f>
        <v>0</v>
      </c>
    </row>
    <row r="145" spans="1:17" ht="13.5" hidden="1" thickBot="1" x14ac:dyDescent="0.25">
      <c r="A145" s="188" t="str">
        <f>'(B3) Struktura Funksionale'!A121</f>
        <v>Programi 23c</v>
      </c>
      <c r="B145" s="584">
        <f>'(B3) Struktura Funksionale'!B121</f>
        <v>0</v>
      </c>
      <c r="C145" s="188">
        <f>'(B3) Struktura Funksionale'!C121</f>
        <v>0</v>
      </c>
      <c r="D145" s="657">
        <f t="shared" si="20"/>
        <v>0</v>
      </c>
      <c r="E145" s="660"/>
      <c r="F145" s="660"/>
      <c r="G145" s="660"/>
      <c r="H145" s="657">
        <f>+I145-J145-K145</f>
        <v>0</v>
      </c>
      <c r="I145" s="660"/>
      <c r="J145" s="660"/>
      <c r="K145" s="660"/>
      <c r="L145" s="657">
        <f>+M145-N145-O145</f>
        <v>0</v>
      </c>
      <c r="M145" s="660"/>
      <c r="N145" s="660"/>
      <c r="O145" s="660"/>
      <c r="P145" s="65">
        <f t="shared" si="23"/>
        <v>0</v>
      </c>
      <c r="Q145" s="65">
        <f>M145-N145-O145</f>
        <v>0</v>
      </c>
    </row>
    <row r="146" spans="1:17" ht="13.5" hidden="1" thickBot="1" x14ac:dyDescent="0.25">
      <c r="A146" s="20"/>
      <c r="B146" s="254"/>
      <c r="C146" s="192"/>
      <c r="D146" s="657">
        <f t="shared" si="20"/>
        <v>0</v>
      </c>
      <c r="E146" s="657">
        <f>SUM(E143:E145)</f>
        <v>0</v>
      </c>
      <c r="F146" s="657">
        <f>SUM(F143:F145)</f>
        <v>0</v>
      </c>
      <c r="G146" s="657">
        <f>SUM(G143:G145)</f>
        <v>0</v>
      </c>
      <c r="H146" s="657">
        <f>+I146-J146-K146</f>
        <v>0</v>
      </c>
      <c r="I146" s="657">
        <f>SUM(I143:I145)</f>
        <v>0</v>
      </c>
      <c r="J146" s="657">
        <f>SUM(J143:J145)</f>
        <v>0</v>
      </c>
      <c r="K146" s="657">
        <f>SUM(K143:K145)</f>
        <v>0</v>
      </c>
      <c r="L146" s="657">
        <f>+M146-N146-O146</f>
        <v>0</v>
      </c>
      <c r="M146" s="657">
        <f>SUM(M143:M145)</f>
        <v>0</v>
      </c>
      <c r="N146" s="657">
        <f>SUM(N143:N145)</f>
        <v>0</v>
      </c>
      <c r="O146" s="657">
        <f>SUM(O143:O145)</f>
        <v>0</v>
      </c>
      <c r="P146" s="65">
        <f t="shared" si="23"/>
        <v>0</v>
      </c>
      <c r="Q146" s="65">
        <f t="shared" ref="Q146:Q151" si="24">M146-N146-O146</f>
        <v>0</v>
      </c>
    </row>
    <row r="147" spans="1:17" s="228" customFormat="1" ht="19.5" thickBot="1" x14ac:dyDescent="0.35">
      <c r="A147" s="603" t="str">
        <f>'(B3) Struktura Funksionale'!A122</f>
        <v>10 Mbrojtja Sociale</v>
      </c>
      <c r="B147" s="323"/>
      <c r="C147" s="323"/>
      <c r="D147" s="667"/>
      <c r="E147" s="667"/>
      <c r="F147" s="667"/>
      <c r="G147" s="667"/>
      <c r="H147" s="667"/>
      <c r="I147" s="667"/>
      <c r="J147" s="667"/>
      <c r="K147" s="667"/>
      <c r="L147" s="667"/>
      <c r="M147" s="667"/>
      <c r="N147" s="667"/>
      <c r="O147" s="668"/>
    </row>
    <row r="148" spans="1:17" ht="24" customHeight="1" x14ac:dyDescent="0.2">
      <c r="A148" s="599" t="str">
        <f>'(B3) Struktura Funksionale'!A123</f>
        <v>Nënfunksioni 23</v>
      </c>
      <c r="B148" s="599" t="str">
        <f>'(B3) Struktura Funksionale'!B123</f>
        <v>101</v>
      </c>
      <c r="C148" s="250" t="str">
        <f>'(B3) Struktura Funksionale'!C123</f>
        <v>Sëmundje dhe paaftësi</v>
      </c>
      <c r="D148" s="663"/>
      <c r="E148" s="663"/>
      <c r="F148" s="663"/>
      <c r="G148" s="663"/>
      <c r="H148" s="663"/>
      <c r="I148" s="663"/>
      <c r="J148" s="663"/>
      <c r="K148" s="663"/>
      <c r="L148" s="663"/>
      <c r="M148" s="663"/>
      <c r="N148" s="663"/>
      <c r="O148" s="664"/>
      <c r="P148" s="242">
        <f t="shared" si="23"/>
        <v>0</v>
      </c>
      <c r="Q148" s="243">
        <f t="shared" si="24"/>
        <v>0</v>
      </c>
    </row>
    <row r="149" spans="1:17" x14ac:dyDescent="0.2">
      <c r="A149" s="188" t="str">
        <f>'(B3) Struktura Funksionale'!A124</f>
        <v>Programi 24a</v>
      </c>
      <c r="B149" s="584" t="str">
        <f>'(B3) Struktura Funksionale'!B124</f>
        <v>10140</v>
      </c>
      <c r="C149" s="188" t="str">
        <f>'(B3) Struktura Funksionale'!C124</f>
        <v>Kujdesi social për personat e sëmurë dhe me aftësi të kufizuara</v>
      </c>
      <c r="D149" s="657">
        <f t="shared" si="20"/>
        <v>0</v>
      </c>
      <c r="E149" s="659"/>
      <c r="F149" s="659"/>
      <c r="G149" s="659"/>
      <c r="H149" s="657">
        <f>+I149-J149-K149</f>
        <v>0</v>
      </c>
      <c r="I149" s="659"/>
      <c r="J149" s="659"/>
      <c r="K149" s="659"/>
      <c r="L149" s="657">
        <f>+M149-N149-O149</f>
        <v>0</v>
      </c>
      <c r="M149" s="659"/>
      <c r="N149" s="659"/>
      <c r="O149" s="659"/>
      <c r="P149" s="65" t="e">
        <f>I149-J149-#REF!</f>
        <v>#REF!</v>
      </c>
      <c r="Q149" s="65">
        <f t="shared" si="24"/>
        <v>0</v>
      </c>
    </row>
    <row r="150" spans="1:17" x14ac:dyDescent="0.2">
      <c r="A150" s="188" t="str">
        <f>'(B3) Struktura Funksionale'!A125</f>
        <v>Programi 24b</v>
      </c>
      <c r="B150" s="584">
        <f>'(B3) Struktura Funksionale'!B125</f>
        <v>0</v>
      </c>
      <c r="C150" s="188">
        <f>'(B3) Struktura Funksionale'!C125</f>
        <v>0</v>
      </c>
      <c r="D150" s="657">
        <f t="shared" si="20"/>
        <v>0</v>
      </c>
      <c r="E150" s="660"/>
      <c r="F150" s="660"/>
      <c r="G150" s="660"/>
      <c r="H150" s="657">
        <f>+I150-J150-K150</f>
        <v>0</v>
      </c>
      <c r="I150" s="660"/>
      <c r="J150" s="660"/>
      <c r="K150" s="660"/>
      <c r="L150" s="657">
        <f>+M150-N150-O150</f>
        <v>0</v>
      </c>
      <c r="M150" s="660"/>
      <c r="N150" s="660"/>
      <c r="O150" s="660"/>
      <c r="P150" s="65">
        <f t="shared" si="23"/>
        <v>0</v>
      </c>
      <c r="Q150" s="65">
        <f t="shared" si="24"/>
        <v>0</v>
      </c>
    </row>
    <row r="151" spans="1:17" x14ac:dyDescent="0.2">
      <c r="A151" s="188" t="str">
        <f>'(B3) Struktura Funksionale'!A126</f>
        <v>Programi 24c</v>
      </c>
      <c r="B151" s="584">
        <f>'(B3) Struktura Funksionale'!B126</f>
        <v>0</v>
      </c>
      <c r="C151" s="188">
        <f>'(B3) Struktura Funksionale'!C126</f>
        <v>0</v>
      </c>
      <c r="D151" s="657">
        <f t="shared" si="20"/>
        <v>0</v>
      </c>
      <c r="E151" s="660"/>
      <c r="F151" s="660"/>
      <c r="G151" s="660"/>
      <c r="H151" s="657">
        <f>+I151-J151-K151</f>
        <v>0</v>
      </c>
      <c r="I151" s="660"/>
      <c r="J151" s="660"/>
      <c r="K151" s="660"/>
      <c r="L151" s="657">
        <f>+M151-N151-O151</f>
        <v>0</v>
      </c>
      <c r="M151" s="660"/>
      <c r="N151" s="660"/>
      <c r="O151" s="660"/>
      <c r="P151" s="65">
        <f t="shared" si="23"/>
        <v>0</v>
      </c>
      <c r="Q151" s="65">
        <f t="shared" si="24"/>
        <v>0</v>
      </c>
    </row>
    <row r="152" spans="1:17" x14ac:dyDescent="0.2">
      <c r="A152" s="20"/>
      <c r="B152" s="254"/>
      <c r="C152" s="192"/>
      <c r="D152" s="657">
        <f t="shared" si="20"/>
        <v>0</v>
      </c>
      <c r="E152" s="657">
        <f>SUM(E149:E151)</f>
        <v>0</v>
      </c>
      <c r="F152" s="657">
        <f>SUM(F149:F151)</f>
        <v>0</v>
      </c>
      <c r="G152" s="657">
        <f>SUM(G149:G151)</f>
        <v>0</v>
      </c>
      <c r="H152" s="657">
        <f>+I152-J152-K152</f>
        <v>0</v>
      </c>
      <c r="I152" s="657">
        <f>SUM(I149:I151)</f>
        <v>0</v>
      </c>
      <c r="J152" s="657">
        <f>SUM(J149:J151)</f>
        <v>0</v>
      </c>
      <c r="K152" s="657">
        <f>SUM(K149:K151)</f>
        <v>0</v>
      </c>
      <c r="L152" s="657">
        <f>+M152-N152-O152</f>
        <v>0</v>
      </c>
      <c r="M152" s="657">
        <f>SUM(M149:M151)</f>
        <v>0</v>
      </c>
      <c r="N152" s="657">
        <f>SUM(N149:N151)</f>
        <v>0</v>
      </c>
      <c r="O152" s="657">
        <f>SUM(O149:O151)</f>
        <v>0</v>
      </c>
      <c r="P152" s="65">
        <f t="shared" si="23"/>
        <v>0</v>
      </c>
      <c r="Q152" s="65">
        <f t="shared" ref="Q152:Q177" si="25">M152-N152-O152</f>
        <v>0</v>
      </c>
    </row>
    <row r="153" spans="1:17" ht="21.75" customHeight="1" x14ac:dyDescent="0.2">
      <c r="A153" s="599" t="str">
        <f>'(B3) Struktura Funksionale'!A127</f>
        <v>Nënfunksioni 24</v>
      </c>
      <c r="B153" s="599" t="str">
        <f>'(B3) Struktura Funksionale'!B127</f>
        <v>102</v>
      </c>
      <c r="C153" s="250" t="str">
        <f>'(B3) Struktura Funksionale'!C127</f>
        <v>Të moshuarit</v>
      </c>
      <c r="D153" s="663"/>
      <c r="E153" s="663"/>
      <c r="F153" s="663"/>
      <c r="G153" s="663"/>
      <c r="H153" s="663"/>
      <c r="I153" s="663"/>
      <c r="J153" s="663"/>
      <c r="K153" s="663"/>
      <c r="L153" s="663"/>
      <c r="M153" s="663"/>
      <c r="N153" s="663"/>
      <c r="O153" s="664"/>
      <c r="P153" s="242">
        <f t="shared" si="23"/>
        <v>0</v>
      </c>
      <c r="Q153" s="243">
        <f t="shared" si="25"/>
        <v>0</v>
      </c>
    </row>
    <row r="154" spans="1:17" x14ac:dyDescent="0.2">
      <c r="A154" s="188" t="str">
        <f>'(B3) Struktura Funksionale'!A128</f>
        <v>Programi 25a</v>
      </c>
      <c r="B154" s="584" t="str">
        <f>'(B3) Struktura Funksionale'!B128</f>
        <v>10220</v>
      </c>
      <c r="C154" s="188" t="str">
        <f>'(B3) Struktura Funksionale'!C128</f>
        <v>Sigurimi shoqëror</v>
      </c>
      <c r="D154" s="657">
        <f t="shared" si="20"/>
        <v>0</v>
      </c>
      <c r="E154" s="659"/>
      <c r="F154" s="659"/>
      <c r="G154" s="659"/>
      <c r="H154" s="657">
        <f>+I154-J154-K154</f>
        <v>0</v>
      </c>
      <c r="I154" s="659"/>
      <c r="J154" s="659"/>
      <c r="K154" s="659"/>
      <c r="L154" s="657">
        <f>+M154-N154-O154</f>
        <v>0</v>
      </c>
      <c r="M154" s="659"/>
      <c r="N154" s="659"/>
      <c r="O154" s="659"/>
      <c r="P154" s="65">
        <f t="shared" si="23"/>
        <v>0</v>
      </c>
      <c r="Q154" s="65">
        <f t="shared" si="25"/>
        <v>0</v>
      </c>
    </row>
    <row r="155" spans="1:17" x14ac:dyDescent="0.2">
      <c r="A155" s="188" t="str">
        <f>'(B3) Struktura Funksionale'!A129</f>
        <v>Programi 25b</v>
      </c>
      <c r="B155" s="584">
        <f>'(B3) Struktura Funksionale'!B129</f>
        <v>0</v>
      </c>
      <c r="C155" s="188">
        <f>'(B3) Struktura Funksionale'!C129</f>
        <v>0</v>
      </c>
      <c r="D155" s="657">
        <f t="shared" si="20"/>
        <v>0</v>
      </c>
      <c r="E155" s="660"/>
      <c r="F155" s="660"/>
      <c r="G155" s="660"/>
      <c r="H155" s="657">
        <f>+I155-J155-K155</f>
        <v>0</v>
      </c>
      <c r="I155" s="660"/>
      <c r="J155" s="660"/>
      <c r="K155" s="660"/>
      <c r="L155" s="657">
        <f>+M155-N155-O155</f>
        <v>0</v>
      </c>
      <c r="M155" s="660"/>
      <c r="N155" s="660"/>
      <c r="O155" s="660"/>
      <c r="P155" s="65">
        <f t="shared" si="23"/>
        <v>0</v>
      </c>
      <c r="Q155" s="65">
        <f t="shared" si="25"/>
        <v>0</v>
      </c>
    </row>
    <row r="156" spans="1:17" x14ac:dyDescent="0.2">
      <c r="A156" s="188" t="str">
        <f>'(B3) Struktura Funksionale'!A130</f>
        <v>Programi 25c</v>
      </c>
      <c r="B156" s="584">
        <f>'(B3) Struktura Funksionale'!B130</f>
        <v>0</v>
      </c>
      <c r="C156" s="188">
        <f>'(B3) Struktura Funksionale'!C130</f>
        <v>0</v>
      </c>
      <c r="D156" s="657">
        <f t="shared" si="20"/>
        <v>0</v>
      </c>
      <c r="E156" s="660"/>
      <c r="F156" s="660"/>
      <c r="G156" s="660"/>
      <c r="H156" s="657">
        <f>+I156-J156-K156</f>
        <v>0</v>
      </c>
      <c r="I156" s="660"/>
      <c r="J156" s="660"/>
      <c r="K156" s="660"/>
      <c r="L156" s="657">
        <f>+M156-N156-O156</f>
        <v>0</v>
      </c>
      <c r="M156" s="660"/>
      <c r="N156" s="660"/>
      <c r="O156" s="660"/>
      <c r="P156" s="65">
        <f t="shared" si="23"/>
        <v>0</v>
      </c>
      <c r="Q156" s="65">
        <f t="shared" si="25"/>
        <v>0</v>
      </c>
    </row>
    <row r="157" spans="1:17" x14ac:dyDescent="0.2">
      <c r="A157" s="20"/>
      <c r="B157" s="254"/>
      <c r="C157" s="192"/>
      <c r="D157" s="657">
        <f t="shared" si="20"/>
        <v>0</v>
      </c>
      <c r="E157" s="657">
        <f>SUM(E154:E156)</f>
        <v>0</v>
      </c>
      <c r="F157" s="657">
        <f>SUM(F154:F156)</f>
        <v>0</v>
      </c>
      <c r="G157" s="657">
        <f>SUM(G154:G156)</f>
        <v>0</v>
      </c>
      <c r="H157" s="657">
        <f>+I157-J157-K157</f>
        <v>0</v>
      </c>
      <c r="I157" s="657">
        <f>SUM(I154:I156)</f>
        <v>0</v>
      </c>
      <c r="J157" s="657">
        <f>SUM(J154:J156)</f>
        <v>0</v>
      </c>
      <c r="K157" s="657">
        <f>SUM(K154:K156)</f>
        <v>0</v>
      </c>
      <c r="L157" s="657">
        <f>+M157-N157-O157</f>
        <v>0</v>
      </c>
      <c r="M157" s="657">
        <f>SUM(M154:M156)</f>
        <v>0</v>
      </c>
      <c r="N157" s="657">
        <f>SUM(N154:N156)</f>
        <v>0</v>
      </c>
      <c r="O157" s="657">
        <f>SUM(O154:O156)</f>
        <v>0</v>
      </c>
      <c r="P157" s="65">
        <f t="shared" si="23"/>
        <v>0</v>
      </c>
      <c r="Q157" s="65">
        <f t="shared" si="25"/>
        <v>0</v>
      </c>
    </row>
    <row r="158" spans="1:17" ht="24" customHeight="1" x14ac:dyDescent="0.2">
      <c r="A158" s="599" t="str">
        <f>'(B3) Struktura Funksionale'!A131</f>
        <v>Nënfunksioni 25</v>
      </c>
      <c r="B158" s="599" t="str">
        <f>'(B3) Struktura Funksionale'!B131</f>
        <v>104</v>
      </c>
      <c r="C158" s="250" t="str">
        <f>'(B3) Struktura Funksionale'!C131</f>
        <v>Familja dhe fëmijët</v>
      </c>
      <c r="D158" s="663"/>
      <c r="E158" s="663"/>
      <c r="F158" s="663"/>
      <c r="G158" s="663"/>
      <c r="H158" s="663"/>
      <c r="I158" s="663"/>
      <c r="J158" s="663"/>
      <c r="K158" s="663"/>
      <c r="L158" s="663"/>
      <c r="M158" s="663"/>
      <c r="N158" s="663"/>
      <c r="O158" s="664"/>
      <c r="P158" s="242">
        <f t="shared" si="23"/>
        <v>0</v>
      </c>
      <c r="Q158" s="243">
        <f t="shared" si="25"/>
        <v>0</v>
      </c>
    </row>
    <row r="159" spans="1:17" x14ac:dyDescent="0.2">
      <c r="A159" s="188" t="str">
        <f>'(B3) Struktura Funksionale'!A132</f>
        <v>Programi 26a</v>
      </c>
      <c r="B159" s="584" t="str">
        <f>'(B3) Struktura Funksionale'!B132</f>
        <v>10430</v>
      </c>
      <c r="C159" s="188" t="str">
        <f>'(B3) Struktura Funksionale'!C132</f>
        <v>Kujdesi social për familjet dhe fëmijët</v>
      </c>
      <c r="D159" s="657">
        <f t="shared" si="20"/>
        <v>3265002</v>
      </c>
      <c r="E159" s="659">
        <f>750003898+2799000+5000+588839+831068+551146+152327</f>
        <v>754931278</v>
      </c>
      <c r="F159" s="659">
        <f>1366276</f>
        <v>1366276</v>
      </c>
      <c r="G159" s="659">
        <v>750300000</v>
      </c>
      <c r="H159" s="657">
        <f>+I159-J159-K159</f>
        <v>5976172</v>
      </c>
      <c r="I159" s="659">
        <f>332127+56000+80000+4268973+712381+526719+931943990</f>
        <v>937920190</v>
      </c>
      <c r="J159" s="659"/>
      <c r="K159" s="659">
        <f>931944018</f>
        <v>931944018</v>
      </c>
      <c r="L159" s="657">
        <f>+M159-N159-O159</f>
        <v>6000927</v>
      </c>
      <c r="M159" s="659">
        <f>931943990+7562000+957362</f>
        <v>940463352</v>
      </c>
      <c r="N159" s="659"/>
      <c r="O159" s="659">
        <f>934462425</f>
        <v>934462425</v>
      </c>
      <c r="P159" s="65">
        <f>I159-J159-K159</f>
        <v>5976172</v>
      </c>
      <c r="Q159" s="65">
        <f t="shared" si="25"/>
        <v>6000927</v>
      </c>
    </row>
    <row r="160" spans="1:17" hidden="1" x14ac:dyDescent="0.2">
      <c r="A160" s="188" t="str">
        <f>'(B3) Struktura Funksionale'!A133</f>
        <v>Programi 26b</v>
      </c>
      <c r="B160" s="584" t="str">
        <f>'(B3) Struktura Funksionale'!B133</f>
        <v>10460</v>
      </c>
      <c r="C160" s="188" t="str">
        <f>'(B3) Struktura Funksionale'!C133</f>
        <v>Përfshirja sociale</v>
      </c>
      <c r="D160" s="657">
        <f t="shared" si="20"/>
        <v>0</v>
      </c>
      <c r="E160" s="660"/>
      <c r="F160" s="660"/>
      <c r="G160" s="660"/>
      <c r="H160" s="657">
        <f>+I160-J160-K160</f>
        <v>0</v>
      </c>
      <c r="I160" s="660"/>
      <c r="J160" s="660"/>
      <c r="K160" s="660"/>
      <c r="L160" s="657">
        <f>+M160-N160-O160</f>
        <v>0</v>
      </c>
      <c r="M160" s="660"/>
      <c r="N160" s="660"/>
      <c r="O160" s="660"/>
      <c r="P160" s="65">
        <f t="shared" si="23"/>
        <v>0</v>
      </c>
      <c r="Q160" s="65">
        <f t="shared" si="25"/>
        <v>0</v>
      </c>
    </row>
    <row r="161" spans="1:17" x14ac:dyDescent="0.2">
      <c r="A161" s="188" t="str">
        <f>'(B3) Struktura Funksionale'!A134</f>
        <v>Programi 26c</v>
      </c>
      <c r="B161" s="584">
        <f>'(B3) Struktura Funksionale'!B134</f>
        <v>0</v>
      </c>
      <c r="C161" s="188">
        <f>'(B3) Struktura Funksionale'!C134</f>
        <v>0</v>
      </c>
      <c r="D161" s="657">
        <f t="shared" si="20"/>
        <v>0</v>
      </c>
      <c r="E161" s="660"/>
      <c r="F161" s="660"/>
      <c r="G161" s="660"/>
      <c r="H161" s="657">
        <f>+I161-J161-K161</f>
        <v>0</v>
      </c>
      <c r="I161" s="660"/>
      <c r="J161" s="660"/>
      <c r="K161" s="660"/>
      <c r="L161" s="657">
        <f>+M161-N161-O161</f>
        <v>0</v>
      </c>
      <c r="M161" s="660"/>
      <c r="N161" s="660"/>
      <c r="O161" s="660"/>
      <c r="P161" s="65">
        <f t="shared" si="23"/>
        <v>0</v>
      </c>
      <c r="Q161" s="65">
        <f t="shared" si="25"/>
        <v>0</v>
      </c>
    </row>
    <row r="162" spans="1:17" x14ac:dyDescent="0.2">
      <c r="A162" s="20"/>
      <c r="B162" s="254"/>
      <c r="C162" s="192"/>
      <c r="D162" s="657">
        <f t="shared" si="20"/>
        <v>3265002</v>
      </c>
      <c r="E162" s="657">
        <f>SUM(E159:E161)</f>
        <v>754931278</v>
      </c>
      <c r="F162" s="657">
        <f>SUM(F159:F161)</f>
        <v>1366276</v>
      </c>
      <c r="G162" s="657">
        <f>SUM(G159:G161)</f>
        <v>750300000</v>
      </c>
      <c r="H162" s="657">
        <f>+I162-J162-K162</f>
        <v>5976172</v>
      </c>
      <c r="I162" s="657">
        <f>SUM(I159:I161)</f>
        <v>937920190</v>
      </c>
      <c r="J162" s="657">
        <f>SUM(J159:J161)</f>
        <v>0</v>
      </c>
      <c r="K162" s="657">
        <f>SUM(K159:K161)</f>
        <v>931944018</v>
      </c>
      <c r="L162" s="657">
        <f>+M162-N162-O162</f>
        <v>6000927</v>
      </c>
      <c r="M162" s="657">
        <f>SUM(M159:M161)</f>
        <v>940463352</v>
      </c>
      <c r="N162" s="657">
        <f>SUM(N159:N161)</f>
        <v>0</v>
      </c>
      <c r="O162" s="657">
        <f>SUM(O159:O161)</f>
        <v>934462425</v>
      </c>
      <c r="P162" s="65">
        <f t="shared" si="23"/>
        <v>5976172</v>
      </c>
      <c r="Q162" s="65">
        <f t="shared" si="25"/>
        <v>6000927</v>
      </c>
    </row>
    <row r="163" spans="1:17" ht="25.5" customHeight="1" x14ac:dyDescent="0.2">
      <c r="A163" s="599" t="str">
        <f>'(B3) Struktura Funksionale'!A135</f>
        <v>Nënfunksioni 26</v>
      </c>
      <c r="B163" s="599" t="str">
        <f>'(B3) Struktura Funksionale'!B135</f>
        <v>105</v>
      </c>
      <c r="C163" s="250" t="str">
        <f>'(B3) Struktura Funksionale'!C135</f>
        <v>Papunësia</v>
      </c>
      <c r="D163" s="663"/>
      <c r="E163" s="663"/>
      <c r="F163" s="663"/>
      <c r="G163" s="663"/>
      <c r="H163" s="663"/>
      <c r="I163" s="663"/>
      <c r="J163" s="663"/>
      <c r="K163" s="663"/>
      <c r="L163" s="663"/>
      <c r="M163" s="663"/>
      <c r="N163" s="663"/>
      <c r="O163" s="664"/>
      <c r="P163" s="242">
        <f t="shared" si="23"/>
        <v>0</v>
      </c>
      <c r="Q163" s="243">
        <f t="shared" si="25"/>
        <v>0</v>
      </c>
    </row>
    <row r="164" spans="1:17" x14ac:dyDescent="0.2">
      <c r="A164" s="188" t="str">
        <f>'(B3) Struktura Funksionale'!A136</f>
        <v>Programi 27a</v>
      </c>
      <c r="B164" s="584" t="str">
        <f>'(B3) Struktura Funksionale'!B136</f>
        <v>10550</v>
      </c>
      <c r="C164" s="188" t="str">
        <f>'(B3) Struktura Funksionale'!C136</f>
        <v>Papunësia, arsim dhe aftësim</v>
      </c>
      <c r="D164" s="657">
        <f t="shared" si="20"/>
        <v>0</v>
      </c>
      <c r="E164" s="659"/>
      <c r="F164" s="659"/>
      <c r="G164" s="659"/>
      <c r="H164" s="657">
        <f>+I164-J164-K164</f>
        <v>0</v>
      </c>
      <c r="I164" s="659"/>
      <c r="J164" s="659"/>
      <c r="K164" s="659"/>
      <c r="L164" s="657">
        <f>+M164-N164-O164</f>
        <v>0</v>
      </c>
      <c r="M164" s="659"/>
      <c r="N164" s="659"/>
      <c r="O164" s="659"/>
      <c r="P164" s="65">
        <f t="shared" si="23"/>
        <v>0</v>
      </c>
      <c r="Q164" s="65">
        <f t="shared" si="25"/>
        <v>0</v>
      </c>
    </row>
    <row r="165" spans="1:17" x14ac:dyDescent="0.2">
      <c r="A165" s="188" t="str">
        <f>'(B3) Struktura Funksionale'!A137</f>
        <v>Programi 27b</v>
      </c>
      <c r="B165" s="584">
        <f>'(B3) Struktura Funksionale'!B137</f>
        <v>0</v>
      </c>
      <c r="C165" s="188">
        <f>'(B3) Struktura Funksionale'!C137</f>
        <v>0</v>
      </c>
      <c r="D165" s="657">
        <f t="shared" si="20"/>
        <v>0</v>
      </c>
      <c r="E165" s="660"/>
      <c r="F165" s="660"/>
      <c r="G165" s="660"/>
      <c r="H165" s="657">
        <f>+I165-J165-K165</f>
        <v>0</v>
      </c>
      <c r="I165" s="660"/>
      <c r="J165" s="660"/>
      <c r="K165" s="660"/>
      <c r="L165" s="657">
        <f>+M165-N165-O165</f>
        <v>0</v>
      </c>
      <c r="M165" s="660"/>
      <c r="N165" s="660"/>
      <c r="O165" s="660"/>
      <c r="P165" s="65">
        <f t="shared" si="23"/>
        <v>0</v>
      </c>
      <c r="Q165" s="65">
        <f t="shared" si="25"/>
        <v>0</v>
      </c>
    </row>
    <row r="166" spans="1:17" x14ac:dyDescent="0.2">
      <c r="A166" s="188" t="str">
        <f>'(B3) Struktura Funksionale'!A138</f>
        <v>Programi 27c</v>
      </c>
      <c r="B166" s="584">
        <f>'(B3) Struktura Funksionale'!B138</f>
        <v>0</v>
      </c>
      <c r="C166" s="188">
        <f>'(B3) Struktura Funksionale'!C138</f>
        <v>0</v>
      </c>
      <c r="D166" s="657">
        <f t="shared" si="20"/>
        <v>0</v>
      </c>
      <c r="E166" s="660"/>
      <c r="F166" s="660"/>
      <c r="G166" s="660"/>
      <c r="H166" s="657">
        <f>+I166-J166-K166</f>
        <v>0</v>
      </c>
      <c r="I166" s="660"/>
      <c r="J166" s="660"/>
      <c r="K166" s="660"/>
      <c r="L166" s="657">
        <f>+M166-N166-O166</f>
        <v>0</v>
      </c>
      <c r="M166" s="660"/>
      <c r="N166" s="660"/>
      <c r="O166" s="660"/>
      <c r="P166" s="65">
        <f t="shared" si="23"/>
        <v>0</v>
      </c>
      <c r="Q166" s="65">
        <f t="shared" si="25"/>
        <v>0</v>
      </c>
    </row>
    <row r="167" spans="1:17" x14ac:dyDescent="0.2">
      <c r="A167" s="20"/>
      <c r="B167" s="254"/>
      <c r="C167" s="192"/>
      <c r="D167" s="657">
        <f t="shared" si="20"/>
        <v>0</v>
      </c>
      <c r="E167" s="657">
        <f>SUM(E164:E166)</f>
        <v>0</v>
      </c>
      <c r="F167" s="657">
        <f>SUM(F164:F166)</f>
        <v>0</v>
      </c>
      <c r="G167" s="657">
        <f>SUM(G164:G166)</f>
        <v>0</v>
      </c>
      <c r="H167" s="657">
        <f>+I167-J167-K167</f>
        <v>0</v>
      </c>
      <c r="I167" s="657">
        <f>SUM(I164:I166)</f>
        <v>0</v>
      </c>
      <c r="J167" s="657">
        <f>SUM(J164:J166)</f>
        <v>0</v>
      </c>
      <c r="K167" s="657">
        <f>SUM(K164:K166)</f>
        <v>0</v>
      </c>
      <c r="L167" s="657">
        <f>+M167-N167-O167</f>
        <v>0</v>
      </c>
      <c r="M167" s="657">
        <f>SUM(M164:M166)</f>
        <v>0</v>
      </c>
      <c r="N167" s="657">
        <f>SUM(N164:N166)</f>
        <v>0</v>
      </c>
      <c r="O167" s="657">
        <f>SUM(O164:O166)</f>
        <v>0</v>
      </c>
      <c r="P167" s="65">
        <f t="shared" si="23"/>
        <v>0</v>
      </c>
      <c r="Q167" s="65">
        <f t="shared" si="25"/>
        <v>0</v>
      </c>
    </row>
    <row r="168" spans="1:17" ht="25.5" customHeight="1" x14ac:dyDescent="0.2">
      <c r="A168" s="599" t="str">
        <f>'(B3) Struktura Funksionale'!A139</f>
        <v>Nënfunksioni 27</v>
      </c>
      <c r="B168" s="599" t="str">
        <f>'(B3) Struktura Funksionale'!B139</f>
        <v>106</v>
      </c>
      <c r="C168" s="250" t="str">
        <f>'(B3) Struktura Funksionale'!C139</f>
        <v>Strehimi social</v>
      </c>
      <c r="D168" s="663"/>
      <c r="E168" s="663"/>
      <c r="F168" s="663"/>
      <c r="G168" s="663"/>
      <c r="H168" s="663"/>
      <c r="I168" s="663"/>
      <c r="J168" s="663"/>
      <c r="K168" s="663"/>
      <c r="L168" s="663"/>
      <c r="M168" s="663"/>
      <c r="N168" s="663"/>
      <c r="O168" s="664"/>
      <c r="P168" s="242">
        <f t="shared" si="23"/>
        <v>0</v>
      </c>
      <c r="Q168" s="243">
        <f t="shared" si="25"/>
        <v>0</v>
      </c>
    </row>
    <row r="169" spans="1:17" x14ac:dyDescent="0.2">
      <c r="A169" s="110" t="str">
        <f>'(B3) Struktura Funksionale'!A140</f>
        <v>Programi 28a</v>
      </c>
      <c r="B169" s="586" t="str">
        <f>'(B3) Struktura Funksionale'!B140</f>
        <v>10661</v>
      </c>
      <c r="C169" s="110" t="str">
        <f>'(B3) Struktura Funksionale'!C140</f>
        <v>Strehimi social</v>
      </c>
      <c r="D169" s="669">
        <f t="shared" si="20"/>
        <v>0</v>
      </c>
      <c r="E169" s="660"/>
      <c r="F169" s="660"/>
      <c r="G169" s="660"/>
      <c r="H169" s="669">
        <f>+I169-J169-K169</f>
        <v>0</v>
      </c>
      <c r="I169" s="660"/>
      <c r="J169" s="660"/>
      <c r="K169" s="660"/>
      <c r="L169" s="669">
        <f>+M169-N169-O169</f>
        <v>0</v>
      </c>
      <c r="M169" s="660"/>
      <c r="N169" s="660"/>
      <c r="O169" s="660"/>
      <c r="P169" s="65">
        <f t="shared" si="23"/>
        <v>0</v>
      </c>
      <c r="Q169" s="65">
        <f t="shared" si="25"/>
        <v>0</v>
      </c>
    </row>
    <row r="170" spans="1:17" x14ac:dyDescent="0.2">
      <c r="A170" s="110" t="str">
        <f>'(B3) Struktura Funksionale'!A141</f>
        <v>Programi 28b</v>
      </c>
      <c r="B170" s="586">
        <f>'(B3) Struktura Funksionale'!B141</f>
        <v>0</v>
      </c>
      <c r="C170" s="110">
        <f>'(B3) Struktura Funksionale'!C141</f>
        <v>0</v>
      </c>
      <c r="D170" s="669">
        <f t="shared" si="20"/>
        <v>0</v>
      </c>
      <c r="E170" s="660"/>
      <c r="F170" s="660"/>
      <c r="G170" s="660"/>
      <c r="H170" s="669">
        <f>+I170-J170-K170</f>
        <v>0</v>
      </c>
      <c r="I170" s="660"/>
      <c r="J170" s="660"/>
      <c r="K170" s="660"/>
      <c r="L170" s="669">
        <f>+M170-N170-O170</f>
        <v>0</v>
      </c>
      <c r="M170" s="660"/>
      <c r="N170" s="660"/>
      <c r="O170" s="660"/>
      <c r="P170" s="65">
        <f t="shared" si="23"/>
        <v>0</v>
      </c>
      <c r="Q170" s="65">
        <f t="shared" si="25"/>
        <v>0</v>
      </c>
    </row>
    <row r="171" spans="1:17" x14ac:dyDescent="0.2">
      <c r="A171" s="110" t="str">
        <f>'(B3) Struktura Funksionale'!A142</f>
        <v>Programi 28c</v>
      </c>
      <c r="B171" s="586">
        <f>'(B3) Struktura Funksionale'!B142</f>
        <v>0</v>
      </c>
      <c r="C171" s="110">
        <f>'(B3) Struktura Funksionale'!C142</f>
        <v>0</v>
      </c>
      <c r="D171" s="669">
        <f t="shared" si="20"/>
        <v>0</v>
      </c>
      <c r="E171" s="660"/>
      <c r="F171" s="660"/>
      <c r="G171" s="660"/>
      <c r="H171" s="669">
        <f>+I171-J171-K171</f>
        <v>0</v>
      </c>
      <c r="I171" s="660"/>
      <c r="J171" s="660"/>
      <c r="K171" s="660"/>
      <c r="L171" s="669">
        <f>+M171-N171-O171</f>
        <v>0</v>
      </c>
      <c r="M171" s="660"/>
      <c r="N171" s="660"/>
      <c r="O171" s="660"/>
      <c r="P171" s="65">
        <f t="shared" si="23"/>
        <v>0</v>
      </c>
      <c r="Q171" s="65">
        <f t="shared" si="25"/>
        <v>0</v>
      </c>
    </row>
    <row r="172" spans="1:17" x14ac:dyDescent="0.2">
      <c r="A172" s="1131"/>
      <c r="B172" s="1132"/>
      <c r="C172" s="1133"/>
      <c r="D172" s="669">
        <f t="shared" si="20"/>
        <v>0</v>
      </c>
      <c r="E172" s="669">
        <f>SUM(E169:E171)</f>
        <v>0</v>
      </c>
      <c r="F172" s="669">
        <f>SUM(F169:F171)</f>
        <v>0</v>
      </c>
      <c r="G172" s="669">
        <f>SUM(G169:G171)</f>
        <v>0</v>
      </c>
      <c r="H172" s="669">
        <f>+I172-J172-K172</f>
        <v>0</v>
      </c>
      <c r="I172" s="669">
        <f>SUM(I169:I171)</f>
        <v>0</v>
      </c>
      <c r="J172" s="669">
        <f>SUM(J169:J171)</f>
        <v>0</v>
      </c>
      <c r="K172" s="669">
        <f>SUM(K169:K171)</f>
        <v>0</v>
      </c>
      <c r="L172" s="669">
        <f>+M172-N172-O172</f>
        <v>0</v>
      </c>
      <c r="M172" s="669">
        <f>SUM(M169:M171)</f>
        <v>0</v>
      </c>
      <c r="N172" s="669">
        <f>SUM(N169:N171)</f>
        <v>0</v>
      </c>
      <c r="O172" s="669">
        <f>SUM(O169:O171)</f>
        <v>0</v>
      </c>
      <c r="P172" s="65">
        <f t="shared" si="23"/>
        <v>0</v>
      </c>
      <c r="Q172" s="65">
        <f t="shared" si="25"/>
        <v>0</v>
      </c>
    </row>
    <row r="173" spans="1:17" ht="24" customHeight="1" x14ac:dyDescent="0.2">
      <c r="A173" s="599" t="str">
        <f>'(B3) Struktura Funksionale'!A143</f>
        <v>Nënfunksioni 29</v>
      </c>
      <c r="B173" s="599" t="str">
        <f>'(B3) Struktura Funksionale'!B143</f>
        <v>107</v>
      </c>
      <c r="C173" s="250" t="str">
        <f>'(B3) Struktura Funksionale'!C143</f>
        <v>Ndihma Ekonomike</v>
      </c>
      <c r="D173" s="663"/>
      <c r="E173" s="663"/>
      <c r="F173" s="663"/>
      <c r="G173" s="663"/>
      <c r="H173" s="663"/>
      <c r="I173" s="663"/>
      <c r="J173" s="663"/>
      <c r="K173" s="663"/>
      <c r="L173" s="663"/>
      <c r="M173" s="663"/>
      <c r="N173" s="663"/>
      <c r="O173" s="664"/>
      <c r="P173" s="242">
        <f t="shared" si="23"/>
        <v>0</v>
      </c>
      <c r="Q173" s="243">
        <f t="shared" si="25"/>
        <v>0</v>
      </c>
    </row>
    <row r="174" spans="1:17" x14ac:dyDescent="0.2">
      <c r="A174" s="188" t="str">
        <f>'(B3) Struktura Funksionale'!A144</f>
        <v>Programi 29a</v>
      </c>
      <c r="B174" s="584" t="str">
        <f>'(B3) Struktura Funksionale'!B144</f>
        <v>10770</v>
      </c>
      <c r="C174" s="188" t="str">
        <f>'(B3) Struktura Funksionale'!C144</f>
        <v>Ndihma Ekonomike</v>
      </c>
      <c r="D174" s="657">
        <f t="shared" si="20"/>
        <v>0</v>
      </c>
      <c r="E174" s="659"/>
      <c r="F174" s="659"/>
      <c r="G174" s="659"/>
      <c r="H174" s="657">
        <f>+I174-J174-K174</f>
        <v>0</v>
      </c>
      <c r="I174" s="659"/>
      <c r="J174" s="659"/>
      <c r="K174" s="659"/>
      <c r="L174" s="657">
        <f>+M174-N174-O174</f>
        <v>0</v>
      </c>
      <c r="M174" s="659"/>
      <c r="N174" s="659"/>
      <c r="O174" s="659"/>
      <c r="P174" s="65">
        <f t="shared" si="23"/>
        <v>0</v>
      </c>
      <c r="Q174" s="65">
        <f t="shared" si="25"/>
        <v>0</v>
      </c>
    </row>
    <row r="175" spans="1:17" x14ac:dyDescent="0.2">
      <c r="A175" s="188" t="str">
        <f>'(B3) Struktura Funksionale'!A145</f>
        <v>Programi 29b</v>
      </c>
      <c r="B175" s="584">
        <f>'(B3) Struktura Funksionale'!B145</f>
        <v>0</v>
      </c>
      <c r="C175" s="188">
        <f>'(B3) Struktura Funksionale'!C145</f>
        <v>0</v>
      </c>
      <c r="D175" s="657">
        <f t="shared" si="20"/>
        <v>0</v>
      </c>
      <c r="E175" s="660"/>
      <c r="F175" s="660"/>
      <c r="G175" s="660"/>
      <c r="H175" s="657">
        <f>+I175-J175-K175</f>
        <v>0</v>
      </c>
      <c r="I175" s="660"/>
      <c r="J175" s="660"/>
      <c r="K175" s="660"/>
      <c r="L175" s="657">
        <f>+M175-N175-O175</f>
        <v>0</v>
      </c>
      <c r="M175" s="660"/>
      <c r="N175" s="660"/>
      <c r="O175" s="660"/>
      <c r="P175" s="65">
        <f t="shared" si="23"/>
        <v>0</v>
      </c>
      <c r="Q175" s="65">
        <f t="shared" si="25"/>
        <v>0</v>
      </c>
    </row>
    <row r="176" spans="1:17" x14ac:dyDescent="0.2">
      <c r="A176" s="188" t="str">
        <f>'(B3) Struktura Funksionale'!A146</f>
        <v>Programi 29c</v>
      </c>
      <c r="B176" s="584">
        <f>'(B3) Struktura Funksionale'!B146</f>
        <v>0</v>
      </c>
      <c r="C176" s="188">
        <f>'(B3) Struktura Funksionale'!C146</f>
        <v>0</v>
      </c>
      <c r="D176" s="657">
        <f t="shared" si="20"/>
        <v>0</v>
      </c>
      <c r="E176" s="661"/>
      <c r="F176" s="661"/>
      <c r="G176" s="661"/>
      <c r="H176" s="657">
        <f>+I176-J176-K176</f>
        <v>0</v>
      </c>
      <c r="I176" s="661"/>
      <c r="J176" s="661"/>
      <c r="K176" s="661"/>
      <c r="L176" s="657">
        <f>+M176-N176-O176</f>
        <v>0</v>
      </c>
      <c r="M176" s="661"/>
      <c r="N176" s="661"/>
      <c r="O176" s="661"/>
      <c r="P176" s="65">
        <f t="shared" si="23"/>
        <v>0</v>
      </c>
      <c r="Q176" s="65">
        <f t="shared" si="25"/>
        <v>0</v>
      </c>
    </row>
    <row r="177" spans="1:17" x14ac:dyDescent="0.2">
      <c r="A177" s="20"/>
      <c r="B177" s="256"/>
      <c r="C177" s="21"/>
      <c r="D177" s="669">
        <f t="shared" si="20"/>
        <v>0</v>
      </c>
      <c r="E177" s="669">
        <f>SUM(E174:E176)</f>
        <v>0</v>
      </c>
      <c r="F177" s="669">
        <f>SUM(F174:F176)</f>
        <v>0</v>
      </c>
      <c r="G177" s="669">
        <f>SUM(G174:G176)</f>
        <v>0</v>
      </c>
      <c r="H177" s="669">
        <f>+I177-J177-K177</f>
        <v>0</v>
      </c>
      <c r="I177" s="669">
        <f>SUM(I174:I176)</f>
        <v>0</v>
      </c>
      <c r="J177" s="669">
        <f>SUM(J174:J176)</f>
        <v>0</v>
      </c>
      <c r="K177" s="669">
        <f>SUM(K174:K176)</f>
        <v>0</v>
      </c>
      <c r="L177" s="669">
        <f>+M177-N177-O177</f>
        <v>0</v>
      </c>
      <c r="M177" s="669">
        <f>SUM(M174:M176)</f>
        <v>0</v>
      </c>
      <c r="N177" s="669">
        <f>SUM(N174:N176)</f>
        <v>0</v>
      </c>
      <c r="O177" s="669">
        <f>SUM(O174:O176)</f>
        <v>0</v>
      </c>
      <c r="P177" s="65">
        <f t="shared" si="23"/>
        <v>0</v>
      </c>
      <c r="Q177" s="65">
        <f t="shared" si="25"/>
        <v>0</v>
      </c>
    </row>
    <row r="178" spans="1:17" x14ac:dyDescent="0.2">
      <c r="D178" s="674"/>
      <c r="E178" s="675"/>
      <c r="F178" s="675"/>
      <c r="G178" s="675"/>
      <c r="H178" s="676"/>
      <c r="I178" s="674"/>
      <c r="J178" s="674"/>
      <c r="K178" s="675"/>
      <c r="L178" s="676"/>
      <c r="M178" s="675"/>
      <c r="N178" s="675"/>
      <c r="O178" s="675"/>
    </row>
    <row r="179" spans="1:17" x14ac:dyDescent="0.2">
      <c r="A179" s="1131" t="str">
        <f>'(G1) Fjalori'!A206</f>
        <v xml:space="preserve">Totali </v>
      </c>
      <c r="B179" s="1132"/>
      <c r="C179" s="1133"/>
      <c r="D179" s="669">
        <f t="shared" si="20"/>
        <v>264360037</v>
      </c>
      <c r="E179" s="669">
        <f>E16+E23+E29+E34+E39+E48+E56+E62+E68+E74+E79+E84+E89+E95+E100+E105+E110+E116+E122+E128+E135+E141+E146+E152+E157+E162+E167+E172+E177</f>
        <v>1519965155</v>
      </c>
      <c r="F179" s="669">
        <f>F16+F23+F29+F34+F39+F48+F56+F62+F68+F74+F79+F84+F89+F95+F100+F105+F110+F116+F122+F128+F135+F141+F146+F152+F157+F162+F167+F172+F177</f>
        <v>290939361</v>
      </c>
      <c r="G179" s="669">
        <f>G16+G23+G29+G34+G39+G48+G56+G62+G68+G74+G79+G84+G89+G95+G100+G105+G110+G116+G122+G128+G135+G141+G146+G152+G157+G162+G167+G172+G177</f>
        <v>964665757</v>
      </c>
      <c r="H179" s="669">
        <f>+I179-J179-K179</f>
        <v>318810115</v>
      </c>
      <c r="I179" s="669">
        <f>I16+I23+I29+I34+I39+I48+I56+I62+I68+I74+I79+I84+I89+I95+I100+I105+I110+I116+I122+I128+I135+I141+I146+I152+I157+I162+I167+I172+I177</f>
        <v>1822305984</v>
      </c>
      <c r="J179" s="669">
        <f>J16+J23+J29+J34+J39+J48+J56+J62+J68+J74+J79+J84+J89+J95+J100+J105+J110+J116+J122+J128+J135+J141+J146+J152+J157+J162+J167+J172+J177</f>
        <v>307157414</v>
      </c>
      <c r="K179" s="669">
        <f>K16+K23+K29+K34+K39+K48+K56+K62+K68+K74+K79+K84+K89+K95+K100+K105+K110+K116+K122+K128+K135+K141+K146+K152+K157+K162+K167+K172+K177</f>
        <v>1196338455</v>
      </c>
      <c r="L179" s="669">
        <f>+M179-N179-O179</f>
        <v>553831188</v>
      </c>
      <c r="M179" s="669">
        <f>M16+M23+M29+M34+M39+M48+M56+M62+M68+M74+M79+M84+M89+M95+M100+M105+M110+M116+M122+M128+M135+M141+M146+M152+M157+M162+M167+M172+M177</f>
        <v>2351787988</v>
      </c>
      <c r="N179" s="669">
        <f>N16+N23+N29+N34+N39+N48+N56+N62+N68+N74+N79+N84+N89+N95+N100+N105+N110+N116+N122+N128+N135+N141+N146+N152+N157+N162+N167+N172+N177</f>
        <v>589036721</v>
      </c>
      <c r="O179" s="669">
        <f>O16+O23+O29+O34+O39+O48+O56+O62+O68+O74+O79+O84+O89+O95+O100+O105+O110+O116+O122+O128+O135+O141+O146+O152+O157+O162+O167+O172+O177</f>
        <v>1208920079</v>
      </c>
    </row>
    <row r="180" spans="1:17" x14ac:dyDescent="0.2">
      <c r="A180" s="478" t="str">
        <f>'(G1) Fjalori'!A207</f>
        <v>Totali I transfertave të kushtëzuara+transfertat specifike+të ardhurat e trashëguara me destinacion</v>
      </c>
      <c r="B180" s="21"/>
      <c r="C180" s="21"/>
      <c r="D180" s="677"/>
      <c r="E180" s="678"/>
      <c r="F180" s="674"/>
      <c r="G180" s="669">
        <f>'(C2) Burimet viti kaluar'!D90+'(C2) Burimet viti kaluar'!D93+'(C2) Burimet viti kaluar'!D99</f>
        <v>964665757</v>
      </c>
      <c r="H180" s="674"/>
      <c r="I180" s="674"/>
      <c r="J180" s="674"/>
      <c r="K180" s="669">
        <f>'(C2) Burimet viti kaluar'!E90+'(C2) Burimet viti kaluar'!E93+'(C2) Burimet viti kaluar'!E99</f>
        <v>1196338455</v>
      </c>
      <c r="L180" s="676"/>
      <c r="M180" s="675"/>
      <c r="N180" s="675"/>
      <c r="O180" s="669">
        <f>'(C2) Burimet viti kaluar'!F90+'(C2) Burimet viti kaluar'!F93+'(C2) Burimet viti kaluar'!F99</f>
        <v>1208920079</v>
      </c>
    </row>
    <row r="181" spans="1:17" x14ac:dyDescent="0.2">
      <c r="A181" s="111"/>
      <c r="G181" s="353" t="str">
        <f>IF(G179&lt;&gt;G180,"STOPP!","OK!")</f>
        <v>OK!</v>
      </c>
      <c r="K181" s="353" t="str">
        <f>IF(K179&lt;&gt;K180,"STOPP!","OK!")</f>
        <v>OK!</v>
      </c>
      <c r="L181" s="70"/>
      <c r="O181" s="353" t="str">
        <f>IF(O179&lt;&gt;O180,"STOPP!","OK!")</f>
        <v>OK!</v>
      </c>
    </row>
    <row r="182" spans="1:17" x14ac:dyDescent="0.2">
      <c r="L182" s="70"/>
    </row>
    <row r="183" spans="1:17" x14ac:dyDescent="0.2">
      <c r="L183" s="70"/>
    </row>
    <row r="184" spans="1:17" x14ac:dyDescent="0.2">
      <c r="L184" s="70"/>
    </row>
    <row r="185" spans="1:17" x14ac:dyDescent="0.2">
      <c r="L185" s="70"/>
    </row>
    <row r="186" spans="1:17" x14ac:dyDescent="0.2">
      <c r="L186" s="70"/>
    </row>
    <row r="187" spans="1:17" x14ac:dyDescent="0.2">
      <c r="L187" s="70"/>
    </row>
    <row r="188" spans="1:17" x14ac:dyDescent="0.2">
      <c r="L188" s="70"/>
    </row>
    <row r="189" spans="1:17" x14ac:dyDescent="0.2">
      <c r="L189" s="70"/>
    </row>
    <row r="190" spans="1:17" x14ac:dyDescent="0.2">
      <c r="L190" s="70"/>
    </row>
    <row r="191" spans="1:17" x14ac:dyDescent="0.2">
      <c r="L191" s="70"/>
    </row>
    <row r="192" spans="1:17" x14ac:dyDescent="0.2">
      <c r="L192" s="70"/>
    </row>
    <row r="193" spans="12:12" x14ac:dyDescent="0.2">
      <c r="L193" s="70"/>
    </row>
    <row r="194" spans="12:12" x14ac:dyDescent="0.2">
      <c r="L194" s="70"/>
    </row>
    <row r="195" spans="12:12" x14ac:dyDescent="0.2">
      <c r="L195" s="70"/>
    </row>
    <row r="196" spans="12:12" x14ac:dyDescent="0.2">
      <c r="L196" s="70"/>
    </row>
  </sheetData>
  <sheetProtection selectLockedCells="1"/>
  <mergeCells count="10">
    <mergeCell ref="A179:C179"/>
    <mergeCell ref="A172:C172"/>
    <mergeCell ref="A1:O1"/>
    <mergeCell ref="A3:O3"/>
    <mergeCell ref="L5:O5"/>
    <mergeCell ref="L6:O6"/>
    <mergeCell ref="D5:G5"/>
    <mergeCell ref="D6:G6"/>
    <mergeCell ref="H5:K5"/>
    <mergeCell ref="H6:K6"/>
  </mergeCells>
  <printOptions gridLines="1"/>
  <pageMargins left="0.49" right="0.31" top="0.43" bottom="0.31" header="0.43307086614173201" footer="0.31496062992126"/>
  <pageSetup paperSize="9" scale="70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6" manualBreakCount="6">
    <brk id="39" max="16383" man="1"/>
    <brk id="68" max="16383" man="1"/>
    <brk id="89" max="16383" man="1"/>
    <brk id="116" max="16383" man="1"/>
    <brk id="146" max="16383" man="1"/>
    <brk id="1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tabColor theme="9"/>
    <pageSetUpPr fitToPage="1"/>
  </sheetPr>
  <dimension ref="A1:I181"/>
  <sheetViews>
    <sheetView showGridLines="0" workbookViewId="0">
      <selection activeCell="F57" sqref="F57"/>
    </sheetView>
  </sheetViews>
  <sheetFormatPr defaultColWidth="4.140625" defaultRowHeight="12.75" x14ac:dyDescent="0.2"/>
  <cols>
    <col min="1" max="1" width="20.28515625" style="65" customWidth="1"/>
    <col min="2" max="2" width="9.140625" style="257" customWidth="1"/>
    <col min="3" max="3" width="65.140625" style="64" customWidth="1"/>
    <col min="4" max="5" width="11.7109375" style="64" customWidth="1"/>
    <col min="6" max="6" width="19.85546875" style="65" customWidth="1"/>
    <col min="7" max="7" width="11.5703125" style="65" hidden="1" customWidth="1"/>
    <col min="8" max="8" width="0.28515625" style="65" hidden="1" customWidth="1"/>
    <col min="9" max="187" width="11.5703125" style="65" customWidth="1"/>
    <col min="188" max="188" width="3.85546875" style="65" customWidth="1"/>
    <col min="189" max="189" width="22" style="65" customWidth="1"/>
    <col min="190" max="192" width="4.140625" style="65" customWidth="1"/>
    <col min="193" max="193" width="5.85546875" style="65" customWidth="1"/>
    <col min="194" max="194" width="4.140625" style="65" customWidth="1"/>
    <col min="195" max="195" width="0.85546875" style="65" customWidth="1"/>
    <col min="196" max="196" width="5.85546875" style="65" customWidth="1"/>
    <col min="197" max="197" width="4.140625" style="65" customWidth="1"/>
    <col min="198" max="198" width="0.85546875" style="65" customWidth="1"/>
    <col min="199" max="199" width="5.85546875" style="65" customWidth="1"/>
    <col min="200" max="200" width="4.140625" style="65" customWidth="1"/>
    <col min="201" max="201" width="0.85546875" style="65" customWidth="1"/>
    <col min="202" max="202" width="5.85546875" style="65" customWidth="1"/>
    <col min="203" max="16384" width="4.140625" style="65"/>
  </cols>
  <sheetData>
    <row r="1" spans="1:9" s="169" customFormat="1" x14ac:dyDescent="0.2">
      <c r="A1" s="1134" t="str">
        <f>'(G1) Fjalori'!A13</f>
        <v>Verdhë = Per tu plotësuar nga Departamenti i Financës</v>
      </c>
      <c r="B1" s="1135"/>
      <c r="C1" s="1135"/>
      <c r="D1" s="1135"/>
      <c r="E1" s="1135"/>
      <c r="F1" s="1136"/>
    </row>
    <row r="3" spans="1:9" ht="21" x14ac:dyDescent="0.35">
      <c r="A3" s="1137" t="str">
        <f>'(G1) Fjalori'!A212</f>
        <v>(C1b) INVESTIMET: VITET E KALUARA DHE VITI AKTUAL</v>
      </c>
      <c r="B3" s="1138"/>
      <c r="C3" s="1138"/>
      <c r="D3" s="1138"/>
      <c r="E3" s="1138"/>
      <c r="F3" s="1139"/>
    </row>
    <row r="4" spans="1:9" s="94" customFormat="1" x14ac:dyDescent="0.2">
      <c r="A4" s="66"/>
      <c r="B4" s="247"/>
    </row>
    <row r="5" spans="1:9" ht="15" customHeight="1" x14ac:dyDescent="0.2">
      <c r="B5" s="956"/>
      <c r="C5" s="65"/>
      <c r="D5" s="397">
        <f>'(B1)Informacion i përgjithshëm '!B5</f>
        <v>2019</v>
      </c>
      <c r="E5" s="397">
        <f>'(B1)Informacion i përgjithshëm '!B6</f>
        <v>2020</v>
      </c>
      <c r="F5" s="396">
        <f>'(B1)Informacion i përgjithshëm '!B7</f>
        <v>2021</v>
      </c>
    </row>
    <row r="6" spans="1:9" s="221" customFormat="1" ht="44.25" customHeight="1" thickBot="1" x14ac:dyDescent="0.3">
      <c r="B6" s="395"/>
      <c r="D6" s="229" t="str">
        <f>'(G1) Fjalori'!A213</f>
        <v>Investimet</v>
      </c>
      <c r="E6" s="229" t="str">
        <f>D6</f>
        <v>Investimet</v>
      </c>
      <c r="F6" s="229" t="str">
        <f>E6</f>
        <v>Investimet</v>
      </c>
    </row>
    <row r="7" spans="1:9" s="228" customFormat="1" ht="19.5" thickBot="1" x14ac:dyDescent="0.35">
      <c r="A7" s="603" t="str">
        <f>'(B3) Struktura Funksionale'!A6</f>
        <v>01 Shërbimet e Përgjithshme Publike</v>
      </c>
      <c r="B7" s="323"/>
      <c r="C7" s="323"/>
      <c r="D7" s="323"/>
      <c r="E7" s="323"/>
      <c r="F7" s="604"/>
    </row>
    <row r="8" spans="1:9" ht="18.75" x14ac:dyDescent="0.2">
      <c r="A8" s="600" t="str">
        <f>'(B3) Struktura Funksionale'!A7</f>
        <v>Nënfunksioni 1</v>
      </c>
      <c r="B8" s="600" t="str">
        <f>'(B3) Struktura Funksionale'!B7</f>
        <v>011</v>
      </c>
      <c r="C8" s="328" t="str">
        <f>'(B3) Struktura Funksionale'!C7</f>
        <v>Organet ekzekutive dhe legjislative, per  Çështjet financiare dhe fiskale, Çështjet e brendshme</v>
      </c>
      <c r="D8" s="329"/>
      <c r="E8" s="329"/>
      <c r="F8" s="605"/>
      <c r="G8" s="242"/>
      <c r="H8" s="243"/>
    </row>
    <row r="9" spans="1:9" x14ac:dyDescent="0.2">
      <c r="A9" s="110" t="str">
        <f>'(B3) Struktura Funksionale'!A8</f>
        <v>Programi 1a</v>
      </c>
      <c r="B9" s="586" t="str">
        <f>'(B3) Struktura Funksionale'!B8</f>
        <v>01110</v>
      </c>
      <c r="C9" s="110" t="str">
        <f>'(B3) Struktura Funksionale'!C8</f>
        <v>Planifikimi Menaxhimi dhe Administrimi</v>
      </c>
      <c r="D9" s="50">
        <v>4710715</v>
      </c>
      <c r="E9" s="50">
        <v>4310738</v>
      </c>
      <c r="F9" s="50">
        <v>53066794</v>
      </c>
      <c r="G9" s="65" t="e">
        <f>E9-#REF!-#REF!</f>
        <v>#REF!</v>
      </c>
      <c r="H9" s="65" t="e">
        <f>F9-#REF!-#REF!</f>
        <v>#REF!</v>
      </c>
      <c r="I9" s="1035"/>
    </row>
    <row r="10" spans="1:9" x14ac:dyDescent="0.2">
      <c r="A10" s="110" t="str">
        <f>'(B3) Struktura Funksionale'!A9</f>
        <v>Programi 1b</v>
      </c>
      <c r="B10" s="586" t="str">
        <f>'(B3) Struktura Funksionale'!B9</f>
        <v>01120</v>
      </c>
      <c r="C10" s="110" t="str">
        <f>'(B3) Struktura Funksionale'!C9</f>
        <v>Çështje financiare dhe fiskale</v>
      </c>
      <c r="D10" s="50"/>
      <c r="E10" s="50"/>
      <c r="F10" s="50"/>
      <c r="G10" s="65" t="e">
        <f>E10-#REF!-#REF!</f>
        <v>#REF!</v>
      </c>
      <c r="H10" s="65" t="e">
        <f>F10-#REF!-#REF!</f>
        <v>#REF!</v>
      </c>
    </row>
    <row r="11" spans="1:9" hidden="1" x14ac:dyDescent="0.2">
      <c r="A11" s="110" t="str">
        <f>'(B3) Struktura Funksionale'!A10</f>
        <v>Programi 1c</v>
      </c>
      <c r="B11" s="586" t="str">
        <f>'(B3) Struktura Funksionale'!B10</f>
        <v>01130</v>
      </c>
      <c r="C11" s="110" t="str">
        <f>'(B3) Struktura Funksionale'!C10</f>
        <v>Sherbime të pergjithshme publike</v>
      </c>
      <c r="D11" s="50"/>
      <c r="E11" s="50"/>
      <c r="F11" s="50"/>
      <c r="G11" s="65" t="e">
        <f>E11-#REF!-#REF!</f>
        <v>#REF!</v>
      </c>
      <c r="H11" s="65" t="e">
        <f>F11-#REF!-#REF!</f>
        <v>#REF!</v>
      </c>
    </row>
    <row r="12" spans="1:9" x14ac:dyDescent="0.2">
      <c r="A12" s="110" t="str">
        <f>'(B3) Struktura Funksionale'!A11</f>
        <v>Programi 1d</v>
      </c>
      <c r="B12" s="586" t="str">
        <f>'(B3) Struktura Funksionale'!B11</f>
        <v>01170</v>
      </c>
      <c r="C12" s="110" t="str">
        <f>'(B3) Struktura Funksionale'!C11</f>
        <v>Gjendja civile</v>
      </c>
      <c r="D12" s="50"/>
      <c r="E12" s="50"/>
      <c r="F12" s="50"/>
    </row>
    <row r="13" spans="1:9" x14ac:dyDescent="0.2">
      <c r="A13" s="110" t="str">
        <f>'(B3) Struktura Funksionale'!A12</f>
        <v>Programi 1e</v>
      </c>
      <c r="B13" s="584">
        <f>'(B3) Struktura Funksionale'!B12</f>
        <v>0</v>
      </c>
      <c r="C13" s="110">
        <f>'(B3) Struktura Funksionale'!C12</f>
        <v>0</v>
      </c>
      <c r="D13" s="50"/>
      <c r="E13" s="50"/>
      <c r="F13" s="50"/>
    </row>
    <row r="14" spans="1:9" x14ac:dyDescent="0.2">
      <c r="A14" s="110" t="str">
        <f>'(B3) Struktura Funksionale'!A13</f>
        <v>Programi 1f</v>
      </c>
      <c r="B14" s="584">
        <f>'(B3) Struktura Funksionale'!B13</f>
        <v>0</v>
      </c>
      <c r="C14" s="110">
        <f>'(B3) Struktura Funksionale'!C13</f>
        <v>0</v>
      </c>
      <c r="D14" s="50"/>
      <c r="E14" s="50"/>
      <c r="F14" s="50"/>
    </row>
    <row r="15" spans="1:9" x14ac:dyDescent="0.2">
      <c r="A15" s="208"/>
      <c r="B15" s="255"/>
      <c r="C15" s="208"/>
      <c r="D15" s="67">
        <f>SUM(D9:D14)</f>
        <v>4710715</v>
      </c>
      <c r="E15" s="67">
        <f>SUM(E9:E14)</f>
        <v>4310738</v>
      </c>
      <c r="F15" s="67">
        <f>SUM(F9:F14)</f>
        <v>53066794</v>
      </c>
      <c r="G15" s="65" t="e">
        <f>E15-#REF!-#REF!</f>
        <v>#REF!</v>
      </c>
      <c r="H15" s="65" t="e">
        <f>F15-#REF!-#REF!</f>
        <v>#REF!</v>
      </c>
    </row>
    <row r="16" spans="1:9" ht="18.75" x14ac:dyDescent="0.2">
      <c r="A16" s="599" t="str">
        <f>'(B3) Struktura Funksionale'!A14</f>
        <v>Nënfunksioni 2</v>
      </c>
      <c r="B16" s="599" t="str">
        <f>'(B3) Struktura Funksionale'!B14</f>
        <v>017</v>
      </c>
      <c r="C16" s="250" t="str">
        <f>'(B3) Struktura Funksionale'!C14</f>
        <v>Shërbime të  huamarrjes vendore</v>
      </c>
      <c r="D16" s="242"/>
      <c r="E16" s="242"/>
      <c r="F16" s="243"/>
      <c r="G16" s="242" t="e">
        <f>E16-#REF!-#REF!</f>
        <v>#REF!</v>
      </c>
      <c r="H16" s="243" t="e">
        <f>F16-#REF!-#REF!</f>
        <v>#REF!</v>
      </c>
    </row>
    <row r="17" spans="1:8" hidden="1" x14ac:dyDescent="0.2">
      <c r="A17" s="188" t="str">
        <f>'(B3) Struktura Funksionale'!A15</f>
        <v>Programi 2a</v>
      </c>
      <c r="B17" s="584" t="str">
        <f>'(B3) Struktura Funksionale'!B15</f>
        <v>01310</v>
      </c>
      <c r="C17" s="188" t="str">
        <f>'(B3) Struktura Funksionale'!C15</f>
        <v>Planifikimi i përgjithshëm dhe Shërbimet Statistikore</v>
      </c>
      <c r="D17" s="195"/>
      <c r="E17" s="197"/>
      <c r="F17" s="195"/>
      <c r="G17" s="65" t="e">
        <f>E17-#REF!-#REF!</f>
        <v>#REF!</v>
      </c>
      <c r="H17" s="65" t="e">
        <f>F17-#REF!-#REF!</f>
        <v>#REF!</v>
      </c>
    </row>
    <row r="18" spans="1:8" hidden="1" x14ac:dyDescent="0.2">
      <c r="A18" s="188" t="str">
        <f>'(B3) Struktura Funksionale'!A16</f>
        <v>Programi 2b</v>
      </c>
      <c r="B18" s="584" t="str">
        <f>'(B3) Struktura Funksionale'!B16</f>
        <v>01312</v>
      </c>
      <c r="C18" s="188" t="str">
        <f>'(B3) Struktura Funksionale'!C16</f>
        <v>Gjendja civile</v>
      </c>
      <c r="D18" s="50"/>
      <c r="E18" s="51"/>
      <c r="F18" s="50"/>
      <c r="G18" s="65" t="e">
        <f>E18-#REF!-#REF!</f>
        <v>#REF!</v>
      </c>
      <c r="H18" s="65" t="e">
        <f>F18-#REF!-#REF!</f>
        <v>#REF!</v>
      </c>
    </row>
    <row r="19" spans="1:8" hidden="1" x14ac:dyDescent="0.2">
      <c r="A19" s="188" t="str">
        <f>'(B3) Struktura Funksionale'!A17</f>
        <v>Programi 2c</v>
      </c>
      <c r="B19" s="584" t="str">
        <f>'(B3) Struktura Funksionale'!B17</f>
        <v>01320</v>
      </c>
      <c r="C19" s="188" t="str">
        <f>'(B3) Struktura Funksionale'!C17</f>
        <v>Shërbime të tjera të përgjithshme</v>
      </c>
      <c r="D19" s="50"/>
      <c r="E19" s="51"/>
      <c r="F19" s="50"/>
      <c r="G19" s="65" t="e">
        <f>E19-#REF!-#REF!</f>
        <v>#REF!</v>
      </c>
      <c r="H19" s="65" t="e">
        <f>F19-#REF!-#REF!</f>
        <v>#REF!</v>
      </c>
    </row>
    <row r="20" spans="1:8" x14ac:dyDescent="0.2">
      <c r="A20" s="188" t="str">
        <f>'(B3) Struktura Funksionale'!A18</f>
        <v>Programi 2d</v>
      </c>
      <c r="B20" s="584" t="str">
        <f>'(B3) Struktura Funksionale'!B18</f>
        <v>01710</v>
      </c>
      <c r="C20" s="188" t="str">
        <f>'(B3) Struktura Funksionale'!C18</f>
        <v>Pagesa për shërbimin e borxhit të brendshëm</v>
      </c>
      <c r="D20" s="198"/>
      <c r="E20" s="199"/>
      <c r="F20" s="198"/>
    </row>
    <row r="21" spans="1:8" x14ac:dyDescent="0.2">
      <c r="A21" s="188" t="str">
        <f>'(B3) Struktura Funksionale'!A19</f>
        <v>Programi 2e</v>
      </c>
      <c r="B21" s="584">
        <f>'(B3) Struktura Funksionale'!B19</f>
        <v>0</v>
      </c>
      <c r="C21" s="188">
        <f>'(B3) Struktura Funksionale'!C19</f>
        <v>0</v>
      </c>
      <c r="D21" s="198"/>
      <c r="E21" s="199"/>
      <c r="F21" s="198"/>
    </row>
    <row r="22" spans="1:8" ht="13.5" thickBot="1" x14ac:dyDescent="0.25">
      <c r="A22" s="20"/>
      <c r="B22" s="254"/>
      <c r="C22" s="192"/>
      <c r="D22" s="193">
        <f>SUM(D17:D21)</f>
        <v>0</v>
      </c>
      <c r="E22" s="193">
        <f>SUM(E17:E21)</f>
        <v>0</v>
      </c>
      <c r="F22" s="193">
        <f>SUM(F17:F21)</f>
        <v>0</v>
      </c>
      <c r="G22" s="65" t="e">
        <f>E22-#REF!-#REF!</f>
        <v>#REF!</v>
      </c>
      <c r="H22" s="65" t="e">
        <f>F22-#REF!-#REF!</f>
        <v>#REF!</v>
      </c>
    </row>
    <row r="23" spans="1:8" s="228" customFormat="1" ht="19.5" thickBot="1" x14ac:dyDescent="0.35">
      <c r="A23" s="603" t="str">
        <f>'(B3) Struktura Funksionale'!A20</f>
        <v>03 Rendi dhe Siguria Publike</v>
      </c>
      <c r="B23" s="323"/>
      <c r="C23" s="323"/>
      <c r="D23" s="323"/>
      <c r="E23" s="323"/>
      <c r="F23" s="604"/>
    </row>
    <row r="24" spans="1:8" ht="18.75" x14ac:dyDescent="0.2">
      <c r="A24" s="599" t="str">
        <f>'(B3) Struktura Funksionale'!A21</f>
        <v>Nënfunksioni 3</v>
      </c>
      <c r="B24" s="599" t="str">
        <f>'(B3) Struktura Funksionale'!B21</f>
        <v>031</v>
      </c>
      <c r="C24" s="250" t="str">
        <f>'(B3) Struktura Funksionale'!C21</f>
        <v>Shërbimet Policore</v>
      </c>
      <c r="D24" s="242"/>
      <c r="E24" s="242"/>
      <c r="F24" s="243"/>
      <c r="G24" s="242" t="e">
        <f>E24-#REF!-#REF!</f>
        <v>#REF!</v>
      </c>
      <c r="H24" s="243" t="e">
        <f>F24-#REF!-#REF!</f>
        <v>#REF!</v>
      </c>
    </row>
    <row r="25" spans="1:8" x14ac:dyDescent="0.2">
      <c r="A25" s="188" t="str">
        <f>'(B3) Struktura Funksionale'!A22</f>
        <v>Programi 3a</v>
      </c>
      <c r="B25" s="584" t="str">
        <f>'(B3) Struktura Funksionale'!B22</f>
        <v>03140</v>
      </c>
      <c r="C25" s="188" t="str">
        <f>'(B3) Struktura Funksionale'!C22</f>
        <v>Shërbimet e Policisë Vendore</v>
      </c>
      <c r="D25" s="50"/>
      <c r="E25" s="51"/>
      <c r="F25" s="50"/>
      <c r="G25" s="65" t="e">
        <f>E25-#REF!-#REF!</f>
        <v>#REF!</v>
      </c>
      <c r="H25" s="65" t="e">
        <f>F25-#REF!-#REF!</f>
        <v>#REF!</v>
      </c>
    </row>
    <row r="26" spans="1:8" x14ac:dyDescent="0.2">
      <c r="A26" s="188" t="str">
        <f>'(B3) Struktura Funksionale'!A23</f>
        <v>Programi 3b</v>
      </c>
      <c r="B26" s="584">
        <f>'(B3) Struktura Funksionale'!B23</f>
        <v>0</v>
      </c>
      <c r="C26" s="188">
        <f>'(B3) Struktura Funksionale'!C23</f>
        <v>0</v>
      </c>
      <c r="D26" s="198"/>
      <c r="E26" s="199"/>
      <c r="F26" s="198"/>
      <c r="G26" s="65" t="e">
        <f>E26-#REF!-#REF!</f>
        <v>#REF!</v>
      </c>
      <c r="H26" s="65" t="e">
        <f>F26-#REF!-#REF!</f>
        <v>#REF!</v>
      </c>
    </row>
    <row r="27" spans="1:8" x14ac:dyDescent="0.2">
      <c r="A27" s="188" t="str">
        <f>'(B3) Struktura Funksionale'!A24</f>
        <v>Programi 3c</v>
      </c>
      <c r="B27" s="584">
        <f>'(B3) Struktura Funksionale'!B24</f>
        <v>0</v>
      </c>
      <c r="C27" s="188">
        <f>'(B3) Struktura Funksionale'!C24</f>
        <v>0</v>
      </c>
      <c r="D27" s="198"/>
      <c r="E27" s="199"/>
      <c r="F27" s="198"/>
      <c r="G27" s="65" t="e">
        <f>E27-#REF!-#REF!</f>
        <v>#REF!</v>
      </c>
      <c r="H27" s="65" t="e">
        <f>F27-#REF!-#REF!</f>
        <v>#REF!</v>
      </c>
    </row>
    <row r="28" spans="1:8" x14ac:dyDescent="0.2">
      <c r="A28" s="20"/>
      <c r="B28" s="254"/>
      <c r="C28" s="192"/>
      <c r="D28" s="193">
        <f>SUM(D25:D27)</f>
        <v>0</v>
      </c>
      <c r="E28" s="193">
        <f>SUM(E25:E27)</f>
        <v>0</v>
      </c>
      <c r="F28" s="193">
        <f>SUM(F25:F27)</f>
        <v>0</v>
      </c>
      <c r="G28" s="65" t="e">
        <f>E28-#REF!-#REF!</f>
        <v>#REF!</v>
      </c>
      <c r="H28" s="65" t="e">
        <f>F28-#REF!-#REF!</f>
        <v>#REF!</v>
      </c>
    </row>
    <row r="29" spans="1:8" ht="18.75" x14ac:dyDescent="0.2">
      <c r="A29" s="599" t="str">
        <f>'(B3) Struktura Funksionale'!A25</f>
        <v>Nënfunksioni 4</v>
      </c>
      <c r="B29" s="599" t="str">
        <f>'(B3) Struktura Funksionale'!B25</f>
        <v>032</v>
      </c>
      <c r="C29" s="250" t="str">
        <f>'(B3) Struktura Funksionale'!C25</f>
        <v>Shërbimet e mbrojtjes ndaj zjarrit</v>
      </c>
      <c r="D29" s="242"/>
      <c r="E29" s="242"/>
      <c r="F29" s="243"/>
      <c r="G29" s="242" t="e">
        <f>E29-#REF!-#REF!</f>
        <v>#REF!</v>
      </c>
      <c r="H29" s="243" t="e">
        <f>F29-#REF!-#REF!</f>
        <v>#REF!</v>
      </c>
    </row>
    <row r="30" spans="1:8" x14ac:dyDescent="0.2">
      <c r="A30" s="188" t="str">
        <f>'(B3) Struktura Funksionale'!A26</f>
        <v>Programi 4a</v>
      </c>
      <c r="B30" s="584" t="str">
        <f>'(B3) Struktura Funksionale'!B26</f>
        <v>03280</v>
      </c>
      <c r="C30" s="188" t="str">
        <f>'(B3) Struktura Funksionale'!C26</f>
        <v>Mbrotja nga zjarri dhe mbrojtja civile</v>
      </c>
      <c r="D30" s="50"/>
      <c r="E30" s="51"/>
      <c r="F30" s="50"/>
      <c r="G30" s="65" t="e">
        <f>E30-#REF!-#REF!</f>
        <v>#REF!</v>
      </c>
      <c r="H30" s="65" t="e">
        <f>F30-#REF!-#REF!</f>
        <v>#REF!</v>
      </c>
    </row>
    <row r="31" spans="1:8" x14ac:dyDescent="0.2">
      <c r="A31" s="188" t="str">
        <f>'(B3) Struktura Funksionale'!A27</f>
        <v>Programi 4b</v>
      </c>
      <c r="B31" s="584">
        <f>'(B3) Struktura Funksionale'!B27</f>
        <v>0</v>
      </c>
      <c r="C31" s="188">
        <f>'(B3) Struktura Funksionale'!C27</f>
        <v>0</v>
      </c>
      <c r="D31" s="198"/>
      <c r="E31" s="199"/>
      <c r="F31" s="198"/>
      <c r="G31" s="65" t="e">
        <f>E31-#REF!-#REF!</f>
        <v>#REF!</v>
      </c>
      <c r="H31" s="65" t="e">
        <f>F31-#REF!-#REF!</f>
        <v>#REF!</v>
      </c>
    </row>
    <row r="32" spans="1:8" x14ac:dyDescent="0.2">
      <c r="A32" s="188" t="str">
        <f>'(B3) Struktura Funksionale'!A28</f>
        <v>Programi 4c</v>
      </c>
      <c r="B32" s="584">
        <f>'(B3) Struktura Funksionale'!B28</f>
        <v>0</v>
      </c>
      <c r="C32" s="188">
        <f>'(B3) Struktura Funksionale'!C28</f>
        <v>0</v>
      </c>
      <c r="D32" s="198"/>
      <c r="E32" s="199"/>
      <c r="F32" s="198"/>
      <c r="G32" s="65" t="e">
        <f>E32-#REF!-#REF!</f>
        <v>#REF!</v>
      </c>
      <c r="H32" s="65" t="e">
        <f>F32-#REF!-#REF!</f>
        <v>#REF!</v>
      </c>
    </row>
    <row r="33" spans="1:8" x14ac:dyDescent="0.2">
      <c r="A33" s="20"/>
      <c r="B33" s="254"/>
      <c r="C33" s="192"/>
      <c r="D33" s="193">
        <f>SUM(D30:D32)</f>
        <v>0</v>
      </c>
      <c r="E33" s="193">
        <f>SUM(E30:E32)</f>
        <v>0</v>
      </c>
      <c r="F33" s="193">
        <f>SUM(F30:F32)</f>
        <v>0</v>
      </c>
      <c r="G33" s="65" t="e">
        <f>E33-#REF!-#REF!</f>
        <v>#REF!</v>
      </c>
      <c r="H33" s="65" t="e">
        <f>F33-#REF!-#REF!</f>
        <v>#REF!</v>
      </c>
    </row>
    <row r="34" spans="1:8" ht="18.75" x14ac:dyDescent="0.2">
      <c r="A34" s="599" t="str">
        <f>'(B3) Struktura Funksionale'!A29</f>
        <v>Nënfunksioni 5</v>
      </c>
      <c r="B34" s="599" t="str">
        <f>'(B3) Struktura Funksionale'!B29</f>
        <v>036</v>
      </c>
      <c r="C34" s="250" t="str">
        <f>'(B3) Struktura Funksionale'!C29</f>
        <v>Marrdheniet me komunitetin</v>
      </c>
      <c r="D34" s="242"/>
      <c r="E34" s="242"/>
      <c r="F34" s="243"/>
      <c r="G34" s="242" t="e">
        <f>E34-#REF!-#REF!</f>
        <v>#REF!</v>
      </c>
      <c r="H34" s="243" t="e">
        <f>F34-#REF!-#REF!</f>
        <v>#REF!</v>
      </c>
    </row>
    <row r="35" spans="1:8" x14ac:dyDescent="0.2">
      <c r="A35" s="188" t="str">
        <f>'(B3) Struktura Funksionale'!A30</f>
        <v>Programi 5a</v>
      </c>
      <c r="B35" s="585" t="str">
        <f>'(B3) Struktura Funksionale'!B30</f>
        <v>03600</v>
      </c>
      <c r="C35" s="188" t="str">
        <f>'(B3) Struktura Funksionale'!C30</f>
        <v>Marrdheniet me komunitetin</v>
      </c>
      <c r="D35" s="195"/>
      <c r="E35" s="195"/>
      <c r="F35" s="195"/>
      <c r="G35" s="65" t="e">
        <f>E35-#REF!-#REF!</f>
        <v>#REF!</v>
      </c>
      <c r="H35" s="65" t="e">
        <f>F35-#REF!-#REF!</f>
        <v>#REF!</v>
      </c>
    </row>
    <row r="36" spans="1:8" hidden="1" x14ac:dyDescent="0.2">
      <c r="A36" s="188" t="str">
        <f>'(B3) Struktura Funksionale'!A31</f>
        <v>Programi 5b</v>
      </c>
      <c r="B36" s="584" t="str">
        <f>'(B3) Struktura Funksionale'!B31</f>
        <v>03602</v>
      </c>
      <c r="C36" s="188" t="str">
        <f>'(B3) Struktura Funksionale'!C31</f>
        <v>Supervizionimi administrativ lokal</v>
      </c>
      <c r="D36" s="50"/>
      <c r="E36" s="50"/>
      <c r="F36" s="50"/>
      <c r="G36" s="65" t="e">
        <f>E36-#REF!-#REF!</f>
        <v>#REF!</v>
      </c>
      <c r="H36" s="65" t="e">
        <f>F36-#REF!-#REF!</f>
        <v>#REF!</v>
      </c>
    </row>
    <row r="37" spans="1:8" x14ac:dyDescent="0.2">
      <c r="A37" s="188" t="str">
        <f>'(B3) Struktura Funksionale'!A32</f>
        <v>Programi 5c</v>
      </c>
      <c r="B37" s="584">
        <f>'(B3) Struktura Funksionale'!B32</f>
        <v>0</v>
      </c>
      <c r="C37" s="188">
        <f>'(B3) Struktura Funksionale'!C32</f>
        <v>0</v>
      </c>
      <c r="D37" s="50"/>
      <c r="E37" s="50"/>
      <c r="F37" s="50"/>
      <c r="G37" s="65" t="e">
        <f>E37-#REF!-#REF!</f>
        <v>#REF!</v>
      </c>
      <c r="H37" s="65" t="e">
        <f>F37-#REF!-#REF!</f>
        <v>#REF!</v>
      </c>
    </row>
    <row r="38" spans="1:8" ht="13.5" thickBot="1" x14ac:dyDescent="0.25">
      <c r="A38" s="20"/>
      <c r="B38" s="254"/>
      <c r="C38" s="192"/>
      <c r="D38" s="193">
        <f>SUM(D35:D37)</f>
        <v>0</v>
      </c>
      <c r="E38" s="193">
        <f>SUM(E35:E37)</f>
        <v>0</v>
      </c>
      <c r="F38" s="193">
        <f>SUM(F35:F37)</f>
        <v>0</v>
      </c>
      <c r="G38" s="65" t="e">
        <f>E38-#REF!-#REF!</f>
        <v>#REF!</v>
      </c>
      <c r="H38" s="65" t="e">
        <f>F38-#REF!-#REF!</f>
        <v>#REF!</v>
      </c>
    </row>
    <row r="39" spans="1:8" s="228" customFormat="1" ht="19.5" thickBot="1" x14ac:dyDescent="0.35">
      <c r="A39" s="603" t="str">
        <f>'(B3) Struktura Funksionale'!A33</f>
        <v>04 Çeshtjet Ekonomike</v>
      </c>
      <c r="B39" s="323"/>
      <c r="C39" s="323"/>
      <c r="D39" s="323"/>
      <c r="E39" s="323"/>
      <c r="F39" s="604"/>
    </row>
    <row r="40" spans="1:8" ht="18.75" x14ac:dyDescent="0.2">
      <c r="A40" s="599" t="str">
        <f>'(B3) Struktura Funksionale'!A34</f>
        <v>Nënfunksioni 6</v>
      </c>
      <c r="B40" s="599" t="str">
        <f>'(B3) Struktura Funksionale'!B34</f>
        <v>041</v>
      </c>
      <c r="C40" s="250" t="str">
        <f>'(B3) Struktura Funksionale'!C34</f>
        <v>Çështjet e përgjithshme ekonomike, tregtare dhe të punës</v>
      </c>
      <c r="D40" s="242"/>
      <c r="E40" s="242"/>
      <c r="F40" s="243"/>
      <c r="G40" s="242" t="e">
        <f>E40-#REF!-#REF!</f>
        <v>#REF!</v>
      </c>
      <c r="H40" s="243" t="e">
        <f>F40-#REF!-#REF!</f>
        <v>#REF!</v>
      </c>
    </row>
    <row r="41" spans="1:8" hidden="1" x14ac:dyDescent="0.2">
      <c r="A41" s="188" t="str">
        <f>'(B3) Struktura Funksionale'!A35</f>
        <v>Programi 6a</v>
      </c>
      <c r="B41" s="584" t="str">
        <f>'(B3) Struktura Funksionale'!B35</f>
        <v>04110</v>
      </c>
      <c r="C41" s="188" t="str">
        <f>'(B3) Struktura Funksionale'!C35</f>
        <v xml:space="preserve">Çështjet e përgjithshme ekonomike dhe tregtare </v>
      </c>
      <c r="D41" s="195"/>
      <c r="E41" s="195"/>
      <c r="F41" s="195"/>
      <c r="G41" s="65" t="e">
        <f>E41-#REF!-#REF!</f>
        <v>#REF!</v>
      </c>
      <c r="H41" s="65" t="e">
        <f>F41-#REF!-#REF!</f>
        <v>#REF!</v>
      </c>
    </row>
    <row r="42" spans="1:8" x14ac:dyDescent="0.2">
      <c r="A42" s="188" t="str">
        <f>'(B3) Struktura Funksionale'!A36</f>
        <v>Programi 6b</v>
      </c>
      <c r="B42" s="584" t="str">
        <f>'(B3) Struktura Funksionale'!B36</f>
        <v>04130</v>
      </c>
      <c r="C42" s="188" t="str">
        <f>'(B3) Struktura Funksionale'!C36</f>
        <v>Mbështetje për zhvillimin ekonomik</v>
      </c>
      <c r="D42" s="50"/>
      <c r="E42" s="195"/>
      <c r="F42" s="50"/>
      <c r="G42" s="65" t="e">
        <f>E42-#REF!-#REF!</f>
        <v>#REF!</v>
      </c>
      <c r="H42" s="65" t="e">
        <f>F42-#REF!-#REF!</f>
        <v>#REF!</v>
      </c>
    </row>
    <row r="43" spans="1:8" hidden="1" x14ac:dyDescent="0.2">
      <c r="A43" s="188" t="str">
        <f>'(B3) Struktura Funksionale'!A37</f>
        <v>Programi 6c</v>
      </c>
      <c r="B43" s="584" t="str">
        <f>'(B3) Struktura Funksionale'!B37</f>
        <v>04131</v>
      </c>
      <c r="C43" s="188" t="str">
        <f>'(B3) Struktura Funksionale'!C37</f>
        <v>Promovimi i biznesit lokal</v>
      </c>
      <c r="D43" s="198"/>
      <c r="E43" s="195"/>
      <c r="F43" s="198"/>
      <c r="G43" s="65" t="e">
        <f>E43-#REF!-#REF!</f>
        <v>#REF!</v>
      </c>
      <c r="H43" s="65" t="e">
        <f>F43-#REF!-#REF!</f>
        <v>#REF!</v>
      </c>
    </row>
    <row r="44" spans="1:8" hidden="1" x14ac:dyDescent="0.2">
      <c r="A44" s="188" t="str">
        <f>'(B3) Struktura Funksionale'!A38</f>
        <v>Programi 6d</v>
      </c>
      <c r="B44" s="584" t="str">
        <f>'(B3) Struktura Funksionale'!B38</f>
        <v>04132</v>
      </c>
      <c r="C44" s="188" t="str">
        <f>'(B3) Struktura Funksionale'!C38</f>
        <v>Mbështetja e Zhvillimit rajonal</v>
      </c>
      <c r="D44" s="198"/>
      <c r="E44" s="195"/>
      <c r="F44" s="198"/>
    </row>
    <row r="45" spans="1:8" x14ac:dyDescent="0.2">
      <c r="A45" s="188" t="str">
        <f>'(B3) Struktura Funksionale'!A39</f>
        <v>Programi 6e</v>
      </c>
      <c r="B45" s="584" t="str">
        <f>'(B3) Struktura Funksionale'!B39</f>
        <v>04160</v>
      </c>
      <c r="C45" s="188" t="str">
        <f>'(B3) Struktura Funksionale'!C39</f>
        <v>Shërbimet e tregjeve, akreditimi dhe inspektimi</v>
      </c>
      <c r="D45" s="50"/>
      <c r="E45" s="195"/>
      <c r="F45" s="50"/>
    </row>
    <row r="46" spans="1:8" x14ac:dyDescent="0.2">
      <c r="A46" s="20"/>
      <c r="B46" s="254"/>
      <c r="C46" s="192"/>
      <c r="D46" s="193">
        <f>SUM(D41:D45)</f>
        <v>0</v>
      </c>
      <c r="E46" s="193">
        <f>SUM(E41:E45)</f>
        <v>0</v>
      </c>
      <c r="F46" s="193">
        <f>SUM(F41:F45)</f>
        <v>0</v>
      </c>
      <c r="G46" s="601" t="e">
        <f>SUM(G41:G45)</f>
        <v>#REF!</v>
      </c>
      <c r="H46" s="193" t="e">
        <f>SUM(H41:H45)</f>
        <v>#REF!</v>
      </c>
    </row>
    <row r="47" spans="1:8" ht="18.75" x14ac:dyDescent="0.2">
      <c r="A47" s="599" t="str">
        <f>'(B3) Struktura Funksionale'!A41</f>
        <v>Nënfunksioni 7</v>
      </c>
      <c r="B47" s="599" t="str">
        <f>'(B3) Struktura Funksionale'!B41</f>
        <v>042</v>
      </c>
      <c r="C47" s="250" t="str">
        <f>'(B3) Struktura Funksionale'!C41</f>
        <v>Bujqësia, pyjet, peshkimi dhe gjuetia</v>
      </c>
      <c r="D47" s="242"/>
      <c r="E47" s="242"/>
      <c r="F47" s="243"/>
      <c r="G47" s="242" t="e">
        <f>E47-#REF!-#REF!</f>
        <v>#REF!</v>
      </c>
      <c r="H47" s="243" t="e">
        <f>F47-#REF!-#REF!</f>
        <v>#REF!</v>
      </c>
    </row>
    <row r="48" spans="1:8" x14ac:dyDescent="0.2">
      <c r="A48" s="188" t="str">
        <f>'(B3) Struktura Funksionale'!A42</f>
        <v>Programi 7a</v>
      </c>
      <c r="B48" s="584" t="str">
        <f>'(B3) Struktura Funksionale'!B42</f>
        <v>04220</v>
      </c>
      <c r="C48" s="188" t="str">
        <f>'(B3) Struktura Funksionale'!C42</f>
        <v>Shërbimet bujqësore, inspektimi, ushqimi dhe mbrojtja e konsumatoreve</v>
      </c>
      <c r="D48" s="195"/>
      <c r="E48" s="195"/>
      <c r="F48" s="195"/>
      <c r="G48" s="65" t="e">
        <f>E48-#REF!-#REF!</f>
        <v>#REF!</v>
      </c>
      <c r="H48" s="65" t="e">
        <f>F48-#REF!-#REF!</f>
        <v>#REF!</v>
      </c>
    </row>
    <row r="49" spans="1:9" hidden="1" x14ac:dyDescent="0.2">
      <c r="A49" s="188" t="str">
        <f>'(B3) Struktura Funksionale'!A43</f>
        <v>Programi 7b</v>
      </c>
      <c r="B49" s="584" t="str">
        <f>'(B3) Struktura Funksionale'!B43</f>
        <v>04222</v>
      </c>
      <c r="C49" s="188" t="str">
        <f>'(B3) Struktura Funksionale'!C43</f>
        <v>Këshillimi Bujqësor</v>
      </c>
      <c r="D49" s="50"/>
      <c r="E49" s="50"/>
      <c r="F49" s="50"/>
      <c r="G49" s="65" t="e">
        <f>E49-#REF!-#REF!</f>
        <v>#REF!</v>
      </c>
      <c r="H49" s="65" t="e">
        <f>F49-#REF!-#REF!</f>
        <v>#REF!</v>
      </c>
    </row>
    <row r="50" spans="1:9" hidden="1" x14ac:dyDescent="0.2">
      <c r="A50" s="188" t="str">
        <f>'(B3) Struktura Funksionale'!A44</f>
        <v>Programi 7c</v>
      </c>
      <c r="B50" s="584" t="str">
        <f>'(B3) Struktura Funksionale'!B44</f>
        <v>04223</v>
      </c>
      <c r="C50" s="188" t="str">
        <f>'(B3) Struktura Funksionale'!C44</f>
        <v>Veterineria</v>
      </c>
      <c r="D50" s="50"/>
      <c r="E50" s="51"/>
      <c r="F50" s="50"/>
      <c r="G50" s="65" t="e">
        <f>E50-#REF!-#REF!</f>
        <v>#REF!</v>
      </c>
      <c r="H50" s="65" t="e">
        <f>F50-#REF!-#REF!</f>
        <v>#REF!</v>
      </c>
    </row>
    <row r="51" spans="1:9" x14ac:dyDescent="0.2">
      <c r="A51" s="188" t="str">
        <f>'(B3) Struktura Funksionale'!A45</f>
        <v>Programi 7d</v>
      </c>
      <c r="B51" s="584" t="str">
        <f>'(B3) Struktura Funksionale'!B45</f>
        <v>04240</v>
      </c>
      <c r="C51" s="188" t="str">
        <f>'(B3) Struktura Funksionale'!C45</f>
        <v>Menaxhimi i Infrastruktuës së ujitjes dhe kullimit</v>
      </c>
      <c r="D51" s="199">
        <f>235820+38960</f>
        <v>274780</v>
      </c>
      <c r="E51" s="198">
        <v>0</v>
      </c>
      <c r="F51" s="198">
        <v>28800</v>
      </c>
    </row>
    <row r="52" spans="1:9" x14ac:dyDescent="0.2">
      <c r="A52" s="188" t="str">
        <f>'(B3) Struktura Funksionale'!A46</f>
        <v>Programi 7e</v>
      </c>
      <c r="B52" s="584" t="str">
        <f>'(B3) Struktura Funksionale'!B46</f>
        <v>04260</v>
      </c>
      <c r="C52" s="188" t="str">
        <f>'(B3) Struktura Funksionale'!C46</f>
        <v>Administrimi i pyjeve dhe kullotave</v>
      </c>
      <c r="D52" s="199"/>
      <c r="E52" s="199">
        <v>4283169</v>
      </c>
      <c r="F52" s="198">
        <v>8000000</v>
      </c>
    </row>
    <row r="53" spans="1:9" x14ac:dyDescent="0.2">
      <c r="A53" s="188" t="str">
        <f>'(B3) Struktura Funksionale'!A47</f>
        <v>Programi 7f</v>
      </c>
      <c r="B53" s="584">
        <f>'(B3) Struktura Funksionale'!B47</f>
        <v>0</v>
      </c>
      <c r="C53" s="188">
        <f>'(B3) Struktura Funksionale'!C47</f>
        <v>0</v>
      </c>
      <c r="D53" s="50"/>
      <c r="E53" s="50"/>
      <c r="F53" s="50"/>
    </row>
    <row r="54" spans="1:9" x14ac:dyDescent="0.2">
      <c r="A54" s="20"/>
      <c r="B54" s="254"/>
      <c r="C54" s="192"/>
      <c r="D54" s="193">
        <f>SUM(D48:D53)</f>
        <v>274780</v>
      </c>
      <c r="E54" s="193">
        <f>SUM(E48:E53)</f>
        <v>4283169</v>
      </c>
      <c r="F54" s="193">
        <f>SUM(F48:F53)</f>
        <v>8028800</v>
      </c>
      <c r="G54" s="65" t="e">
        <f>E54-#REF!-#REF!</f>
        <v>#REF!</v>
      </c>
      <c r="H54" s="65" t="e">
        <f>F54-#REF!-#REF!</f>
        <v>#REF!</v>
      </c>
    </row>
    <row r="55" spans="1:9" ht="18.75" x14ac:dyDescent="0.2">
      <c r="A55" s="599" t="str">
        <f>'(B3) Struktura Funksionale'!A48</f>
        <v>Nënfunksioni 8</v>
      </c>
      <c r="B55" s="599" t="str">
        <f>'(B3) Struktura Funksionale'!B48</f>
        <v>045</v>
      </c>
      <c r="C55" s="250" t="str">
        <f>'(B3) Struktura Funksionale'!C48</f>
        <v>Transporti</v>
      </c>
      <c r="D55" s="242"/>
      <c r="E55" s="242"/>
      <c r="F55" s="243"/>
      <c r="G55" s="242" t="e">
        <f>E55-#REF!-#REF!</f>
        <v>#REF!</v>
      </c>
      <c r="H55" s="243" t="e">
        <f>F55-#REF!-#REF!</f>
        <v>#REF!</v>
      </c>
    </row>
    <row r="56" spans="1:9" x14ac:dyDescent="0.2">
      <c r="A56" s="188" t="str">
        <f>'(B3) Struktura Funksionale'!A49</f>
        <v>Programi 8a</v>
      </c>
      <c r="B56" s="584" t="str">
        <f>'(B3) Struktura Funksionale'!B49</f>
        <v>04520</v>
      </c>
      <c r="C56" s="188" t="str">
        <f>'(B3) Struktura Funksionale'!C49</f>
        <v>Rrjeti rrugor rural</v>
      </c>
      <c r="D56" s="195">
        <f>52666439+153967200</f>
        <v>206633639</v>
      </c>
      <c r="E56" s="195">
        <f>2920680</f>
        <v>2920680</v>
      </c>
      <c r="F56" s="195">
        <v>7900000</v>
      </c>
      <c r="G56" s="65" t="e">
        <f>E56-#REF!-#REF!</f>
        <v>#REF!</v>
      </c>
      <c r="H56" s="65" t="e">
        <f>F56-#REF!-#REF!</f>
        <v>#REF!</v>
      </c>
    </row>
    <row r="57" spans="1:9" x14ac:dyDescent="0.2">
      <c r="A57" s="188" t="str">
        <f>'(B3) Struktura Funksionale'!A50</f>
        <v>Programi 8b</v>
      </c>
      <c r="B57" s="584" t="str">
        <f>'(B3) Struktura Funksionale'!B50</f>
        <v>04530</v>
      </c>
      <c r="C57" s="188" t="str">
        <f>'(B3) Struktura Funksionale'!C50</f>
        <v>Studimi i rrugëve</v>
      </c>
      <c r="D57" s="50"/>
      <c r="E57" s="50">
        <v>52253884</v>
      </c>
      <c r="F57" s="50">
        <v>176932823</v>
      </c>
      <c r="G57" s="65" t="e">
        <f>E57-#REF!-#REF!</f>
        <v>#REF!</v>
      </c>
      <c r="H57" s="65" t="e">
        <f>F57-#REF!-#REF!</f>
        <v>#REF!</v>
      </c>
      <c r="I57" s="1031"/>
    </row>
    <row r="58" spans="1:9" hidden="1" x14ac:dyDescent="0.2">
      <c r="A58" s="188" t="str">
        <f>'(B3) Struktura Funksionale'!A51</f>
        <v>Programi 8c</v>
      </c>
      <c r="B58" s="584" t="str">
        <f>'(B3) Struktura Funksionale'!B51</f>
        <v>04570</v>
      </c>
      <c r="C58" s="188" t="str">
        <f>'(B3) Struktura Funksionale'!C51</f>
        <v>Transporti publik</v>
      </c>
      <c r="D58" s="50"/>
      <c r="E58" s="50"/>
      <c r="F58" s="50"/>
      <c r="G58" s="65" t="e">
        <f>E58-#REF!-#REF!</f>
        <v>#REF!</v>
      </c>
      <c r="H58" s="65" t="e">
        <f>F58-#REF!-#REF!</f>
        <v>#REF!</v>
      </c>
    </row>
    <row r="59" spans="1:9" hidden="1" x14ac:dyDescent="0.2">
      <c r="A59" s="188" t="str">
        <f>'(B3) Struktura Funksionale'!A52</f>
        <v>Programi 8d</v>
      </c>
      <c r="B59" s="584">
        <f>'(B3) Struktura Funksionale'!B52</f>
        <v>0</v>
      </c>
      <c r="C59" s="188">
        <f>'(B3) Struktura Funksionale'!C52</f>
        <v>0</v>
      </c>
      <c r="D59" s="50"/>
      <c r="E59" s="50"/>
      <c r="F59" s="50"/>
    </row>
    <row r="60" spans="1:9" x14ac:dyDescent="0.2">
      <c r="A60" s="20"/>
      <c r="B60" s="254"/>
      <c r="C60" s="192"/>
      <c r="D60" s="193">
        <f>SUM(D56:D59)</f>
        <v>206633639</v>
      </c>
      <c r="E60" s="193">
        <f>SUM(E56:E59)</f>
        <v>55174564</v>
      </c>
      <c r="F60" s="193">
        <f>SUM(F56:F59)</f>
        <v>184832823</v>
      </c>
      <c r="G60" s="65" t="e">
        <f>E60-#REF!-#REF!</f>
        <v>#REF!</v>
      </c>
      <c r="H60" s="65" t="e">
        <f>F60-#REF!-#REF!</f>
        <v>#REF!</v>
      </c>
    </row>
    <row r="61" spans="1:9" ht="18.75" x14ac:dyDescent="0.2">
      <c r="A61" s="599" t="str">
        <f>'(B3) Struktura Funksionale'!A53</f>
        <v>Nënfunksioni 9</v>
      </c>
      <c r="B61" s="599" t="str">
        <f>'(B3) Struktura Funksionale'!B53</f>
        <v>047</v>
      </c>
      <c r="C61" s="250" t="str">
        <f>'(B3) Struktura Funksionale'!C53</f>
        <v>Industri të tjera</v>
      </c>
      <c r="D61" s="242"/>
      <c r="E61" s="242"/>
      <c r="F61" s="243"/>
      <c r="G61" s="242" t="e">
        <f>E61-#REF!-#REF!</f>
        <v>#REF!</v>
      </c>
      <c r="H61" s="243" t="e">
        <f>F61-#REF!-#REF!</f>
        <v>#REF!</v>
      </c>
    </row>
    <row r="62" spans="1:9" x14ac:dyDescent="0.2">
      <c r="A62" s="188" t="str">
        <f>'(B3) Struktura Funksionale'!A54</f>
        <v>Programi 9a</v>
      </c>
      <c r="B62" s="584" t="str">
        <f>'(B3) Struktura Funksionale'!B54</f>
        <v>04740</v>
      </c>
      <c r="C62" s="188" t="str">
        <f>'(B3) Struktura Funksionale'!C54</f>
        <v>Projekte Zhvillimi</v>
      </c>
      <c r="D62" s="50"/>
      <c r="E62" s="51"/>
      <c r="F62" s="50"/>
      <c r="G62" s="65" t="e">
        <f>E62-#REF!-#REF!</f>
        <v>#REF!</v>
      </c>
      <c r="H62" s="65" t="e">
        <f>F62-#REF!-#REF!</f>
        <v>#REF!</v>
      </c>
    </row>
    <row r="63" spans="1:9" x14ac:dyDescent="0.2">
      <c r="A63" s="188" t="str">
        <f>'(B3) Struktura Funksionale'!A55</f>
        <v>Programi 9b</v>
      </c>
      <c r="B63" s="584" t="str">
        <f>'(B3) Struktura Funksionale'!B55</f>
        <v>04760</v>
      </c>
      <c r="C63" s="188" t="str">
        <f>'(B3) Struktura Funksionale'!C55</f>
        <v>Zhvillimi i turizmit</v>
      </c>
      <c r="D63" s="198"/>
      <c r="E63" s="199"/>
      <c r="F63" s="198"/>
      <c r="G63" s="65" t="e">
        <f>E63-#REF!-#REF!</f>
        <v>#REF!</v>
      </c>
      <c r="H63" s="65" t="e">
        <f>F63-#REF!-#REF!</f>
        <v>#REF!</v>
      </c>
    </row>
    <row r="64" spans="1:9" hidden="1" x14ac:dyDescent="0.2">
      <c r="A64" s="188" t="str">
        <f>'(B3) Struktura Funksionale'!A56</f>
        <v>Programi 9c</v>
      </c>
      <c r="B64" s="584" t="str">
        <f>'(B3) Struktura Funksionale'!B56</f>
        <v>04742</v>
      </c>
      <c r="C64" s="188" t="str">
        <f>'(B3) Struktura Funksionale'!C56</f>
        <v>Rekreacioni</v>
      </c>
      <c r="D64" s="198"/>
      <c r="E64" s="199"/>
      <c r="F64" s="198"/>
      <c r="G64" s="65" t="e">
        <f>E64-#REF!-#REF!</f>
        <v>#REF!</v>
      </c>
      <c r="H64" s="65" t="e">
        <f>F64-#REF!-#REF!</f>
        <v>#REF!</v>
      </c>
    </row>
    <row r="65" spans="1:8" x14ac:dyDescent="0.2">
      <c r="A65" s="188" t="str">
        <f>'(B3) Struktura Funksionale'!A57</f>
        <v>Programi 9d</v>
      </c>
      <c r="B65" s="584">
        <f>'(B3) Struktura Funksionale'!B57</f>
        <v>0</v>
      </c>
      <c r="C65" s="188">
        <f>'(B3) Struktura Funksionale'!C57</f>
        <v>0</v>
      </c>
      <c r="D65" s="50"/>
      <c r="E65" s="50"/>
      <c r="F65" s="50"/>
    </row>
    <row r="66" spans="1:8" ht="13.5" thickBot="1" x14ac:dyDescent="0.25">
      <c r="A66" s="208"/>
      <c r="B66" s="255"/>
      <c r="C66" s="208"/>
      <c r="D66" s="67">
        <f>SUM(D62:D65)</f>
        <v>0</v>
      </c>
      <c r="E66" s="67">
        <f>SUM(E62:E65)</f>
        <v>0</v>
      </c>
      <c r="F66" s="67">
        <f>SUM(F62:F65)</f>
        <v>0</v>
      </c>
      <c r="G66" s="602" t="e">
        <f>SUM(G62:G65)</f>
        <v>#REF!</v>
      </c>
      <c r="H66" s="67" t="e">
        <f>SUM(H62:H65)</f>
        <v>#REF!</v>
      </c>
    </row>
    <row r="67" spans="1:8" s="228" customFormat="1" ht="19.5" thickBot="1" x14ac:dyDescent="0.35">
      <c r="A67" s="603" t="str">
        <f>'(B3) Struktura Funksionale'!A58</f>
        <v>05 Mbrojtja Mjedisore</v>
      </c>
      <c r="B67" s="323"/>
      <c r="C67" s="323"/>
      <c r="D67" s="323"/>
      <c r="E67" s="323"/>
      <c r="F67" s="604"/>
    </row>
    <row r="68" spans="1:8" ht="20.25" customHeight="1" x14ac:dyDescent="0.2">
      <c r="A68" s="599" t="str">
        <f>'(B3) Struktura Funksionale'!A59</f>
        <v>Nënfunksioni 10</v>
      </c>
      <c r="B68" s="599" t="str">
        <f>'(B3) Struktura Funksionale'!B59</f>
        <v>062</v>
      </c>
      <c r="C68" s="250" t="str">
        <f>'(B3) Struktura Funksionale'!C59</f>
        <v>Menaxhimi i mbetjeve</v>
      </c>
      <c r="D68" s="242"/>
      <c r="E68" s="242"/>
      <c r="F68" s="243"/>
      <c r="G68" s="242" t="e">
        <f>E68-#REF!-#REF!</f>
        <v>#REF!</v>
      </c>
      <c r="H68" s="243" t="e">
        <f>F68-#REF!-#REF!</f>
        <v>#REF!</v>
      </c>
    </row>
    <row r="69" spans="1:8" x14ac:dyDescent="0.2">
      <c r="A69" s="188" t="str">
        <f>'(B3) Struktura Funksionale'!A60</f>
        <v>Programi 10a</v>
      </c>
      <c r="B69" s="584" t="str">
        <f>'(B3) Struktura Funksionale'!B60</f>
        <v>06260</v>
      </c>
      <c r="C69" s="188" t="str">
        <f>'(B3) Struktura Funksionale'!C60</f>
        <v>Menaxhimi i mbetjeve</v>
      </c>
      <c r="D69" s="195"/>
      <c r="E69" s="195"/>
      <c r="F69" s="195"/>
      <c r="G69" s="65" t="e">
        <f>E69-#REF!-#REF!</f>
        <v>#REF!</v>
      </c>
      <c r="H69" s="65" t="e">
        <f>F69-#REF!-#REF!</f>
        <v>#REF!</v>
      </c>
    </row>
    <row r="70" spans="1:8" x14ac:dyDescent="0.2">
      <c r="A70" s="188" t="str">
        <f>'(B3) Struktura Funksionale'!A61</f>
        <v>Programi 10b</v>
      </c>
      <c r="B70" s="584">
        <f>'(B3) Struktura Funksionale'!B61</f>
        <v>0</v>
      </c>
      <c r="C70" s="188">
        <f>'(B3) Struktura Funksionale'!C61</f>
        <v>0</v>
      </c>
      <c r="D70" s="50"/>
      <c r="E70" s="50"/>
      <c r="F70" s="50"/>
      <c r="G70" s="65" t="e">
        <f>E70-#REF!-#REF!</f>
        <v>#REF!</v>
      </c>
      <c r="H70" s="65" t="e">
        <f>F70-#REF!-#REF!</f>
        <v>#REF!</v>
      </c>
    </row>
    <row r="71" spans="1:8" x14ac:dyDescent="0.2">
      <c r="A71" s="188" t="str">
        <f>'(B3) Struktura Funksionale'!A62</f>
        <v>Programi 10c</v>
      </c>
      <c r="B71" s="584">
        <f>'(B3) Struktura Funksionale'!B62</f>
        <v>0</v>
      </c>
      <c r="C71" s="188">
        <f>'(B3) Struktura Funksionale'!C62</f>
        <v>0</v>
      </c>
      <c r="D71" s="50"/>
      <c r="E71" s="50"/>
      <c r="F71" s="50"/>
      <c r="G71" s="65" t="e">
        <f>E71-#REF!-#REF!</f>
        <v>#REF!</v>
      </c>
      <c r="H71" s="65" t="e">
        <f>F71-#REF!-#REF!</f>
        <v>#REF!</v>
      </c>
    </row>
    <row r="72" spans="1:8" x14ac:dyDescent="0.2">
      <c r="A72" s="20"/>
      <c r="B72" s="254"/>
      <c r="C72" s="192"/>
      <c r="D72" s="193">
        <f>SUM(D69:D71)</f>
        <v>0</v>
      </c>
      <c r="E72" s="193">
        <f>SUM(E69:E71)</f>
        <v>0</v>
      </c>
      <c r="F72" s="67">
        <f>SUM(F69:F71)</f>
        <v>0</v>
      </c>
      <c r="G72" s="65" t="e">
        <f>E72-#REF!-#REF!</f>
        <v>#REF!</v>
      </c>
      <c r="H72" s="65" t="e">
        <f>F72-#REF!-#REF!</f>
        <v>#REF!</v>
      </c>
    </row>
    <row r="73" spans="1:8" ht="18.75" customHeight="1" x14ac:dyDescent="0.2">
      <c r="A73" s="599" t="str">
        <f>'(B3) Struktura Funksionale'!A63</f>
        <v>Nënfunksioni 11</v>
      </c>
      <c r="B73" s="599" t="str">
        <f>'(B3) Struktura Funksionale'!B63</f>
        <v>052</v>
      </c>
      <c r="C73" s="250" t="str">
        <f>'(B3) Struktura Funksionale'!C63</f>
        <v>Menaxhimi i Ujërave të zeza</v>
      </c>
      <c r="D73" s="242"/>
      <c r="E73" s="242"/>
      <c r="F73" s="243"/>
      <c r="G73" s="242" t="e">
        <f>E73-#REF!-#REF!</f>
        <v>#REF!</v>
      </c>
      <c r="H73" s="243" t="e">
        <f>F73-#REF!-#REF!</f>
        <v>#REF!</v>
      </c>
    </row>
    <row r="74" spans="1:8" x14ac:dyDescent="0.2">
      <c r="A74" s="188" t="str">
        <f>'(B3) Struktura Funksionale'!A64</f>
        <v>Programi 11a</v>
      </c>
      <c r="B74" s="584" t="str">
        <f>'(B3) Struktura Funksionale'!B64</f>
        <v>05200</v>
      </c>
      <c r="C74" s="188" t="str">
        <f>'(B3) Struktura Funksionale'!C64</f>
        <v>Menaxhimi i ujrave të zeza dhe kanalizimeve</v>
      </c>
      <c r="D74" s="50"/>
      <c r="E74" s="51"/>
      <c r="F74" s="50"/>
      <c r="G74" s="65" t="e">
        <f>E74-#REF!-#REF!</f>
        <v>#REF!</v>
      </c>
      <c r="H74" s="65" t="e">
        <f>F74-#REF!-#REF!</f>
        <v>#REF!</v>
      </c>
    </row>
    <row r="75" spans="1:8" x14ac:dyDescent="0.2">
      <c r="A75" s="188" t="str">
        <f>'(B3) Struktura Funksionale'!A65</f>
        <v>Programi 11b</v>
      </c>
      <c r="B75" s="584">
        <f>'(B3) Struktura Funksionale'!B65</f>
        <v>0</v>
      </c>
      <c r="C75" s="188">
        <f>'(B3) Struktura Funksionale'!C65</f>
        <v>0</v>
      </c>
      <c r="D75" s="198"/>
      <c r="E75" s="199"/>
      <c r="F75" s="198"/>
      <c r="G75" s="65" t="e">
        <f>E75-#REF!-#REF!</f>
        <v>#REF!</v>
      </c>
      <c r="H75" s="65" t="e">
        <f>F75-#REF!-#REF!</f>
        <v>#REF!</v>
      </c>
    </row>
    <row r="76" spans="1:8" x14ac:dyDescent="0.2">
      <c r="A76" s="188" t="str">
        <f>'(B3) Struktura Funksionale'!A66</f>
        <v>Programi 11c</v>
      </c>
      <c r="B76" s="584">
        <f>'(B3) Struktura Funksionale'!B66</f>
        <v>0</v>
      </c>
      <c r="C76" s="188">
        <f>'(B3) Struktura Funksionale'!C66</f>
        <v>0</v>
      </c>
      <c r="D76" s="198"/>
      <c r="E76" s="199"/>
      <c r="F76" s="198"/>
      <c r="G76" s="65" t="e">
        <f>E76-#REF!-#REF!</f>
        <v>#REF!</v>
      </c>
      <c r="H76" s="65" t="e">
        <f>F76-#REF!-#REF!</f>
        <v>#REF!</v>
      </c>
    </row>
    <row r="77" spans="1:8" x14ac:dyDescent="0.2">
      <c r="A77" s="20"/>
      <c r="B77" s="254"/>
      <c r="C77" s="192"/>
      <c r="D77" s="193">
        <f>SUM(D74:D76)</f>
        <v>0</v>
      </c>
      <c r="E77" s="193">
        <f>SUM(E74:E76)</f>
        <v>0</v>
      </c>
      <c r="F77" s="193">
        <f>SUM(F74:F76)</f>
        <v>0</v>
      </c>
      <c r="G77" s="65" t="e">
        <f>E77-#REF!-#REF!</f>
        <v>#REF!</v>
      </c>
      <c r="H77" s="65" t="e">
        <f>F77-#REF!-#REF!</f>
        <v>#REF!</v>
      </c>
    </row>
    <row r="78" spans="1:8" ht="20.25" customHeight="1" x14ac:dyDescent="0.2">
      <c r="A78" s="599" t="str">
        <f>'(B3) Struktura Funksionale'!A67</f>
        <v>Nënfunksioni 12</v>
      </c>
      <c r="B78" s="599" t="str">
        <f>'(B3) Struktura Funksionale'!B67</f>
        <v>053</v>
      </c>
      <c r="C78" s="250" t="str">
        <f>'(B3) Struktura Funksionale'!C67</f>
        <v>Reduktimi i ndotjes</v>
      </c>
      <c r="D78" s="242"/>
      <c r="E78" s="242"/>
      <c r="F78" s="243"/>
      <c r="G78" s="242" t="e">
        <f>E78-#REF!-#REF!</f>
        <v>#REF!</v>
      </c>
      <c r="H78" s="243" t="e">
        <f>F78-#REF!-#REF!</f>
        <v>#REF!</v>
      </c>
    </row>
    <row r="79" spans="1:8" x14ac:dyDescent="0.2">
      <c r="A79" s="188" t="str">
        <f>'(B3) Struktura Funksionale'!A68</f>
        <v>Programi 12a</v>
      </c>
      <c r="B79" s="584" t="str">
        <f>'(B3) Struktura Funksionale'!B68</f>
        <v>05320</v>
      </c>
      <c r="C79" s="188" t="str">
        <f>'(B3) Struktura Funksionale'!C68</f>
        <v>Programet e mbrojtjes së mjedisit</v>
      </c>
      <c r="D79" s="50"/>
      <c r="E79" s="51"/>
      <c r="F79" s="50"/>
      <c r="G79" s="65" t="e">
        <f>E79-#REF!-#REF!</f>
        <v>#REF!</v>
      </c>
      <c r="H79" s="65" t="e">
        <f>F79-#REF!-#REF!</f>
        <v>#REF!</v>
      </c>
    </row>
    <row r="80" spans="1:8" x14ac:dyDescent="0.2">
      <c r="A80" s="188" t="str">
        <f>'(B3) Struktura Funksionale'!A69</f>
        <v>Programi 12b</v>
      </c>
      <c r="B80" s="584">
        <f>'(B3) Struktura Funksionale'!B69</f>
        <v>0</v>
      </c>
      <c r="C80" s="188">
        <f>'(B3) Struktura Funksionale'!C69</f>
        <v>0</v>
      </c>
      <c r="D80" s="198"/>
      <c r="E80" s="199"/>
      <c r="F80" s="198"/>
      <c r="G80" s="65" t="e">
        <f>E80-#REF!-#REF!</f>
        <v>#REF!</v>
      </c>
      <c r="H80" s="65" t="e">
        <f>F80-#REF!-#REF!</f>
        <v>#REF!</v>
      </c>
    </row>
    <row r="81" spans="1:8" x14ac:dyDescent="0.2">
      <c r="A81" s="188" t="str">
        <f>'(B3) Struktura Funksionale'!A70</f>
        <v>Programi 12c</v>
      </c>
      <c r="B81" s="584">
        <f>'(B3) Struktura Funksionale'!B70</f>
        <v>0</v>
      </c>
      <c r="C81" s="188">
        <f>'(B3) Struktura Funksionale'!C70</f>
        <v>0</v>
      </c>
      <c r="D81" s="198"/>
      <c r="E81" s="199"/>
      <c r="F81" s="198"/>
      <c r="G81" s="65" t="e">
        <f>E81-#REF!-#REF!</f>
        <v>#REF!</v>
      </c>
      <c r="H81" s="65" t="e">
        <f>F81-#REF!-#REF!</f>
        <v>#REF!</v>
      </c>
    </row>
    <row r="82" spans="1:8" x14ac:dyDescent="0.2">
      <c r="A82" s="20"/>
      <c r="B82" s="254"/>
      <c r="C82" s="192"/>
      <c r="D82" s="193">
        <f>SUM(D79:D81)</f>
        <v>0</v>
      </c>
      <c r="E82" s="193">
        <f>SUM(E79:E81)</f>
        <v>0</v>
      </c>
      <c r="F82" s="193">
        <f>SUM(F79:F81)</f>
        <v>0</v>
      </c>
      <c r="G82" s="65" t="e">
        <f>E82-#REF!-#REF!</f>
        <v>#REF!</v>
      </c>
      <c r="H82" s="65" t="e">
        <f>F82-#REF!-#REF!</f>
        <v>#REF!</v>
      </c>
    </row>
    <row r="83" spans="1:8" ht="20.25" customHeight="1" x14ac:dyDescent="0.2">
      <c r="A83" s="599" t="str">
        <f>'(B3) Struktura Funksionale'!A71</f>
        <v>Nënfunksioni 13</v>
      </c>
      <c r="B83" s="599" t="str">
        <f>'(B3) Struktura Funksionale'!B71</f>
        <v>056</v>
      </c>
      <c r="C83" s="250" t="str">
        <f>'(B3) Struktura Funksionale'!C71</f>
        <v>Mbrojtja e mjedisit</v>
      </c>
      <c r="D83" s="242"/>
      <c r="E83" s="242"/>
      <c r="F83" s="243"/>
      <c r="G83" s="242" t="e">
        <f>E83-#REF!-#REF!</f>
        <v>#REF!</v>
      </c>
      <c r="H83" s="243" t="e">
        <f>F83-#REF!-#REF!</f>
        <v>#REF!</v>
      </c>
    </row>
    <row r="84" spans="1:8" x14ac:dyDescent="0.2">
      <c r="A84" s="188" t="str">
        <f>'(B3) Struktura Funksionale'!A72</f>
        <v>Programi 13a</v>
      </c>
      <c r="B84" s="584" t="str">
        <f>'(B3) Struktura Funksionale'!B72</f>
        <v>05630</v>
      </c>
      <c r="C84" s="188" t="str">
        <f>'(B3) Struktura Funksionale'!C72</f>
        <v>Ndërgjegjësimi mjedisor</v>
      </c>
      <c r="D84" s="195"/>
      <c r="E84" s="195"/>
      <c r="F84" s="195"/>
      <c r="G84" s="65" t="e">
        <f>E84-#REF!-#REF!</f>
        <v>#REF!</v>
      </c>
      <c r="H84" s="65" t="e">
        <f>F84-#REF!-#REF!</f>
        <v>#REF!</v>
      </c>
    </row>
    <row r="85" spans="1:8" hidden="1" x14ac:dyDescent="0.2">
      <c r="A85" s="188" t="str">
        <f>'(B3) Struktura Funksionale'!A73</f>
        <v>Programi 13b</v>
      </c>
      <c r="B85" s="584" t="str">
        <f>'(B3) Struktura Funksionale'!B73</f>
        <v>05640</v>
      </c>
      <c r="C85" s="188" t="str">
        <f>'(B3) Struktura Funksionale'!C73</f>
        <v>Administrimi i resurseve ujore</v>
      </c>
      <c r="D85" s="50"/>
      <c r="E85" s="50"/>
      <c r="F85" s="50"/>
      <c r="G85" s="65" t="e">
        <f>E85-#REF!-#REF!</f>
        <v>#REF!</v>
      </c>
      <c r="H85" s="65" t="e">
        <f>F85-#REF!-#REF!</f>
        <v>#REF!</v>
      </c>
    </row>
    <row r="86" spans="1:8" x14ac:dyDescent="0.2">
      <c r="A86" s="188" t="str">
        <f>'(B3) Struktura Funksionale'!A74</f>
        <v>Programi 13c</v>
      </c>
      <c r="B86" s="584">
        <f>'(B3) Struktura Funksionale'!B74</f>
        <v>0</v>
      </c>
      <c r="C86" s="188">
        <f>'(B3) Struktura Funksionale'!C74</f>
        <v>0</v>
      </c>
      <c r="D86" s="50"/>
      <c r="E86" s="50"/>
      <c r="F86" s="50"/>
      <c r="G86" s="65" t="e">
        <f>E86-#REF!-#REF!</f>
        <v>#REF!</v>
      </c>
      <c r="H86" s="65" t="e">
        <f>F86-#REF!-#REF!</f>
        <v>#REF!</v>
      </c>
    </row>
    <row r="87" spans="1:8" ht="13.5" thickBot="1" x14ac:dyDescent="0.25">
      <c r="A87" s="20"/>
      <c r="B87" s="254"/>
      <c r="C87" s="192"/>
      <c r="D87" s="193">
        <f>SUM(D84:D86)</f>
        <v>0</v>
      </c>
      <c r="E87" s="193">
        <f>SUM(E84:E86)</f>
        <v>0</v>
      </c>
      <c r="F87" s="193">
        <f>SUM(F84:F86)</f>
        <v>0</v>
      </c>
      <c r="G87" s="65" t="e">
        <f>E87-#REF!-#REF!</f>
        <v>#REF!</v>
      </c>
      <c r="H87" s="65" t="e">
        <f>F87-#REF!-#REF!</f>
        <v>#REF!</v>
      </c>
    </row>
    <row r="88" spans="1:8" s="228" customFormat="1" ht="19.5" thickBot="1" x14ac:dyDescent="0.35">
      <c r="A88" s="603" t="str">
        <f>'(B3) Struktura Funksionale'!A75</f>
        <v>06 Strehimi dhe Komoditetet e Komunitetit</v>
      </c>
      <c r="B88" s="323"/>
      <c r="C88" s="323"/>
      <c r="D88" s="323"/>
      <c r="E88" s="323"/>
      <c r="F88" s="604"/>
    </row>
    <row r="89" spans="1:8" ht="21.75" customHeight="1" x14ac:dyDescent="0.2">
      <c r="A89" s="599" t="str">
        <f>'(B3) Struktura Funksionale'!A76</f>
        <v>Nënfunksioni 14</v>
      </c>
      <c r="B89" s="599" t="str">
        <f>'(B3) Struktura Funksionale'!B76</f>
        <v>061</v>
      </c>
      <c r="C89" s="250" t="str">
        <f>'(B3) Struktura Funksionale'!C76</f>
        <v>Urbanistika</v>
      </c>
      <c r="D89" s="242"/>
      <c r="E89" s="242"/>
      <c r="F89" s="243"/>
      <c r="G89" s="242" t="e">
        <f>E89-#REF!-#REF!</f>
        <v>#REF!</v>
      </c>
      <c r="H89" s="243" t="e">
        <f>F89-#REF!-#REF!</f>
        <v>#REF!</v>
      </c>
    </row>
    <row r="90" spans="1:8" x14ac:dyDescent="0.2">
      <c r="A90" s="188" t="str">
        <f>'(B3) Struktura Funksionale'!A77</f>
        <v>Programi 14a</v>
      </c>
      <c r="B90" s="584" t="str">
        <f>'(B3) Struktura Funksionale'!B77</f>
        <v>06140</v>
      </c>
      <c r="C90" s="188" t="str">
        <f>'(B3) Struktura Funksionale'!C77</f>
        <v>Planifikimi Urban Vendor</v>
      </c>
      <c r="D90" s="195">
        <f>15480+295993</f>
        <v>311473</v>
      </c>
      <c r="E90" s="195"/>
      <c r="F90" s="195">
        <v>180116</v>
      </c>
      <c r="G90" s="65" t="e">
        <f>E90-#REF!-#REF!</f>
        <v>#REF!</v>
      </c>
      <c r="H90" s="65" t="e">
        <f>F90-#REF!-#REF!</f>
        <v>#REF!</v>
      </c>
    </row>
    <row r="91" spans="1:8" x14ac:dyDescent="0.2">
      <c r="A91" s="188" t="str">
        <f>'(B3) Struktura Funksionale'!A78</f>
        <v>Programi 14b</v>
      </c>
      <c r="B91" s="584" t="str">
        <f>'(B3) Struktura Funksionale'!B78</f>
        <v>06180</v>
      </c>
      <c r="C91" s="188" t="str">
        <f>'(B3) Struktura Funksionale'!C78</f>
        <v>Planifikimi urban dhe strehimi</v>
      </c>
      <c r="D91" s="50"/>
      <c r="E91" s="50">
        <v>1379258</v>
      </c>
      <c r="F91" s="50">
        <v>5196588</v>
      </c>
      <c r="G91" s="65" t="e">
        <f>E91-#REF!-#REF!</f>
        <v>#REF!</v>
      </c>
      <c r="H91" s="65" t="e">
        <f>F91-#REF!-#REF!</f>
        <v>#REF!</v>
      </c>
    </row>
    <row r="92" spans="1:8" x14ac:dyDescent="0.2">
      <c r="A92" s="188" t="str">
        <f>'(B3) Struktura Funksionale'!A79</f>
        <v>Programi 14c</v>
      </c>
      <c r="B92" s="584">
        <f>'(B3) Struktura Funksionale'!B79</f>
        <v>0</v>
      </c>
      <c r="C92" s="188">
        <f>'(B3) Struktura Funksionale'!C79</f>
        <v>0</v>
      </c>
      <c r="D92" s="50"/>
      <c r="E92" s="50"/>
      <c r="F92" s="50"/>
      <c r="G92" s="65" t="e">
        <f>E92-#REF!-#REF!</f>
        <v>#REF!</v>
      </c>
      <c r="H92" s="65" t="e">
        <f>F92-#REF!-#REF!</f>
        <v>#REF!</v>
      </c>
    </row>
    <row r="93" spans="1:8" x14ac:dyDescent="0.2">
      <c r="A93" s="20"/>
      <c r="B93" s="254"/>
      <c r="C93" s="192"/>
      <c r="D93" s="193">
        <f>SUM(D90:D92)</f>
        <v>311473</v>
      </c>
      <c r="E93" s="193">
        <f>SUM(E90:E92)</f>
        <v>1379258</v>
      </c>
      <c r="F93" s="193">
        <f>SUM(F90:F92)</f>
        <v>5376704</v>
      </c>
      <c r="G93" s="65" t="e">
        <f>E93-#REF!-#REF!</f>
        <v>#REF!</v>
      </c>
      <c r="H93" s="65" t="e">
        <f>F93-#REF!-#REF!</f>
        <v>#REF!</v>
      </c>
    </row>
    <row r="94" spans="1:8" ht="20.25" customHeight="1" x14ac:dyDescent="0.2">
      <c r="A94" s="599" t="str">
        <f>'(B3) Struktura Funksionale'!A80</f>
        <v>Nënfunksioni 15</v>
      </c>
      <c r="B94" s="599" t="str">
        <f>'(B3) Struktura Funksionale'!B80</f>
        <v>062</v>
      </c>
      <c r="C94" s="250" t="str">
        <f>'(B3) Struktura Funksionale'!C80</f>
        <v>Zhvillimi i komunitetit</v>
      </c>
      <c r="D94" s="242"/>
      <c r="E94" s="242"/>
      <c r="F94" s="243"/>
      <c r="G94" s="242" t="e">
        <f>E94-#REF!-#REF!</f>
        <v>#REF!</v>
      </c>
      <c r="H94" s="243" t="e">
        <f>F94-#REF!-#REF!</f>
        <v>#REF!</v>
      </c>
    </row>
    <row r="95" spans="1:8" x14ac:dyDescent="0.2">
      <c r="A95" s="188" t="str">
        <f>'(B3) Struktura Funksionale'!A81</f>
        <v>Programi 15a</v>
      </c>
      <c r="B95" s="584" t="str">
        <f>'(B3) Struktura Funksionale'!B81</f>
        <v>06210</v>
      </c>
      <c r="C95" s="188" t="str">
        <f>'(B3) Struktura Funksionale'!C81</f>
        <v>Programet e zhvillimit</v>
      </c>
      <c r="D95" s="195"/>
      <c r="E95" s="195"/>
      <c r="F95" s="195"/>
      <c r="G95" s="65" t="e">
        <f>E95-#REF!-#REF!</f>
        <v>#REF!</v>
      </c>
      <c r="H95" s="65" t="e">
        <f>F95-#REF!-#REF!</f>
        <v>#REF!</v>
      </c>
    </row>
    <row r="96" spans="1:8" x14ac:dyDescent="0.2">
      <c r="A96" s="188" t="str">
        <f>'(B3) Struktura Funksionale'!A82</f>
        <v>Programi 15b</v>
      </c>
      <c r="B96" s="584" t="str">
        <f>'(B3) Struktura Funksionale'!B82</f>
        <v>06260</v>
      </c>
      <c r="C96" s="188" t="str">
        <f>'(B3) Struktura Funksionale'!C82</f>
        <v>Sherbime publike vendore</v>
      </c>
      <c r="D96" s="195">
        <f>9814522+8360639</f>
        <v>18175161</v>
      </c>
      <c r="E96" s="50"/>
      <c r="F96" s="50">
        <v>48226803</v>
      </c>
      <c r="G96" s="65" t="e">
        <f>E96-#REF!-#REF!</f>
        <v>#REF!</v>
      </c>
      <c r="H96" s="65" t="e">
        <f>F96-#REF!-#REF!</f>
        <v>#REF!</v>
      </c>
    </row>
    <row r="97" spans="1:8" x14ac:dyDescent="0.2">
      <c r="A97" s="188" t="str">
        <f>'(B3) Struktura Funksionale'!A83</f>
        <v>Programi 15c</v>
      </c>
      <c r="B97" s="584">
        <f>'(B3) Struktura Funksionale'!B83</f>
        <v>0</v>
      </c>
      <c r="C97" s="188">
        <f>'(B3) Struktura Funksionale'!C83</f>
        <v>0</v>
      </c>
      <c r="D97" s="50"/>
      <c r="E97" s="50"/>
      <c r="F97" s="50"/>
      <c r="G97" s="65" t="e">
        <f>E97-#REF!-#REF!</f>
        <v>#REF!</v>
      </c>
      <c r="H97" s="65" t="e">
        <f>F97-#REF!-#REF!</f>
        <v>#REF!</v>
      </c>
    </row>
    <row r="98" spans="1:8" x14ac:dyDescent="0.2">
      <c r="A98" s="20"/>
      <c r="B98" s="254"/>
      <c r="C98" s="192"/>
      <c r="D98" s="193">
        <f>SUM(D95:D97)</f>
        <v>18175161</v>
      </c>
      <c r="E98" s="193">
        <f>SUM(E95:E97)</f>
        <v>0</v>
      </c>
      <c r="F98" s="193">
        <f>SUM(F95:F97)</f>
        <v>48226803</v>
      </c>
      <c r="G98" s="65" t="e">
        <f>E98-#REF!-#REF!</f>
        <v>#REF!</v>
      </c>
      <c r="H98" s="65" t="e">
        <f>F98-#REF!-#REF!</f>
        <v>#REF!</v>
      </c>
    </row>
    <row r="99" spans="1:8" ht="22.5" customHeight="1" x14ac:dyDescent="0.2">
      <c r="A99" s="599" t="str">
        <f>'(B3) Struktura Funksionale'!A84</f>
        <v>Nënfunksioni 16</v>
      </c>
      <c r="B99" s="599" t="str">
        <f>'(B3) Struktura Funksionale'!B84</f>
        <v>063</v>
      </c>
      <c r="C99" s="250" t="str">
        <f>'(B3) Struktura Funksionale'!C84</f>
        <v>Furnizimi me ujë</v>
      </c>
      <c r="D99" s="242"/>
      <c r="E99" s="242"/>
      <c r="F99" s="243"/>
      <c r="G99" s="242" t="e">
        <f>E99-#REF!-#REF!</f>
        <v>#REF!</v>
      </c>
      <c r="H99" s="243" t="e">
        <f>F99-#REF!-#REF!</f>
        <v>#REF!</v>
      </c>
    </row>
    <row r="100" spans="1:8" x14ac:dyDescent="0.2">
      <c r="A100" s="188" t="str">
        <f>'(B3) Struktura Funksionale'!A85</f>
        <v>Programi 16a</v>
      </c>
      <c r="B100" s="584" t="str">
        <f>'(B3) Struktura Funksionale'!B85</f>
        <v>06330</v>
      </c>
      <c r="C100" s="188" t="str">
        <f>'(B3) Struktura Funksionale'!C85</f>
        <v xml:space="preserve">Furnizimi me ujë </v>
      </c>
      <c r="D100" s="195">
        <f>11999999</f>
        <v>11999999</v>
      </c>
      <c r="E100" s="195">
        <v>272714</v>
      </c>
      <c r="F100" s="195">
        <v>26984</v>
      </c>
      <c r="G100" s="65" t="e">
        <f>E100-#REF!-#REF!</f>
        <v>#REF!</v>
      </c>
      <c r="H100" s="65" t="e">
        <f>F100-#REF!-#REF!</f>
        <v>#REF!</v>
      </c>
    </row>
    <row r="101" spans="1:8" x14ac:dyDescent="0.2">
      <c r="A101" s="188" t="str">
        <f>'(B3) Struktura Funksionale'!A86</f>
        <v>Programi 16b</v>
      </c>
      <c r="B101" s="584">
        <f>'(B3) Struktura Funksionale'!B86</f>
        <v>0</v>
      </c>
      <c r="C101" s="188">
        <f>'(B3) Struktura Funksionale'!C86</f>
        <v>0</v>
      </c>
      <c r="D101" s="50"/>
      <c r="E101" s="50"/>
      <c r="F101" s="50"/>
      <c r="G101" s="65" t="e">
        <f>E101-#REF!-#REF!</f>
        <v>#REF!</v>
      </c>
      <c r="H101" s="65" t="e">
        <f>F101-#REF!-#REF!</f>
        <v>#REF!</v>
      </c>
    </row>
    <row r="102" spans="1:8" x14ac:dyDescent="0.2">
      <c r="A102" s="188" t="str">
        <f>'(B3) Struktura Funksionale'!A87</f>
        <v>Programi 16c</v>
      </c>
      <c r="B102" s="584">
        <f>'(B3) Struktura Funksionale'!B87</f>
        <v>0</v>
      </c>
      <c r="C102" s="188">
        <f>'(B3) Struktura Funksionale'!C87</f>
        <v>0</v>
      </c>
      <c r="D102" s="50"/>
      <c r="E102" s="50"/>
      <c r="F102" s="50"/>
      <c r="G102" s="65" t="e">
        <f>E102-#REF!-#REF!</f>
        <v>#REF!</v>
      </c>
      <c r="H102" s="65" t="e">
        <f>F102-#REF!-#REF!</f>
        <v>#REF!</v>
      </c>
    </row>
    <row r="103" spans="1:8" x14ac:dyDescent="0.2">
      <c r="A103" s="20"/>
      <c r="B103" s="256"/>
      <c r="C103" s="21"/>
      <c r="D103" s="67">
        <f>SUM(D100:D102)</f>
        <v>11999999</v>
      </c>
      <c r="E103" s="67">
        <f>SUM(E100:E102)</f>
        <v>272714</v>
      </c>
      <c r="F103" s="67">
        <f>SUM(F100:F102)</f>
        <v>26984</v>
      </c>
      <c r="G103" s="65" t="e">
        <f>E103-#REF!-#REF!</f>
        <v>#REF!</v>
      </c>
      <c r="H103" s="65" t="e">
        <f>F103-#REF!-#REF!</f>
        <v>#REF!</v>
      </c>
    </row>
    <row r="104" spans="1:8" ht="22.5" customHeight="1" x14ac:dyDescent="0.2">
      <c r="A104" s="599" t="str">
        <f>'(B3) Struktura Funksionale'!A88</f>
        <v>Nënfunksioni 17</v>
      </c>
      <c r="B104" s="599" t="str">
        <f>'(B3) Struktura Funksionale'!B88</f>
        <v>064</v>
      </c>
      <c r="C104" s="250" t="str">
        <f>'(B3) Struktura Funksionale'!C88</f>
        <v>Ndriçimi i rrugëve</v>
      </c>
      <c r="D104" s="242"/>
      <c r="E104" s="242"/>
      <c r="F104" s="243"/>
      <c r="G104" s="242" t="e">
        <f>E104-#REF!-#REF!</f>
        <v>#REF!</v>
      </c>
      <c r="H104" s="243" t="e">
        <f>F104-#REF!-#REF!</f>
        <v>#REF!</v>
      </c>
    </row>
    <row r="105" spans="1:8" x14ac:dyDescent="0.2">
      <c r="A105" s="188" t="str">
        <f>'(B3) Struktura Funksionale'!A89</f>
        <v>Programi 17a</v>
      </c>
      <c r="B105" s="584" t="str">
        <f>'(B3) Struktura Funksionale'!B89</f>
        <v>06440</v>
      </c>
      <c r="C105" s="188" t="str">
        <f>'(B3) Struktura Funksionale'!C89</f>
        <v>Ndriçim rrugësh</v>
      </c>
      <c r="D105" s="50"/>
      <c r="E105" s="50"/>
      <c r="F105" s="50"/>
      <c r="G105" s="65" t="e">
        <f>E105-#REF!-#REF!</f>
        <v>#REF!</v>
      </c>
      <c r="H105" s="65" t="e">
        <f>F105-#REF!-#REF!</f>
        <v>#REF!</v>
      </c>
    </row>
    <row r="106" spans="1:8" x14ac:dyDescent="0.2">
      <c r="A106" s="188" t="str">
        <f>'(B3) Struktura Funksionale'!A90</f>
        <v>Programi 17b</v>
      </c>
      <c r="B106" s="584">
        <f>'(B3) Struktura Funksionale'!B90</f>
        <v>0</v>
      </c>
      <c r="C106" s="188">
        <f>'(B3) Struktura Funksionale'!C90</f>
        <v>0</v>
      </c>
      <c r="D106" s="50"/>
      <c r="E106" s="50"/>
      <c r="F106" s="50"/>
      <c r="G106" s="65" t="e">
        <f>E106-#REF!-#REF!</f>
        <v>#REF!</v>
      </c>
      <c r="H106" s="65" t="e">
        <f>F106-#REF!-#REF!</f>
        <v>#REF!</v>
      </c>
    </row>
    <row r="107" spans="1:8" x14ac:dyDescent="0.2">
      <c r="A107" s="188" t="str">
        <f>'(B3) Struktura Funksionale'!A91</f>
        <v>Programi 17c</v>
      </c>
      <c r="B107" s="584">
        <f>'(B3) Struktura Funksionale'!B91</f>
        <v>0</v>
      </c>
      <c r="C107" s="188">
        <f>'(B3) Struktura Funksionale'!C91</f>
        <v>0</v>
      </c>
      <c r="D107" s="50"/>
      <c r="E107" s="50"/>
      <c r="F107" s="50"/>
      <c r="G107" s="65" t="e">
        <f>E107-#REF!-#REF!</f>
        <v>#REF!</v>
      </c>
      <c r="H107" s="65" t="e">
        <f>F107-#REF!-#REF!</f>
        <v>#REF!</v>
      </c>
    </row>
    <row r="108" spans="1:8" ht="13.5" thickBot="1" x14ac:dyDescent="0.25">
      <c r="A108" s="20"/>
      <c r="B108" s="254"/>
      <c r="C108" s="192"/>
      <c r="D108" s="193">
        <f>SUM(D105:D107)</f>
        <v>0</v>
      </c>
      <c r="E108" s="193">
        <f>SUM(E105:E107)</f>
        <v>0</v>
      </c>
      <c r="F108" s="193">
        <f>SUM(F105:F107)</f>
        <v>0</v>
      </c>
      <c r="G108" s="65" t="e">
        <f>E108-#REF!-#REF!</f>
        <v>#REF!</v>
      </c>
      <c r="H108" s="65" t="e">
        <f>F108-#REF!-#REF!</f>
        <v>#REF!</v>
      </c>
    </row>
    <row r="109" spans="1:8" s="228" customFormat="1" ht="19.5" thickBot="1" x14ac:dyDescent="0.35">
      <c r="A109" s="603" t="str">
        <f>'(B3) Struktura Funksionale'!A92</f>
        <v>07 Shëndetësia</v>
      </c>
      <c r="B109" s="323"/>
      <c r="C109" s="323"/>
      <c r="D109" s="323"/>
      <c r="E109" s="323"/>
      <c r="F109" s="604"/>
    </row>
    <row r="110" spans="1:8" ht="20.25" customHeight="1" x14ac:dyDescent="0.2">
      <c r="A110" s="599" t="str">
        <f>'(B3) Struktura Funksionale'!A93</f>
        <v>Nënfunksioni 18</v>
      </c>
      <c r="B110" s="599" t="str">
        <f>'(B3) Struktura Funksionale'!B93</f>
        <v>072</v>
      </c>
      <c r="C110" s="250" t="str">
        <f>'(B3) Struktura Funksionale'!C93</f>
        <v>Shërbimet e kujdesit parësor</v>
      </c>
      <c r="D110" s="242"/>
      <c r="E110" s="242"/>
      <c r="F110" s="243"/>
      <c r="G110" s="242" t="e">
        <f>E110-#REF!-#REF!</f>
        <v>#REF!</v>
      </c>
      <c r="H110" s="243" t="e">
        <f>F110-#REF!-#REF!</f>
        <v>#REF!</v>
      </c>
    </row>
    <row r="111" spans="1:8" x14ac:dyDescent="0.2">
      <c r="A111" s="188" t="str">
        <f>'(B3) Struktura Funksionale'!A94</f>
        <v>Programi 18a</v>
      </c>
      <c r="B111" s="584" t="str">
        <f>'(B3) Struktura Funksionale'!B94</f>
        <v>07220</v>
      </c>
      <c r="C111" s="188" t="str">
        <f>'(B3) Struktura Funksionale'!C94</f>
        <v>Shërbimet e kujdesit parësor</v>
      </c>
      <c r="D111" s="195"/>
      <c r="E111" s="195"/>
      <c r="F111" s="195"/>
      <c r="G111" s="65" t="e">
        <f>E111-#REF!-#REF!</f>
        <v>#REF!</v>
      </c>
      <c r="H111" s="65" t="e">
        <f>F111-#REF!-#REF!</f>
        <v>#REF!</v>
      </c>
    </row>
    <row r="112" spans="1:8" x14ac:dyDescent="0.2">
      <c r="A112" s="188" t="str">
        <f>'(B3) Struktura Funksionale'!A95</f>
        <v>Programi 18b</v>
      </c>
      <c r="B112" s="584">
        <f>'(B3) Struktura Funksionale'!B95</f>
        <v>0</v>
      </c>
      <c r="C112" s="188">
        <f>'(B3) Struktura Funksionale'!C95</f>
        <v>0</v>
      </c>
      <c r="D112" s="50"/>
      <c r="E112" s="50"/>
      <c r="F112" s="50"/>
      <c r="G112" s="65" t="e">
        <f>E112-#REF!-#REF!</f>
        <v>#REF!</v>
      </c>
      <c r="H112" s="65" t="e">
        <f>F112-#REF!-#REF!</f>
        <v>#REF!</v>
      </c>
    </row>
    <row r="113" spans="1:8" x14ac:dyDescent="0.2">
      <c r="A113" s="188" t="str">
        <f>'(B3) Struktura Funksionale'!A96</f>
        <v>Programi 18c</v>
      </c>
      <c r="B113" s="584">
        <f>'(B3) Struktura Funksionale'!B96</f>
        <v>0</v>
      </c>
      <c r="C113" s="188">
        <f>'(B3) Struktura Funksionale'!C96</f>
        <v>0</v>
      </c>
      <c r="D113" s="50"/>
      <c r="E113" s="50"/>
      <c r="F113" s="50"/>
      <c r="G113" s="65" t="e">
        <f>E113-#REF!-#REF!</f>
        <v>#REF!</v>
      </c>
      <c r="H113" s="65" t="e">
        <f>F113-#REF!-#REF!</f>
        <v>#REF!</v>
      </c>
    </row>
    <row r="114" spans="1:8" ht="13.5" thickBot="1" x14ac:dyDescent="0.25">
      <c r="A114" s="20"/>
      <c r="B114" s="254"/>
      <c r="C114" s="192"/>
      <c r="D114" s="193">
        <f>SUM(D111:D113)</f>
        <v>0</v>
      </c>
      <c r="E114" s="193">
        <f>SUM(E111:E113)</f>
        <v>0</v>
      </c>
      <c r="F114" s="193">
        <f>SUM(F111:F113)</f>
        <v>0</v>
      </c>
      <c r="G114" s="65" t="e">
        <f>E114-#REF!-#REF!</f>
        <v>#REF!</v>
      </c>
      <c r="H114" s="65" t="e">
        <f>F114-#REF!-#REF!</f>
        <v>#REF!</v>
      </c>
    </row>
    <row r="115" spans="1:8" s="228" customFormat="1" ht="19.5" thickBot="1" x14ac:dyDescent="0.35">
      <c r="A115" s="603" t="str">
        <f>'(B3) Struktura Funksionale'!A97</f>
        <v>08 Argëtimi, Kultura dhe Feja</v>
      </c>
      <c r="B115" s="323"/>
      <c r="C115" s="323"/>
      <c r="D115" s="323"/>
      <c r="E115" s="323"/>
      <c r="F115" s="604"/>
    </row>
    <row r="116" spans="1:8" ht="21" customHeight="1" x14ac:dyDescent="0.2">
      <c r="A116" s="599" t="str">
        <f>'(B3) Struktura Funksionale'!A98</f>
        <v>Nënfunksioni 19</v>
      </c>
      <c r="B116" s="599" t="str">
        <f>'(B3) Struktura Funksionale'!B98</f>
        <v>081</v>
      </c>
      <c r="C116" s="250" t="str">
        <f>'(B3) Struktura Funksionale'!C98</f>
        <v>Shërbimet rekreative dhe sportive</v>
      </c>
      <c r="D116" s="242"/>
      <c r="E116" s="242"/>
      <c r="F116" s="243"/>
      <c r="G116" s="242" t="e">
        <f>E116-#REF!-#REF!</f>
        <v>#REF!</v>
      </c>
      <c r="H116" s="243" t="e">
        <f>F116-#REF!-#REF!</f>
        <v>#REF!</v>
      </c>
    </row>
    <row r="117" spans="1:8" hidden="1" x14ac:dyDescent="0.2">
      <c r="A117" s="188" t="str">
        <f>'(B3) Struktura Funksionale'!A99</f>
        <v>Programi 19a</v>
      </c>
      <c r="B117" s="584" t="str">
        <f>'(B3) Struktura Funksionale'!B99</f>
        <v>08120</v>
      </c>
      <c r="C117" s="188" t="str">
        <f>'(B3) Struktura Funksionale'!C99</f>
        <v>Parqet</v>
      </c>
      <c r="D117" s="195"/>
      <c r="E117" s="195"/>
      <c r="F117" s="195"/>
      <c r="G117" s="65" t="e">
        <f>E117-#REF!-#REF!</f>
        <v>#REF!</v>
      </c>
      <c r="H117" s="65" t="e">
        <f>F117-#REF!-#REF!</f>
        <v>#REF!</v>
      </c>
    </row>
    <row r="118" spans="1:8" x14ac:dyDescent="0.2">
      <c r="A118" s="188" t="str">
        <f>'(B3) Struktura Funksionale'!A100</f>
        <v>Programi 19b</v>
      </c>
      <c r="B118" s="584" t="str">
        <f>'(B3) Struktura Funksionale'!B100</f>
        <v>08130</v>
      </c>
      <c r="C118" s="188" t="str">
        <f>'(B3) Struktura Funksionale'!C100</f>
        <v>Sport dhe argëtim</v>
      </c>
      <c r="D118" s="50"/>
      <c r="E118" s="50">
        <v>1245300</v>
      </c>
      <c r="F118" s="50">
        <v>2954400</v>
      </c>
      <c r="G118" s="65" t="e">
        <f>E118-#REF!-#REF!</f>
        <v>#REF!</v>
      </c>
      <c r="H118" s="65" t="e">
        <f>F118-#REF!-#REF!</f>
        <v>#REF!</v>
      </c>
    </row>
    <row r="119" spans="1:8" x14ac:dyDescent="0.2">
      <c r="A119" s="188" t="str">
        <f>'(B3) Struktura Funksionale'!A101</f>
        <v>Programi 19c</v>
      </c>
      <c r="B119" s="584">
        <f>'(B3) Struktura Funksionale'!B101</f>
        <v>0</v>
      </c>
      <c r="C119" s="188">
        <f>'(B3) Struktura Funksionale'!C101</f>
        <v>0</v>
      </c>
      <c r="D119" s="50"/>
      <c r="E119" s="50"/>
      <c r="F119" s="50"/>
      <c r="G119" s="65" t="e">
        <f>E119-#REF!-#REF!</f>
        <v>#REF!</v>
      </c>
      <c r="H119" s="65" t="e">
        <f>F119-#REF!-#REF!</f>
        <v>#REF!</v>
      </c>
    </row>
    <row r="120" spans="1:8" x14ac:dyDescent="0.2">
      <c r="A120" s="20"/>
      <c r="B120" s="254"/>
      <c r="C120" s="192"/>
      <c r="D120" s="193">
        <f>SUM(D117:D119)</f>
        <v>0</v>
      </c>
      <c r="E120" s="193">
        <f>SUM(E117:E119)</f>
        <v>1245300</v>
      </c>
      <c r="F120" s="193">
        <f>SUM(F117:F119)</f>
        <v>2954400</v>
      </c>
      <c r="G120" s="65" t="e">
        <f>E120-#REF!-#REF!</f>
        <v>#REF!</v>
      </c>
      <c r="H120" s="65" t="e">
        <f>F120-#REF!-#REF!</f>
        <v>#REF!</v>
      </c>
    </row>
    <row r="121" spans="1:8" ht="20.25" customHeight="1" x14ac:dyDescent="0.2">
      <c r="A121" s="599" t="str">
        <f>'(B3) Struktura Funksionale'!A102</f>
        <v>Nënfunksioni 20</v>
      </c>
      <c r="B121" s="599" t="str">
        <f>'(B3) Struktura Funksionale'!B102</f>
        <v>082</v>
      </c>
      <c r="C121" s="250" t="str">
        <f>'(B3) Struktura Funksionale'!C102</f>
        <v>Shërbimet kulturore</v>
      </c>
      <c r="D121" s="242"/>
      <c r="E121" s="242"/>
      <c r="F121" s="243"/>
      <c r="G121" s="242" t="e">
        <f>E121-#REF!-#REF!</f>
        <v>#REF!</v>
      </c>
      <c r="H121" s="243" t="e">
        <f>F121-#REF!-#REF!</f>
        <v>#REF!</v>
      </c>
    </row>
    <row r="122" spans="1:8" x14ac:dyDescent="0.2">
      <c r="A122" s="188" t="str">
        <f>'(B3) Struktura Funksionale'!A103</f>
        <v>Programi 20a</v>
      </c>
      <c r="B122" s="584" t="str">
        <f>'(B3) Struktura Funksionale'!B103</f>
        <v>08220</v>
      </c>
      <c r="C122" s="188" t="str">
        <f>'(B3) Struktura Funksionale'!C103</f>
        <v>Trashëgimia kulturore, eventet artistike dhe kulturore</v>
      </c>
      <c r="D122" s="195"/>
      <c r="E122" s="195">
        <v>0</v>
      </c>
      <c r="F122" s="195">
        <v>2120399</v>
      </c>
      <c r="G122" s="65" t="e">
        <f>E122-#REF!-#REF!</f>
        <v>#REF!</v>
      </c>
      <c r="H122" s="65" t="e">
        <f>F122-#REF!-#REF!</f>
        <v>#REF!</v>
      </c>
    </row>
    <row r="123" spans="1:8" hidden="1" x14ac:dyDescent="0.2">
      <c r="A123" s="188" t="str">
        <f>'(B3) Struktura Funksionale'!A104</f>
        <v>Programi 20b</v>
      </c>
      <c r="B123" s="584" t="str">
        <f>'(B3) Struktura Funksionale'!B104</f>
        <v>08230</v>
      </c>
      <c r="C123" s="188" t="str">
        <f>'(B3) Struktura Funksionale'!C104</f>
        <v>Arti dhe kultura</v>
      </c>
      <c r="D123" s="195"/>
      <c r="E123" s="50"/>
      <c r="F123" s="50"/>
      <c r="G123" s="65" t="e">
        <f>E123-#REF!-#REF!</f>
        <v>#REF!</v>
      </c>
      <c r="H123" s="65" t="e">
        <f>F123-#REF!-#REF!</f>
        <v>#REF!</v>
      </c>
    </row>
    <row r="124" spans="1:8" hidden="1" x14ac:dyDescent="0.2">
      <c r="A124" s="188" t="str">
        <f>'(B3) Struktura Funksionale'!A105</f>
        <v>Programi 20c</v>
      </c>
      <c r="B124" s="584" t="str">
        <f>'(B3) Struktura Funksionale'!B105</f>
        <v>08280</v>
      </c>
      <c r="C124" s="188" t="str">
        <f>'(B3) Struktura Funksionale'!C105</f>
        <v xml:space="preserve">Muzetë, teatrot dhe eventet kulturore </v>
      </c>
      <c r="D124" s="195"/>
      <c r="E124" s="50"/>
      <c r="F124" s="50"/>
      <c r="G124" s="65" t="e">
        <f>E124-#REF!-#REF!</f>
        <v>#REF!</v>
      </c>
      <c r="H124" s="65" t="e">
        <f>F124-#REF!-#REF!</f>
        <v>#REF!</v>
      </c>
    </row>
    <row r="125" spans="1:8" x14ac:dyDescent="0.2">
      <c r="A125" s="188" t="str">
        <f>'(B3) Struktura Funksionale'!A106</f>
        <v>Programi 20d</v>
      </c>
      <c r="B125" s="584">
        <f>'(B3) Struktura Funksionale'!B106</f>
        <v>0</v>
      </c>
      <c r="C125" s="188">
        <f>'(B3) Struktura Funksionale'!C106</f>
        <v>0</v>
      </c>
      <c r="D125" s="195"/>
      <c r="E125" s="50"/>
      <c r="F125" s="50"/>
    </row>
    <row r="126" spans="1:8" ht="13.5" thickBot="1" x14ac:dyDescent="0.25">
      <c r="A126" s="20"/>
      <c r="B126" s="254"/>
      <c r="C126" s="192"/>
      <c r="D126" s="193">
        <f>SUM(D122:D125)</f>
        <v>0</v>
      </c>
      <c r="E126" s="193">
        <f>SUM(E122:E125)</f>
        <v>0</v>
      </c>
      <c r="F126" s="193">
        <f>SUM(F122:F125)</f>
        <v>2120399</v>
      </c>
    </row>
    <row r="127" spans="1:8" s="228" customFormat="1" ht="19.5" thickBot="1" x14ac:dyDescent="0.35">
      <c r="A127" s="603" t="str">
        <f>'(B3) Struktura Funksionale'!A107</f>
        <v>09 Arsimi</v>
      </c>
      <c r="B127" s="323"/>
      <c r="C127" s="323"/>
      <c r="D127" s="323"/>
      <c r="E127" s="323"/>
      <c r="F127" s="604"/>
    </row>
    <row r="128" spans="1:8" ht="20.25" customHeight="1" x14ac:dyDescent="0.2">
      <c r="A128" s="599" t="str">
        <f>'(B3) Struktura Funksionale'!A108</f>
        <v>Nënfunksioni 21</v>
      </c>
      <c r="B128" s="599" t="str">
        <f>'(B3) Struktura Funksionale'!B108</f>
        <v>091</v>
      </c>
      <c r="C128" s="250" t="str">
        <f>'(B3) Struktura Funksionale'!C108</f>
        <v>Arsimi bazë dhe parashkollor</v>
      </c>
      <c r="D128" s="242"/>
      <c r="E128" s="242"/>
      <c r="F128" s="243"/>
      <c r="G128" s="242"/>
      <c r="H128" s="243"/>
    </row>
    <row r="129" spans="1:8" x14ac:dyDescent="0.2">
      <c r="A129" s="188" t="str">
        <f>'(B3) Struktura Funksionale'!A109</f>
        <v>Programi 21a</v>
      </c>
      <c r="B129" s="584" t="str">
        <f>'(B3) Struktura Funksionale'!B109</f>
        <v>09120</v>
      </c>
      <c r="C129" s="188" t="str">
        <f>'(B3) Struktura Funksionale'!C109</f>
        <v>Arsimi bazë përfshirë arsimin parashkollor.</v>
      </c>
      <c r="D129" s="195"/>
      <c r="E129" s="195">
        <v>1578116</v>
      </c>
      <c r="F129" s="195">
        <v>9069559</v>
      </c>
      <c r="G129" s="65" t="e">
        <f>E129-#REF!-#REF!</f>
        <v>#REF!</v>
      </c>
      <c r="H129" s="65" t="e">
        <f>F129-#REF!-#REF!</f>
        <v>#REF!</v>
      </c>
    </row>
    <row r="130" spans="1:8" hidden="1" x14ac:dyDescent="0.2">
      <c r="A130" s="188" t="str">
        <f>'(B3) Struktura Funksionale'!A110</f>
        <v>Programi 21b</v>
      </c>
      <c r="B130" s="584" t="str">
        <f>'(B3) Struktura Funksionale'!B110</f>
        <v>09122</v>
      </c>
      <c r="C130" s="188" t="str">
        <f>'(B3) Struktura Funksionale'!C110</f>
        <v>Mësuesit e kopshteve dhe pagat e stafit mbështetës</v>
      </c>
      <c r="D130" s="50"/>
      <c r="E130" s="50"/>
      <c r="F130" s="50"/>
      <c r="G130" s="65" t="e">
        <f>E130-#REF!-#REF!</f>
        <v>#REF!</v>
      </c>
      <c r="H130" s="65" t="e">
        <f>F130-#REF!-#REF!</f>
        <v>#REF!</v>
      </c>
    </row>
    <row r="131" spans="1:8" hidden="1" x14ac:dyDescent="0.2">
      <c r="A131" s="188" t="str">
        <f>'(B3) Struktura Funksionale'!A111</f>
        <v>Programi 21c</v>
      </c>
      <c r="B131" s="584" t="str">
        <f>'(B3) Struktura Funksionale'!B111</f>
        <v>09123</v>
      </c>
      <c r="C131" s="188" t="str">
        <f>'(B3) Struktura Funksionale'!C111</f>
        <v>Ushqimi i kopshteve</v>
      </c>
      <c r="D131" s="50"/>
      <c r="E131" s="50"/>
      <c r="F131" s="50"/>
      <c r="G131" s="65" t="e">
        <f>E131-#REF!-#REF!</f>
        <v>#REF!</v>
      </c>
      <c r="H131" s="65" t="e">
        <f>F131-#REF!-#REF!</f>
        <v>#REF!</v>
      </c>
    </row>
    <row r="132" spans="1:8" x14ac:dyDescent="0.2">
      <c r="A132" s="188" t="str">
        <f>'(B3) Struktura Funksionale'!A112</f>
        <v>Programi 21d</v>
      </c>
      <c r="B132" s="584">
        <f>'(B3) Struktura Funksionale'!B112</f>
        <v>0</v>
      </c>
      <c r="C132" s="188">
        <f>'(B3) Struktura Funksionale'!C112</f>
        <v>0</v>
      </c>
      <c r="D132" s="50"/>
      <c r="E132" s="50"/>
      <c r="F132" s="50"/>
    </row>
    <row r="133" spans="1:8" x14ac:dyDescent="0.2">
      <c r="A133" s="20"/>
      <c r="B133" s="254"/>
      <c r="C133" s="192"/>
      <c r="D133" s="193">
        <f>SUM(D129:D132)</f>
        <v>0</v>
      </c>
      <c r="E133" s="193">
        <f>SUM(E129:E132)</f>
        <v>1578116</v>
      </c>
      <c r="F133" s="193">
        <f>SUM(F129:F132)</f>
        <v>9069559</v>
      </c>
      <c r="G133" s="65" t="e">
        <f>E133-#REF!-#REF!</f>
        <v>#REF!</v>
      </c>
      <c r="H133" s="65" t="e">
        <f>F133-#REF!-#REF!</f>
        <v>#REF!</v>
      </c>
    </row>
    <row r="134" spans="1:8" ht="20.25" customHeight="1" x14ac:dyDescent="0.2">
      <c r="A134" s="599" t="str">
        <f>'(B3) Struktura Funksionale'!A113</f>
        <v>Nënfunksioni 22</v>
      </c>
      <c r="B134" s="599" t="str">
        <f>'(B3) Struktura Funksionale'!B113</f>
        <v>092</v>
      </c>
      <c r="C134" s="250" t="str">
        <f>'(B3) Struktura Funksionale'!C113</f>
        <v>Arsimi parauniversitar</v>
      </c>
      <c r="D134" s="242"/>
      <c r="E134" s="242"/>
      <c r="F134" s="243"/>
      <c r="G134" s="242" t="e">
        <f>E134-#REF!-#REF!</f>
        <v>#REF!</v>
      </c>
      <c r="H134" s="243" t="e">
        <f>F134-#REF!-#REF!</f>
        <v>#REF!</v>
      </c>
    </row>
    <row r="135" spans="1:8" x14ac:dyDescent="0.2">
      <c r="A135" s="188" t="str">
        <f>'(B3) Struktura Funksionale'!A114</f>
        <v>Programi 22a</v>
      </c>
      <c r="B135" s="584" t="str">
        <f>'(B3) Struktura Funksionale'!B114</f>
        <v>09230</v>
      </c>
      <c r="C135" s="188" t="str">
        <f>'(B3) Struktura Funksionale'!C114</f>
        <v>Arsimi i mesëm i përgjithshëm</v>
      </c>
      <c r="D135" s="195">
        <f>13930487+6828991</f>
        <v>20759478</v>
      </c>
      <c r="E135" s="195">
        <f>33770277</f>
        <v>33770277</v>
      </c>
      <c r="F135" s="195">
        <v>23269610</v>
      </c>
      <c r="G135" s="65" t="e">
        <f>E135-#REF!-#REF!</f>
        <v>#REF!</v>
      </c>
      <c r="H135" s="65" t="e">
        <f>F135-#REF!-#REF!</f>
        <v>#REF!</v>
      </c>
    </row>
    <row r="136" spans="1:8" hidden="1" x14ac:dyDescent="0.2">
      <c r="A136" s="188" t="str">
        <f>'(B3) Struktura Funksionale'!A115</f>
        <v>Programi 22b</v>
      </c>
      <c r="B136" s="584" t="str">
        <f>'(B3) Struktura Funksionale'!B115</f>
        <v>09232</v>
      </c>
      <c r="C136" s="188" t="str">
        <f>'(B3) Struktura Funksionale'!C115</f>
        <v>Pagat e stafit mbështetës</v>
      </c>
      <c r="D136" s="50"/>
      <c r="E136" s="50"/>
      <c r="F136" s="50"/>
      <c r="G136" s="65" t="e">
        <f>E136-#REF!-#REF!</f>
        <v>#REF!</v>
      </c>
      <c r="H136" s="65" t="e">
        <f>F136-#REF!-#REF!</f>
        <v>#REF!</v>
      </c>
    </row>
    <row r="137" spans="1:8" x14ac:dyDescent="0.2">
      <c r="A137" s="188" t="str">
        <f>'(B3) Struktura Funksionale'!A116</f>
        <v>Programi 22c</v>
      </c>
      <c r="B137" s="584" t="str">
        <f>'(B3) Struktura Funksionale'!B116</f>
        <v>09240</v>
      </c>
      <c r="C137" s="188" t="str">
        <f>'(B3) Struktura Funksionale'!C116</f>
        <v>Arsimi profesional</v>
      </c>
      <c r="D137" s="50"/>
      <c r="E137" s="50"/>
      <c r="F137" s="50"/>
      <c r="G137" s="65" t="e">
        <f>E137-#REF!-#REF!</f>
        <v>#REF!</v>
      </c>
      <c r="H137" s="65" t="e">
        <f>F137-#REF!-#REF!</f>
        <v>#REF!</v>
      </c>
    </row>
    <row r="138" spans="1:8" x14ac:dyDescent="0.2">
      <c r="A138" s="188" t="str">
        <f>'(B3) Struktura Funksionale'!A117</f>
        <v>Programi 22d</v>
      </c>
      <c r="B138" s="584">
        <f>'(B3) Struktura Funksionale'!B117</f>
        <v>0</v>
      </c>
      <c r="C138" s="188">
        <f>'(B3) Struktura Funksionale'!C117</f>
        <v>0</v>
      </c>
      <c r="D138" s="50"/>
      <c r="E138" s="50"/>
      <c r="F138" s="50"/>
    </row>
    <row r="139" spans="1:8" ht="13.5" thickBot="1" x14ac:dyDescent="0.25">
      <c r="A139" s="20"/>
      <c r="B139" s="256"/>
      <c r="C139" s="21"/>
      <c r="D139" s="67">
        <f>SUM(D135:D138)</f>
        <v>20759478</v>
      </c>
      <c r="E139" s="67">
        <f>SUM(E135:E138)</f>
        <v>33770277</v>
      </c>
      <c r="F139" s="67">
        <f>SUM(F135:F138)</f>
        <v>23269610</v>
      </c>
      <c r="G139" s="65" t="e">
        <f>E139-#REF!-#REF!</f>
        <v>#REF!</v>
      </c>
      <c r="H139" s="65" t="e">
        <f>F139-#REF!-#REF!</f>
        <v>#REF!</v>
      </c>
    </row>
    <row r="140" spans="1:8" ht="19.5" hidden="1" customHeight="1" x14ac:dyDescent="0.2">
      <c r="A140" s="599" t="e">
        <f>'(B3) Struktura Funksionale'!A118</f>
        <v>#REF!</v>
      </c>
      <c r="B140" s="599" t="str">
        <f>'(B3) Struktura Funksionale'!B118</f>
        <v>096</v>
      </c>
      <c r="C140" s="250" t="str">
        <f>'(B3) Struktura Funksionale'!C118</f>
        <v>Shërbimet plotësuese në arsim</v>
      </c>
      <c r="D140" s="249"/>
      <c r="E140" s="249"/>
      <c r="F140" s="606"/>
      <c r="G140" s="249" t="e">
        <f>E140-#REF!-#REF!</f>
        <v>#REF!</v>
      </c>
      <c r="H140" s="249" t="e">
        <f>F140-#REF!-#REF!</f>
        <v>#REF!</v>
      </c>
    </row>
    <row r="141" spans="1:8" hidden="1" x14ac:dyDescent="0.2">
      <c r="A141" s="188" t="str">
        <f>'(B3) Struktura Funksionale'!A119</f>
        <v>Programi 23a</v>
      </c>
      <c r="B141" s="584" t="str">
        <f>'(B3) Struktura Funksionale'!B119</f>
        <v>09660</v>
      </c>
      <c r="C141" s="188" t="str">
        <f>'(B3) Struktura Funksionale'!C119</f>
        <v xml:space="preserve">Programe arsimore për trajnimin e mësuesve dhe edukatorëve </v>
      </c>
      <c r="D141" s="50"/>
      <c r="E141" s="50"/>
      <c r="F141" s="50"/>
      <c r="G141" s="65" t="e">
        <f>E141-#REF!-#REF!</f>
        <v>#REF!</v>
      </c>
      <c r="H141" s="65" t="e">
        <f>F141-#REF!-#REF!</f>
        <v>#REF!</v>
      </c>
    </row>
    <row r="142" spans="1:8" hidden="1" x14ac:dyDescent="0.2">
      <c r="A142" s="188" t="str">
        <f>'(B3) Struktura Funksionale'!A120</f>
        <v>Programi 23b</v>
      </c>
      <c r="B142" s="584">
        <f>'(B3) Struktura Funksionale'!B120</f>
        <v>0</v>
      </c>
      <c r="C142" s="188">
        <f>'(B3) Struktura Funksionale'!C120</f>
        <v>0</v>
      </c>
      <c r="D142" s="50"/>
      <c r="E142" s="50"/>
      <c r="F142" s="50"/>
      <c r="G142" s="65" t="e">
        <f>E142-#REF!-#REF!</f>
        <v>#REF!</v>
      </c>
      <c r="H142" s="65" t="e">
        <f>F142-#REF!-#REF!</f>
        <v>#REF!</v>
      </c>
    </row>
    <row r="143" spans="1:8" hidden="1" x14ac:dyDescent="0.2">
      <c r="A143" s="188" t="str">
        <f>'(B3) Struktura Funksionale'!A121</f>
        <v>Programi 23c</v>
      </c>
      <c r="B143" s="584">
        <f>'(B3) Struktura Funksionale'!B121</f>
        <v>0</v>
      </c>
      <c r="C143" s="188">
        <f>'(B3) Struktura Funksionale'!C121</f>
        <v>0</v>
      </c>
      <c r="D143" s="50"/>
      <c r="E143" s="50"/>
      <c r="F143" s="50"/>
      <c r="G143" s="65" t="e">
        <f>E143-#REF!-#REF!</f>
        <v>#REF!</v>
      </c>
      <c r="H143" s="65" t="e">
        <f>F143-#REF!-#REF!</f>
        <v>#REF!</v>
      </c>
    </row>
    <row r="144" spans="1:8" ht="13.5" hidden="1" thickBot="1" x14ac:dyDescent="0.25">
      <c r="A144" s="20"/>
      <c r="B144" s="254"/>
      <c r="C144" s="192"/>
      <c r="D144" s="193">
        <f>SUM(D141:D143)</f>
        <v>0</v>
      </c>
      <c r="E144" s="193">
        <f>SUM(E141:E143)</f>
        <v>0</v>
      </c>
      <c r="F144" s="193">
        <f>SUM(F141:F143)</f>
        <v>0</v>
      </c>
      <c r="G144" s="65" t="e">
        <f>E144-#REF!-#REF!</f>
        <v>#REF!</v>
      </c>
      <c r="H144" s="65" t="e">
        <f>F144-#REF!-#REF!</f>
        <v>#REF!</v>
      </c>
    </row>
    <row r="145" spans="1:8" s="228" customFormat="1" ht="19.5" thickBot="1" x14ac:dyDescent="0.35">
      <c r="A145" s="603" t="str">
        <f>'(B3) Struktura Funksionale'!A122</f>
        <v>10 Mbrojtja Sociale</v>
      </c>
      <c r="B145" s="323"/>
      <c r="C145" s="323"/>
      <c r="D145" s="323"/>
      <c r="E145" s="323"/>
      <c r="F145" s="604"/>
    </row>
    <row r="146" spans="1:8" ht="19.5" customHeight="1" x14ac:dyDescent="0.2">
      <c r="A146" s="599" t="str">
        <f>'(B3) Struktura Funksionale'!A123</f>
        <v>Nënfunksioni 23</v>
      </c>
      <c r="B146" s="599" t="str">
        <f>'(B3) Struktura Funksionale'!B123</f>
        <v>101</v>
      </c>
      <c r="C146" s="250" t="str">
        <f>'(B3) Struktura Funksionale'!C123</f>
        <v>Sëmundje dhe paaftësi</v>
      </c>
      <c r="D146" s="242"/>
      <c r="E146" s="242"/>
      <c r="F146" s="243"/>
      <c r="G146" s="242" t="e">
        <f>E146-#REF!-#REF!</f>
        <v>#REF!</v>
      </c>
      <c r="H146" s="243" t="e">
        <f>F146-#REF!-#REF!</f>
        <v>#REF!</v>
      </c>
    </row>
    <row r="147" spans="1:8" x14ac:dyDescent="0.2">
      <c r="A147" s="188" t="str">
        <f>'(B3) Struktura Funksionale'!A124</f>
        <v>Programi 24a</v>
      </c>
      <c r="B147" s="584" t="str">
        <f>'(B3) Struktura Funksionale'!B124</f>
        <v>10140</v>
      </c>
      <c r="C147" s="188" t="str">
        <f>'(B3) Struktura Funksionale'!C124</f>
        <v>Kujdesi social për personat e sëmurë dhe me aftësi të kufizuara</v>
      </c>
      <c r="D147" s="195"/>
      <c r="E147" s="195"/>
      <c r="F147" s="195"/>
      <c r="G147" s="65" t="e">
        <f>E147-#REF!-#REF!</f>
        <v>#REF!</v>
      </c>
      <c r="H147" s="65" t="e">
        <f>F147-#REF!-#REF!</f>
        <v>#REF!</v>
      </c>
    </row>
    <row r="148" spans="1:8" x14ac:dyDescent="0.2">
      <c r="A148" s="188" t="str">
        <f>'(B3) Struktura Funksionale'!A125</f>
        <v>Programi 24b</v>
      </c>
      <c r="B148" s="584">
        <f>'(B3) Struktura Funksionale'!B125</f>
        <v>0</v>
      </c>
      <c r="C148" s="188">
        <f>'(B3) Struktura Funksionale'!C125</f>
        <v>0</v>
      </c>
      <c r="D148" s="50"/>
      <c r="E148" s="50"/>
      <c r="F148" s="50"/>
      <c r="G148" s="65" t="e">
        <f>E148-#REF!-#REF!</f>
        <v>#REF!</v>
      </c>
      <c r="H148" s="65" t="e">
        <f>F148-#REF!-#REF!</f>
        <v>#REF!</v>
      </c>
    </row>
    <row r="149" spans="1:8" x14ac:dyDescent="0.2">
      <c r="A149" s="188" t="str">
        <f>'(B3) Struktura Funksionale'!A126</f>
        <v>Programi 24c</v>
      </c>
      <c r="B149" s="584">
        <f>'(B3) Struktura Funksionale'!B126</f>
        <v>0</v>
      </c>
      <c r="C149" s="188">
        <f>'(B3) Struktura Funksionale'!C126</f>
        <v>0</v>
      </c>
      <c r="D149" s="50"/>
      <c r="E149" s="50"/>
      <c r="F149" s="50"/>
      <c r="G149" s="65" t="e">
        <f>E149-#REF!-#REF!</f>
        <v>#REF!</v>
      </c>
      <c r="H149" s="65" t="e">
        <f>F149-#REF!-#REF!</f>
        <v>#REF!</v>
      </c>
    </row>
    <row r="150" spans="1:8" x14ac:dyDescent="0.2">
      <c r="A150" s="20"/>
      <c r="B150" s="254"/>
      <c r="C150" s="192"/>
      <c r="D150" s="193">
        <f>SUM(D147:D149)</f>
        <v>0</v>
      </c>
      <c r="E150" s="193">
        <f>SUM(E147:E149)</f>
        <v>0</v>
      </c>
      <c r="F150" s="193">
        <f>SUM(F147:F149)</f>
        <v>0</v>
      </c>
      <c r="G150" s="65" t="e">
        <f>E150-#REF!-#REF!</f>
        <v>#REF!</v>
      </c>
      <c r="H150" s="65" t="e">
        <f>F150-#REF!-#REF!</f>
        <v>#REF!</v>
      </c>
    </row>
    <row r="151" spans="1:8" ht="20.25" customHeight="1" x14ac:dyDescent="0.2">
      <c r="A151" s="599" t="str">
        <f>'(B3) Struktura Funksionale'!A127</f>
        <v>Nënfunksioni 24</v>
      </c>
      <c r="B151" s="599" t="str">
        <f>'(B3) Struktura Funksionale'!B127</f>
        <v>102</v>
      </c>
      <c r="C151" s="250" t="str">
        <f>'(B3) Struktura Funksionale'!C127</f>
        <v>Të moshuarit</v>
      </c>
      <c r="D151" s="242"/>
      <c r="E151" s="242"/>
      <c r="F151" s="243"/>
      <c r="G151" s="242" t="e">
        <f>E151-#REF!-#REF!</f>
        <v>#REF!</v>
      </c>
      <c r="H151" s="243" t="e">
        <f>F151-#REF!-#REF!</f>
        <v>#REF!</v>
      </c>
    </row>
    <row r="152" spans="1:8" x14ac:dyDescent="0.2">
      <c r="A152" s="188" t="str">
        <f>'(B3) Struktura Funksionale'!A128</f>
        <v>Programi 25a</v>
      </c>
      <c r="B152" s="584" t="str">
        <f>'(B3) Struktura Funksionale'!B128</f>
        <v>10220</v>
      </c>
      <c r="C152" s="188" t="str">
        <f>'(B3) Struktura Funksionale'!C128</f>
        <v>Sigurimi shoqëror</v>
      </c>
      <c r="D152" s="195"/>
      <c r="E152" s="195"/>
      <c r="F152" s="195"/>
      <c r="G152" s="65" t="e">
        <f>E152-#REF!-#REF!</f>
        <v>#REF!</v>
      </c>
      <c r="H152" s="65" t="e">
        <f>F152-#REF!-#REF!</f>
        <v>#REF!</v>
      </c>
    </row>
    <row r="153" spans="1:8" x14ac:dyDescent="0.2">
      <c r="A153" s="188" t="str">
        <f>'(B3) Struktura Funksionale'!A129</f>
        <v>Programi 25b</v>
      </c>
      <c r="B153" s="584">
        <f>'(B3) Struktura Funksionale'!B129</f>
        <v>0</v>
      </c>
      <c r="C153" s="188">
        <f>'(B3) Struktura Funksionale'!C129</f>
        <v>0</v>
      </c>
      <c r="D153" s="50"/>
      <c r="E153" s="50"/>
      <c r="F153" s="50"/>
      <c r="G153" s="65" t="e">
        <f>E153-#REF!-#REF!</f>
        <v>#REF!</v>
      </c>
      <c r="H153" s="65" t="e">
        <f>F153-#REF!-#REF!</f>
        <v>#REF!</v>
      </c>
    </row>
    <row r="154" spans="1:8" x14ac:dyDescent="0.2">
      <c r="A154" s="188" t="str">
        <f>'(B3) Struktura Funksionale'!A130</f>
        <v>Programi 25c</v>
      </c>
      <c r="B154" s="584">
        <f>'(B3) Struktura Funksionale'!B130</f>
        <v>0</v>
      </c>
      <c r="C154" s="188">
        <f>'(B3) Struktura Funksionale'!C130</f>
        <v>0</v>
      </c>
      <c r="D154" s="50"/>
      <c r="E154" s="50"/>
      <c r="F154" s="50"/>
      <c r="G154" s="65" t="e">
        <f>E154-#REF!-#REF!</f>
        <v>#REF!</v>
      </c>
      <c r="H154" s="65" t="e">
        <f>F154-#REF!-#REF!</f>
        <v>#REF!</v>
      </c>
    </row>
    <row r="155" spans="1:8" x14ac:dyDescent="0.2">
      <c r="A155" s="20"/>
      <c r="B155" s="254"/>
      <c r="C155" s="192"/>
      <c r="D155" s="193">
        <f>SUM(D152:D154)</f>
        <v>0</v>
      </c>
      <c r="E155" s="193">
        <f>SUM(E152:E154)</f>
        <v>0</v>
      </c>
      <c r="F155" s="193">
        <f>SUM(F152:F154)</f>
        <v>0</v>
      </c>
      <c r="G155" s="65" t="e">
        <f>E155-#REF!-#REF!</f>
        <v>#REF!</v>
      </c>
      <c r="H155" s="65" t="e">
        <f>F155-#REF!-#REF!</f>
        <v>#REF!</v>
      </c>
    </row>
    <row r="156" spans="1:8" ht="19.5" customHeight="1" x14ac:dyDescent="0.2">
      <c r="A156" s="599" t="str">
        <f>'(B3) Struktura Funksionale'!A131</f>
        <v>Nënfunksioni 25</v>
      </c>
      <c r="B156" s="599" t="str">
        <f>'(B3) Struktura Funksionale'!B131</f>
        <v>104</v>
      </c>
      <c r="C156" s="250" t="str">
        <f>'(B3) Struktura Funksionale'!C131</f>
        <v>Familja dhe fëmijët</v>
      </c>
      <c r="D156" s="242"/>
      <c r="E156" s="242"/>
      <c r="F156" s="243"/>
      <c r="G156" s="242" t="e">
        <f>E156-#REF!-#REF!</f>
        <v>#REF!</v>
      </c>
      <c r="H156" s="243" t="e">
        <f>F156-#REF!-#REF!</f>
        <v>#REF!</v>
      </c>
    </row>
    <row r="157" spans="1:8" x14ac:dyDescent="0.2">
      <c r="A157" s="188" t="str">
        <f>'(B3) Struktura Funksionale'!A132</f>
        <v>Programi 26a</v>
      </c>
      <c r="B157" s="584" t="str">
        <f>'(B3) Struktura Funksionale'!B132</f>
        <v>10430</v>
      </c>
      <c r="C157" s="188" t="str">
        <f>'(B3) Struktura Funksionale'!C132</f>
        <v>Kujdesi social për familjet dhe fëmijët</v>
      </c>
      <c r="D157" s="195"/>
      <c r="E157" s="195"/>
      <c r="F157" s="195"/>
      <c r="G157" s="65" t="e">
        <f>E157-#REF!-#REF!</f>
        <v>#REF!</v>
      </c>
      <c r="H157" s="65" t="e">
        <f>F157-#REF!-#REF!</f>
        <v>#REF!</v>
      </c>
    </row>
    <row r="158" spans="1:8" hidden="1" x14ac:dyDescent="0.2">
      <c r="A158" s="188" t="str">
        <f>'(B3) Struktura Funksionale'!A133</f>
        <v>Programi 26b</v>
      </c>
      <c r="B158" s="584" t="str">
        <f>'(B3) Struktura Funksionale'!B133</f>
        <v>10460</v>
      </c>
      <c r="C158" s="188" t="str">
        <f>'(B3) Struktura Funksionale'!C133</f>
        <v>Përfshirja sociale</v>
      </c>
      <c r="D158" s="50"/>
      <c r="E158" s="50"/>
      <c r="F158" s="50"/>
      <c r="G158" s="65" t="e">
        <f>E158-#REF!-#REF!</f>
        <v>#REF!</v>
      </c>
      <c r="H158" s="65" t="e">
        <f>F158-#REF!-#REF!</f>
        <v>#REF!</v>
      </c>
    </row>
    <row r="159" spans="1:8" x14ac:dyDescent="0.2">
      <c r="A159" s="188" t="str">
        <f>'(B3) Struktura Funksionale'!A134</f>
        <v>Programi 26c</v>
      </c>
      <c r="B159" s="584">
        <f>'(B3) Struktura Funksionale'!B134</f>
        <v>0</v>
      </c>
      <c r="C159" s="188">
        <f>'(B3) Struktura Funksionale'!C134</f>
        <v>0</v>
      </c>
      <c r="D159" s="50"/>
      <c r="E159" s="50"/>
      <c r="F159" s="50"/>
      <c r="G159" s="65" t="e">
        <f>E159-#REF!-#REF!</f>
        <v>#REF!</v>
      </c>
      <c r="H159" s="65" t="e">
        <f>F159-#REF!-#REF!</f>
        <v>#REF!</v>
      </c>
    </row>
    <row r="160" spans="1:8" x14ac:dyDescent="0.2">
      <c r="A160" s="20"/>
      <c r="B160" s="254"/>
      <c r="C160" s="192"/>
      <c r="D160" s="193">
        <f>SUM(D157:D159)</f>
        <v>0</v>
      </c>
      <c r="E160" s="193">
        <f>SUM(E157:E159)</f>
        <v>0</v>
      </c>
      <c r="F160" s="193">
        <f>SUM(F157:F159)</f>
        <v>0</v>
      </c>
      <c r="G160" s="65" t="e">
        <f>E160-#REF!-#REF!</f>
        <v>#REF!</v>
      </c>
      <c r="H160" s="65" t="e">
        <f>F160-#REF!-#REF!</f>
        <v>#REF!</v>
      </c>
    </row>
    <row r="161" spans="1:8" ht="19.5" customHeight="1" x14ac:dyDescent="0.2">
      <c r="A161" s="599" t="str">
        <f>'(B3) Struktura Funksionale'!A135</f>
        <v>Nënfunksioni 26</v>
      </c>
      <c r="B161" s="599" t="str">
        <f>'(B3) Struktura Funksionale'!B135</f>
        <v>105</v>
      </c>
      <c r="C161" s="250" t="str">
        <f>'(B3) Struktura Funksionale'!C135</f>
        <v>Papunësia</v>
      </c>
      <c r="D161" s="242"/>
      <c r="E161" s="242"/>
      <c r="F161" s="243"/>
      <c r="G161" s="242" t="e">
        <f>E161-#REF!-#REF!</f>
        <v>#REF!</v>
      </c>
      <c r="H161" s="243" t="e">
        <f>F161-#REF!-#REF!</f>
        <v>#REF!</v>
      </c>
    </row>
    <row r="162" spans="1:8" x14ac:dyDescent="0.2">
      <c r="A162" s="188" t="str">
        <f>'(B3) Struktura Funksionale'!A136</f>
        <v>Programi 27a</v>
      </c>
      <c r="B162" s="584" t="str">
        <f>'(B3) Struktura Funksionale'!B136</f>
        <v>10550</v>
      </c>
      <c r="C162" s="188" t="str">
        <f>'(B3) Struktura Funksionale'!C136</f>
        <v>Papunësia, arsim dhe aftësim</v>
      </c>
      <c r="D162" s="195"/>
      <c r="E162" s="195"/>
      <c r="F162" s="195"/>
      <c r="G162" s="65" t="e">
        <f>E162-#REF!-#REF!</f>
        <v>#REF!</v>
      </c>
      <c r="H162" s="65" t="e">
        <f>F162-#REF!-#REF!</f>
        <v>#REF!</v>
      </c>
    </row>
    <row r="163" spans="1:8" x14ac:dyDescent="0.2">
      <c r="A163" s="188" t="str">
        <f>'(B3) Struktura Funksionale'!A137</f>
        <v>Programi 27b</v>
      </c>
      <c r="B163" s="584">
        <f>'(B3) Struktura Funksionale'!B137</f>
        <v>0</v>
      </c>
      <c r="C163" s="188">
        <f>'(B3) Struktura Funksionale'!C137</f>
        <v>0</v>
      </c>
      <c r="D163" s="50"/>
      <c r="E163" s="50"/>
      <c r="F163" s="50"/>
      <c r="G163" s="65" t="e">
        <f>E163-#REF!-#REF!</f>
        <v>#REF!</v>
      </c>
      <c r="H163" s="65" t="e">
        <f>F163-#REF!-#REF!</f>
        <v>#REF!</v>
      </c>
    </row>
    <row r="164" spans="1:8" x14ac:dyDescent="0.2">
      <c r="A164" s="188" t="str">
        <f>'(B3) Struktura Funksionale'!A138</f>
        <v>Programi 27c</v>
      </c>
      <c r="B164" s="584">
        <f>'(B3) Struktura Funksionale'!B138</f>
        <v>0</v>
      </c>
      <c r="C164" s="188">
        <f>'(B3) Struktura Funksionale'!C138</f>
        <v>0</v>
      </c>
      <c r="D164" s="50"/>
      <c r="E164" s="50"/>
      <c r="F164" s="50"/>
      <c r="G164" s="65" t="e">
        <f>E164-#REF!-#REF!</f>
        <v>#REF!</v>
      </c>
      <c r="H164" s="65" t="e">
        <f>F164-#REF!-#REF!</f>
        <v>#REF!</v>
      </c>
    </row>
    <row r="165" spans="1:8" x14ac:dyDescent="0.2">
      <c r="A165" s="20"/>
      <c r="B165" s="254"/>
      <c r="C165" s="192"/>
      <c r="D165" s="193">
        <f>SUM(D162:D164)</f>
        <v>0</v>
      </c>
      <c r="E165" s="193">
        <f>SUM(E162:E164)</f>
        <v>0</v>
      </c>
      <c r="F165" s="193">
        <f>SUM(F162:F164)</f>
        <v>0</v>
      </c>
      <c r="G165" s="65" t="e">
        <f>E165-#REF!-#REF!</f>
        <v>#REF!</v>
      </c>
      <c r="H165" s="65" t="e">
        <f>F165-#REF!-#REF!</f>
        <v>#REF!</v>
      </c>
    </row>
    <row r="166" spans="1:8" ht="19.5" customHeight="1" x14ac:dyDescent="0.2">
      <c r="A166" s="599" t="str">
        <f>'(B3) Struktura Funksionale'!A139</f>
        <v>Nënfunksioni 27</v>
      </c>
      <c r="B166" s="599" t="str">
        <f>'(B3) Struktura Funksionale'!B139</f>
        <v>106</v>
      </c>
      <c r="C166" s="250" t="str">
        <f>'(B3) Struktura Funksionale'!C139</f>
        <v>Strehimi social</v>
      </c>
      <c r="D166" s="242"/>
      <c r="E166" s="242"/>
      <c r="F166" s="243"/>
      <c r="G166" s="242" t="e">
        <f>E166-#REF!-#REF!</f>
        <v>#REF!</v>
      </c>
      <c r="H166" s="243" t="e">
        <f>F166-#REF!-#REF!</f>
        <v>#REF!</v>
      </c>
    </row>
    <row r="167" spans="1:8" x14ac:dyDescent="0.2">
      <c r="A167" s="188" t="str">
        <f>'(B3) Struktura Funksionale'!A140</f>
        <v>Programi 28a</v>
      </c>
      <c r="B167" s="584" t="str">
        <f>'(B3) Struktura Funksionale'!B140</f>
        <v>10661</v>
      </c>
      <c r="C167" s="188" t="str">
        <f>'(B3) Struktura Funksionale'!C140</f>
        <v>Strehimi social</v>
      </c>
      <c r="D167" s="195"/>
      <c r="E167" s="195"/>
      <c r="F167" s="195"/>
      <c r="G167" s="65" t="e">
        <f>E167-#REF!-#REF!</f>
        <v>#REF!</v>
      </c>
      <c r="H167" s="65" t="e">
        <f>F167-#REF!-#REF!</f>
        <v>#REF!</v>
      </c>
    </row>
    <row r="168" spans="1:8" x14ac:dyDescent="0.2">
      <c r="A168" s="188" t="str">
        <f>'(B3) Struktura Funksionale'!A141</f>
        <v>Programi 28b</v>
      </c>
      <c r="B168" s="584">
        <f>'(B3) Struktura Funksionale'!B141</f>
        <v>0</v>
      </c>
      <c r="C168" s="188">
        <f>'(B3) Struktura Funksionale'!C141</f>
        <v>0</v>
      </c>
      <c r="D168" s="50"/>
      <c r="E168" s="50"/>
      <c r="F168" s="50"/>
      <c r="G168" s="65" t="e">
        <f>E168-#REF!-#REF!</f>
        <v>#REF!</v>
      </c>
      <c r="H168" s="65" t="e">
        <f>F168-#REF!-#REF!</f>
        <v>#REF!</v>
      </c>
    </row>
    <row r="169" spans="1:8" x14ac:dyDescent="0.2">
      <c r="A169" s="188" t="str">
        <f>'(B3) Struktura Funksionale'!A142</f>
        <v>Programi 28c</v>
      </c>
      <c r="B169" s="584">
        <f>'(B3) Struktura Funksionale'!B142</f>
        <v>0</v>
      </c>
      <c r="C169" s="188">
        <f>'(B3) Struktura Funksionale'!C142</f>
        <v>0</v>
      </c>
      <c r="D169" s="50"/>
      <c r="E169" s="50"/>
      <c r="F169" s="50"/>
      <c r="G169" s="65" t="e">
        <f>E169-#REF!-#REF!</f>
        <v>#REF!</v>
      </c>
      <c r="H169" s="65" t="e">
        <f>F169-#REF!-#REF!</f>
        <v>#REF!</v>
      </c>
    </row>
    <row r="170" spans="1:8" x14ac:dyDescent="0.2">
      <c r="A170" s="208"/>
      <c r="B170" s="255"/>
      <c r="C170" s="208"/>
      <c r="D170" s="67">
        <f>SUM(D167:D169)</f>
        <v>0</v>
      </c>
      <c r="E170" s="67">
        <f>SUM(E167:E169)</f>
        <v>0</v>
      </c>
      <c r="F170" s="67">
        <f>SUM(F167:F169)</f>
        <v>0</v>
      </c>
      <c r="G170" s="65" t="e">
        <f>E170-#REF!-#REF!</f>
        <v>#REF!</v>
      </c>
      <c r="H170" s="65" t="e">
        <f>F170-#REF!-#REF!</f>
        <v>#REF!</v>
      </c>
    </row>
    <row r="171" spans="1:8" ht="21.75" hidden="1" customHeight="1" x14ac:dyDescent="0.2">
      <c r="A171" s="599" t="str">
        <f>'(B3) Struktura Funksionale'!A143</f>
        <v>Nënfunksioni 29</v>
      </c>
      <c r="B171" s="599" t="str">
        <f>'(B3) Struktura Funksionale'!B143</f>
        <v>107</v>
      </c>
      <c r="C171" s="250" t="str">
        <f>'(B3) Struktura Funksionale'!C143</f>
        <v>Ndihma Ekonomike</v>
      </c>
      <c r="D171" s="242"/>
      <c r="E171" s="242"/>
      <c r="F171" s="243"/>
      <c r="G171" s="242" t="e">
        <f>E171-#REF!-#REF!</f>
        <v>#REF!</v>
      </c>
      <c r="H171" s="243" t="e">
        <f>F171-#REF!-#REF!</f>
        <v>#REF!</v>
      </c>
    </row>
    <row r="172" spans="1:8" hidden="1" x14ac:dyDescent="0.2">
      <c r="A172" s="188" t="str">
        <f>'(B3) Struktura Funksionale'!A144</f>
        <v>Programi 29a</v>
      </c>
      <c r="B172" s="584" t="str">
        <f>'(B3) Struktura Funksionale'!B144</f>
        <v>10770</v>
      </c>
      <c r="C172" s="188" t="str">
        <f>'(B3) Struktura Funksionale'!C144</f>
        <v>Ndihma Ekonomike</v>
      </c>
      <c r="D172" s="195"/>
      <c r="E172" s="195"/>
      <c r="F172" s="195"/>
      <c r="G172" s="65" t="e">
        <f>E172-#REF!-#REF!</f>
        <v>#REF!</v>
      </c>
      <c r="H172" s="65" t="e">
        <f>F172-#REF!-#REF!</f>
        <v>#REF!</v>
      </c>
    </row>
    <row r="173" spans="1:8" hidden="1" x14ac:dyDescent="0.2">
      <c r="A173" s="188" t="str">
        <f>'(B3) Struktura Funksionale'!A145</f>
        <v>Programi 29b</v>
      </c>
      <c r="B173" s="584">
        <f>'(B3) Struktura Funksionale'!B145</f>
        <v>0</v>
      </c>
      <c r="C173" s="188">
        <f>'(B3) Struktura Funksionale'!C145</f>
        <v>0</v>
      </c>
      <c r="D173" s="50"/>
      <c r="E173" s="50"/>
      <c r="F173" s="50"/>
      <c r="G173" s="65" t="e">
        <f>E173-#REF!-#REF!</f>
        <v>#REF!</v>
      </c>
      <c r="H173" s="65" t="e">
        <f>F173-#REF!-#REF!</f>
        <v>#REF!</v>
      </c>
    </row>
    <row r="174" spans="1:8" hidden="1" x14ac:dyDescent="0.2">
      <c r="A174" s="188" t="str">
        <f>'(B3) Struktura Funksionale'!A146</f>
        <v>Programi 29c</v>
      </c>
      <c r="B174" s="584">
        <f>'(B3) Struktura Funksionale'!B146</f>
        <v>0</v>
      </c>
      <c r="C174" s="188">
        <f>'(B3) Struktura Funksionale'!C146</f>
        <v>0</v>
      </c>
      <c r="D174" s="198"/>
      <c r="E174" s="198"/>
      <c r="F174" s="198"/>
      <c r="G174" s="65" t="e">
        <f>E174-#REF!-#REF!</f>
        <v>#REF!</v>
      </c>
      <c r="H174" s="65" t="e">
        <f>F174-#REF!-#REF!</f>
        <v>#REF!</v>
      </c>
    </row>
    <row r="175" spans="1:8" hidden="1" x14ac:dyDescent="0.2">
      <c r="A175" s="20"/>
      <c r="B175" s="256"/>
      <c r="C175" s="21"/>
      <c r="D175" s="67">
        <f>SUM(D172:D174)</f>
        <v>0</v>
      </c>
      <c r="E175" s="67">
        <f>SUM(E172:E174)</f>
        <v>0</v>
      </c>
      <c r="F175" s="67">
        <f>SUM(F172:F174)</f>
        <v>0</v>
      </c>
      <c r="G175" s="65" t="e">
        <f>E175-#REF!-#REF!</f>
        <v>#REF!</v>
      </c>
      <c r="H175" s="65" t="e">
        <f>F175-#REF!-#REF!</f>
        <v>#REF!</v>
      </c>
    </row>
    <row r="176" spans="1:8" x14ac:dyDescent="0.2">
      <c r="D176" s="65"/>
    </row>
    <row r="177" spans="1:6" x14ac:dyDescent="0.2">
      <c r="A177" s="20" t="str">
        <f>'(G1) Fjalori'!A206</f>
        <v xml:space="preserve">Totali </v>
      </c>
      <c r="B177" s="256"/>
      <c r="C177" s="21"/>
      <c r="D177" s="73">
        <f>D15+D22+D28+D33+D38+D46+D54+D60+D66+D72+D77+D82+D87+D93+D98+D103+D108+D114+D120+D126+D133+D139+D144+D150+D155+D160+D165+D170+D175</f>
        <v>262865245</v>
      </c>
      <c r="E177" s="73">
        <f>E15+E22+E28+E33+E38+E46+E54+E60+E66+E72+E77+E82+E87+E93+E98+E103+E108+E114+E120+E126+E133+E139+E144+E150+E155+E160+E165+E170+E175</f>
        <v>102014136</v>
      </c>
      <c r="F177" s="73">
        <f>F15+F22+F28+F33+F38+F46+F54+F60+F66+F72+F77+F82+F87+F93+F98+F103+F108+F114+F120+F126+F133+F139+F144+F150+F155+F160+F165+F170+F175</f>
        <v>336972876</v>
      </c>
    </row>
    <row r="179" spans="1:6" x14ac:dyDescent="0.2">
      <c r="A179" s="111"/>
    </row>
    <row r="180" spans="1:6" x14ac:dyDescent="0.2">
      <c r="B180" s="248"/>
      <c r="C180" s="65"/>
      <c r="D180" s="65"/>
      <c r="E180" s="65"/>
    </row>
    <row r="181" spans="1:6" x14ac:dyDescent="0.2">
      <c r="B181" s="248"/>
      <c r="C181" s="65"/>
      <c r="D181" s="65"/>
      <c r="E181" s="65"/>
    </row>
  </sheetData>
  <sheetProtection selectLockedCells="1"/>
  <mergeCells count="2">
    <mergeCell ref="A1:F1"/>
    <mergeCell ref="A3:F3"/>
  </mergeCells>
  <printOptions gridLines="1"/>
  <pageMargins left="0.78740157480314965" right="0.70866141732283472" top="0.98425196850393704" bottom="0.78740157480314965" header="0.43307086614173229" footer="0.31496062992125984"/>
  <pageSetup paperSize="9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5" manualBreakCount="5">
    <brk id="46" max="16383" man="1"/>
    <brk id="82" max="16383" man="1"/>
    <brk id="115" max="16383" man="1"/>
    <brk id="150" max="16383" man="1"/>
    <brk id="1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9"/>
    <pageSetUpPr fitToPage="1"/>
  </sheetPr>
  <dimension ref="A1:H150"/>
  <sheetViews>
    <sheetView showGridLines="0" workbookViewId="0">
      <selection activeCell="F93" activeCellId="2" sqref="F89 F7 F93"/>
    </sheetView>
  </sheetViews>
  <sheetFormatPr defaultColWidth="4.140625" defaultRowHeight="12.75" x14ac:dyDescent="0.2"/>
  <cols>
    <col min="1" max="1" width="21.5703125" style="42" customWidth="1"/>
    <col min="2" max="2" width="49.140625" style="101" customWidth="1"/>
    <col min="3" max="3" width="10.42578125" style="101" customWidth="1"/>
    <col min="4" max="4" width="16" style="102" customWidth="1"/>
    <col min="5" max="5" width="16.7109375" style="42" customWidth="1"/>
    <col min="6" max="6" width="19.7109375" style="42" customWidth="1" collapsed="1"/>
    <col min="7" max="7" width="14.85546875" style="42" customWidth="1"/>
    <col min="8" max="194" width="11.5703125" style="42" customWidth="1"/>
    <col min="195" max="195" width="3.85546875" style="42" customWidth="1"/>
    <col min="196" max="196" width="22" style="42" customWidth="1"/>
    <col min="197" max="199" width="4.140625" style="42" customWidth="1"/>
    <col min="200" max="200" width="5.85546875" style="42" customWidth="1"/>
    <col min="201" max="201" width="4.140625" style="42" customWidth="1"/>
    <col min="202" max="202" width="0.85546875" style="42" customWidth="1"/>
    <col min="203" max="203" width="5.85546875" style="42" customWidth="1"/>
    <col min="204" max="204" width="4.140625" style="42" customWidth="1"/>
    <col min="205" max="205" width="0.85546875" style="42" customWidth="1"/>
    <col min="206" max="206" width="5.85546875" style="42" customWidth="1"/>
    <col min="207" max="207" width="4.140625" style="42" customWidth="1"/>
    <col min="208" max="208" width="0.85546875" style="42" customWidth="1"/>
    <col min="209" max="209" width="5.85546875" style="42" customWidth="1"/>
    <col min="210" max="16384" width="4.140625" style="42"/>
  </cols>
  <sheetData>
    <row r="1" spans="1:6" s="212" customFormat="1" x14ac:dyDescent="0.25">
      <c r="A1" s="341" t="str">
        <f>'(G1) Fjalori'!A13</f>
        <v>Verdhë = Per tu plotësuar nga Departamenti i Financës</v>
      </c>
      <c r="B1" s="406"/>
      <c r="C1" s="210"/>
      <c r="D1" s="210"/>
      <c r="E1" s="210"/>
      <c r="F1" s="211"/>
    </row>
    <row r="2" spans="1:6" s="212" customFormat="1" x14ac:dyDescent="0.25">
      <c r="D2" s="213"/>
    </row>
    <row r="3" spans="1:6" s="212" customFormat="1" ht="21" x14ac:dyDescent="0.25">
      <c r="A3" s="1127" t="str">
        <f>'(G1) Fjalori'!A215</f>
        <v>(C2) VLERËSIMI I BURIMEVE BUXHETORE</v>
      </c>
      <c r="B3" s="1128"/>
      <c r="C3" s="1128"/>
      <c r="D3" s="1128"/>
      <c r="E3" s="1128"/>
      <c r="F3" s="1129"/>
    </row>
    <row r="4" spans="1:6" s="209" customFormat="1" x14ac:dyDescent="0.25">
      <c r="A4" s="214"/>
      <c r="B4" s="214"/>
      <c r="C4" s="214"/>
    </row>
    <row r="5" spans="1:6" s="212" customFormat="1" x14ac:dyDescent="0.25">
      <c r="D5" s="215">
        <f>'(B1)Informacion i përgjithshëm '!B5</f>
        <v>2019</v>
      </c>
      <c r="E5" s="215">
        <f>'(B1)Informacion i përgjithshëm '!B6</f>
        <v>2020</v>
      </c>
      <c r="F5" s="215">
        <f>'(B1)Informacion i përgjithshëm '!B7</f>
        <v>2021</v>
      </c>
    </row>
    <row r="6" spans="1:6" s="217" customFormat="1" ht="26.25" customHeight="1" x14ac:dyDescent="0.25">
      <c r="A6" s="1148" t="str">
        <f>'(G1) Fjalori'!A217</f>
        <v>Lloji i të ardhurava</v>
      </c>
      <c r="B6" s="1149"/>
      <c r="C6" s="433" t="str">
        <f>'(G1) Fjalori'!A216</f>
        <v xml:space="preserve">Kodi </v>
      </c>
      <c r="D6" s="119" t="str">
        <f>'(B1)Informacion i përgjithshëm '!A5</f>
        <v>Viti t-2</v>
      </c>
      <c r="E6" s="119" t="str">
        <f>'(G1) Fjalori'!A6</f>
        <v>Viti i shkuar</v>
      </c>
      <c r="F6" s="120" t="str">
        <f>'(G1) Fjalori'!A7</f>
        <v>Viti aktual</v>
      </c>
    </row>
    <row r="7" spans="1:6" s="212" customFormat="1" ht="18.75" x14ac:dyDescent="0.25">
      <c r="A7" s="1144" t="str">
        <f>'(G1) Fjalori'!A218</f>
        <v>TË ARDHURA NGA BURIMET E VETA</v>
      </c>
      <c r="B7" s="1152"/>
      <c r="C7" s="403" t="s">
        <v>837</v>
      </c>
      <c r="D7" s="685">
        <f>D8+D22+D28+D73</f>
        <v>290939361</v>
      </c>
      <c r="E7" s="383">
        <f>E8+E22+E28+E73</f>
        <v>307157414</v>
      </c>
      <c r="F7" s="607">
        <f>F8+F22+F28+F73</f>
        <v>589036721</v>
      </c>
    </row>
    <row r="8" spans="1:6" s="212" customFormat="1" ht="18.75" x14ac:dyDescent="0.25">
      <c r="A8" s="1153" t="str">
        <f>'(G1) Fjalori'!A219</f>
        <v>TË ARDHURA NGA TAKSAT LOKALE</v>
      </c>
      <c r="B8" s="1154"/>
      <c r="C8" s="404" t="s">
        <v>841</v>
      </c>
      <c r="D8" s="684">
        <f>D9+D10+D15+D16+D17+D18+D19+D20+D21</f>
        <v>83485418</v>
      </c>
      <c r="E8" s="384">
        <f>E9+E10+E15+E16+E17+E18+E19+E20+E21</f>
        <v>79642315</v>
      </c>
      <c r="F8" s="608">
        <f>F9+F10+F15+F16+F17+F18+F19+F20+F21</f>
        <v>197835000</v>
      </c>
    </row>
    <row r="9" spans="1:6" s="212" customFormat="1" x14ac:dyDescent="0.25">
      <c r="A9" s="343" t="str">
        <f>'(G1) Fjalori'!A220</f>
        <v>Taksa vendore mbi biznesin e vogël</v>
      </c>
      <c r="B9" s="435"/>
      <c r="C9" s="434" t="s">
        <v>852</v>
      </c>
      <c r="D9" s="681">
        <v>2477148</v>
      </c>
      <c r="E9" s="344">
        <v>2354788</v>
      </c>
      <c r="F9" s="344">
        <v>4000000</v>
      </c>
    </row>
    <row r="10" spans="1:6" s="212" customFormat="1" x14ac:dyDescent="0.25">
      <c r="A10" s="436" t="str">
        <f>'(G1) Fjalori'!A221</f>
        <v>Taksa mbi pasurinë e paluajtshme</v>
      </c>
      <c r="B10" s="437"/>
      <c r="C10" s="343" t="s">
        <v>853</v>
      </c>
      <c r="D10" s="343">
        <f>SUM(D11:D14)</f>
        <v>57067098</v>
      </c>
      <c r="E10" s="343">
        <f>SUM(E11:E14)</f>
        <v>62226369</v>
      </c>
      <c r="F10" s="609">
        <f>SUM(F11:F14)</f>
        <v>78600000</v>
      </c>
    </row>
    <row r="11" spans="1:6" s="212" customFormat="1" x14ac:dyDescent="0.2">
      <c r="A11" s="1142" t="str">
        <f>'(G1) Fjalori'!A222</f>
        <v>Taksa mbi ndërtesën</v>
      </c>
      <c r="B11" s="1143"/>
      <c r="C11" s="349" t="s">
        <v>861</v>
      </c>
      <c r="D11" s="683">
        <v>51324261</v>
      </c>
      <c r="E11" s="218">
        <v>55923655</v>
      </c>
      <c r="F11" s="218">
        <v>69000000</v>
      </c>
    </row>
    <row r="12" spans="1:6" s="212" customFormat="1" x14ac:dyDescent="0.2">
      <c r="A12" s="1142" t="str">
        <f>'(G1) Fjalori'!A223</f>
        <v>Taksa mbi tokën bujqësore</v>
      </c>
      <c r="B12" s="1143"/>
      <c r="C12" s="235" t="s">
        <v>862</v>
      </c>
      <c r="D12" s="683">
        <v>2244787</v>
      </c>
      <c r="E12" s="218">
        <v>3047878</v>
      </c>
      <c r="F12" s="218">
        <v>5200000</v>
      </c>
    </row>
    <row r="13" spans="1:6" s="212" customFormat="1" x14ac:dyDescent="0.2">
      <c r="A13" s="1142" t="str">
        <f>'(G1) Fjalori'!A224</f>
        <v>Taksa mbi truallin</v>
      </c>
      <c r="B13" s="1143"/>
      <c r="C13" s="235" t="s">
        <v>863</v>
      </c>
      <c r="D13" s="683">
        <v>3498050</v>
      </c>
      <c r="E13" s="218">
        <v>3254836</v>
      </c>
      <c r="F13" s="218">
        <v>4400000</v>
      </c>
    </row>
    <row r="14" spans="1:6" s="212" customFormat="1" x14ac:dyDescent="0.2">
      <c r="A14" s="1142" t="str">
        <f>'(G1) Fjalori'!A225</f>
        <v>Taksa mbi transaksionet e pasurisë</v>
      </c>
      <c r="B14" s="1143"/>
      <c r="C14" s="235" t="s">
        <v>864</v>
      </c>
      <c r="D14" s="683"/>
      <c r="E14" s="218"/>
      <c r="F14" s="218"/>
    </row>
    <row r="15" spans="1:6" s="212" customFormat="1" x14ac:dyDescent="0.25">
      <c r="A15" s="343" t="str">
        <f>'(G1) Fjalori'!A226</f>
        <v>Taksa vendore në shërbimin hotelier</v>
      </c>
      <c r="B15" s="435"/>
      <c r="C15" s="343" t="s">
        <v>854</v>
      </c>
      <c r="D15" s="682">
        <v>6896273</v>
      </c>
      <c r="E15" s="344">
        <v>1511071</v>
      </c>
      <c r="F15" s="344">
        <v>9525000</v>
      </c>
    </row>
    <row r="16" spans="1:6" s="212" customFormat="1" x14ac:dyDescent="0.25">
      <c r="A16" s="343" t="str">
        <f>'(G1) Fjalori'!A227</f>
        <v>Taksa e ndikimit në infrastrukturë nga ndërtimet e reja</v>
      </c>
      <c r="B16" s="435"/>
      <c r="C16" s="343" t="s">
        <v>855</v>
      </c>
      <c r="D16" s="682">
        <v>7651736</v>
      </c>
      <c r="E16" s="344">
        <v>7284415</v>
      </c>
      <c r="F16" s="344">
        <v>100000000</v>
      </c>
    </row>
    <row r="17" spans="1:6" s="212" customFormat="1" x14ac:dyDescent="0.25">
      <c r="A17" s="343" t="str">
        <f>'(G1) Fjalori'!A228</f>
        <v>Taksa e tabelës</v>
      </c>
      <c r="B17" s="435"/>
      <c r="C17" s="343" t="s">
        <v>856</v>
      </c>
      <c r="D17" s="682">
        <v>1564880</v>
      </c>
      <c r="E17" s="344">
        <v>6265672</v>
      </c>
      <c r="F17" s="344">
        <v>5710000</v>
      </c>
    </row>
    <row r="18" spans="1:6" s="212" customFormat="1" x14ac:dyDescent="0.25">
      <c r="A18" s="343" t="str">
        <f>'(G1) Fjalori'!A229</f>
        <v>Taksa vendore mbi të ardhurat e krijuara nga dhuratat, trashëgimi, testament dhe llotaritë vendore</v>
      </c>
      <c r="B18" s="435"/>
      <c r="C18" s="343" t="s">
        <v>857</v>
      </c>
      <c r="D18" s="682"/>
      <c r="E18" s="681"/>
      <c r="F18" s="344"/>
    </row>
    <row r="19" spans="1:6" s="212" customFormat="1" x14ac:dyDescent="0.25">
      <c r="A19" s="343" t="str">
        <f>'(G1) Fjalori'!A230</f>
        <v>Taksa e përkohëshme</v>
      </c>
      <c r="B19" s="655" t="s">
        <v>964</v>
      </c>
      <c r="C19" s="343" t="s">
        <v>858</v>
      </c>
      <c r="D19" s="682"/>
      <c r="E19" s="681"/>
      <c r="F19" s="344"/>
    </row>
    <row r="20" spans="1:6" s="212" customFormat="1" x14ac:dyDescent="0.25">
      <c r="A20" s="343" t="str">
        <f>'(G1) Fjalori'!A231</f>
        <v>Taksa e përkohëshme 1</v>
      </c>
      <c r="B20" s="655" t="s">
        <v>965</v>
      </c>
      <c r="C20" s="343" t="s">
        <v>859</v>
      </c>
      <c r="D20" s="682">
        <v>7828283</v>
      </c>
      <c r="E20" s="681"/>
      <c r="F20" s="344"/>
    </row>
    <row r="21" spans="1:6" s="212" customFormat="1" x14ac:dyDescent="0.25">
      <c r="A21" s="343" t="str">
        <f>'(G1) Fjalori'!A232</f>
        <v>Taksa e përkohëshme 2</v>
      </c>
      <c r="B21" s="655" t="s">
        <v>966</v>
      </c>
      <c r="C21" s="343" t="s">
        <v>860</v>
      </c>
      <c r="D21" s="682"/>
      <c r="E21" s="681"/>
      <c r="F21" s="344"/>
    </row>
    <row r="22" spans="1:6" s="212" customFormat="1" ht="18.75" x14ac:dyDescent="0.25">
      <c r="A22" s="1153" t="str">
        <f>'(G1) Fjalori'!A233</f>
        <v>TË ARDHURA NGA TAKSAT E NDARA (GRANTE)</v>
      </c>
      <c r="B22" s="1155"/>
      <c r="C22" s="440" t="s">
        <v>842</v>
      </c>
      <c r="D22" s="684">
        <f>SUM(D23:D27)</f>
        <v>22350319</v>
      </c>
      <c r="E22" s="384">
        <f>SUM(E23:E27)</f>
        <v>35247548</v>
      </c>
      <c r="F22" s="608">
        <f>SUM(F23:F27)</f>
        <v>36400000</v>
      </c>
    </row>
    <row r="23" spans="1:6" s="212" customFormat="1" x14ac:dyDescent="0.25">
      <c r="A23" s="343" t="str">
        <f>'(G1) Fjalori'!A234</f>
        <v>Taksa mbi kalimin e të drejtës së pronësisë / pasuritë e paluajtshme</v>
      </c>
      <c r="B23" s="435"/>
      <c r="C23" s="343" t="s">
        <v>865</v>
      </c>
      <c r="D23" s="681">
        <v>5766908</v>
      </c>
      <c r="E23" s="344">
        <v>2696634</v>
      </c>
      <c r="F23" s="344">
        <v>6200000</v>
      </c>
    </row>
    <row r="24" spans="1:6" s="212" customFormat="1" x14ac:dyDescent="0.25">
      <c r="A24" s="343" t="str">
        <f>'(G1) Fjalori'!A235</f>
        <v>Taksa vjetore për qarkullimin e mjeteve të përdorura</v>
      </c>
      <c r="B24" s="435"/>
      <c r="C24" s="343" t="s">
        <v>866</v>
      </c>
      <c r="D24" s="681">
        <v>16400241</v>
      </c>
      <c r="E24" s="344">
        <v>19315106</v>
      </c>
      <c r="F24" s="344">
        <v>20000000</v>
      </c>
    </row>
    <row r="25" spans="1:6" s="212" customFormat="1" x14ac:dyDescent="0.25">
      <c r="A25" s="343" t="str">
        <f>'(G1) Fjalori'!A236</f>
        <v>Taksa e rentës minerare</v>
      </c>
      <c r="B25" s="435"/>
      <c r="C25" s="343" t="s">
        <v>867</v>
      </c>
      <c r="D25" s="681">
        <v>183170</v>
      </c>
      <c r="E25" s="344">
        <v>446425</v>
      </c>
      <c r="F25" s="344">
        <v>200000</v>
      </c>
    </row>
    <row r="26" spans="1:6" s="212" customFormat="1" x14ac:dyDescent="0.25">
      <c r="A26" s="343" t="str">
        <f>'(G1) Fjalori'!A237</f>
        <v>Taksa mbi të ardhurat personale</v>
      </c>
      <c r="B26" s="435"/>
      <c r="C26" s="343" t="s">
        <v>868</v>
      </c>
      <c r="D26" s="344"/>
      <c r="E26" s="344">
        <v>12789383</v>
      </c>
      <c r="F26" s="344">
        <v>10000000</v>
      </c>
    </row>
    <row r="27" spans="1:6" s="212" customFormat="1" x14ac:dyDescent="0.25">
      <c r="A27" s="343" t="str">
        <f>'(G1) Fjalori'!A238</f>
        <v xml:space="preserve">Taksa të tjera </v>
      </c>
      <c r="B27" s="435"/>
      <c r="C27" s="343" t="s">
        <v>869</v>
      </c>
      <c r="D27" s="344"/>
      <c r="E27" s="681"/>
      <c r="F27" s="344"/>
    </row>
    <row r="28" spans="1:6" s="212" customFormat="1" ht="18.75" x14ac:dyDescent="0.25">
      <c r="A28" s="1153" t="str">
        <f>'(G1) Fjalori'!A239</f>
        <v>TË ARDHURA NGA TARIFA VENDORE</v>
      </c>
      <c r="B28" s="1155"/>
      <c r="C28" s="440" t="s">
        <v>843</v>
      </c>
      <c r="D28" s="684">
        <f>D29+D33+D34+D38+D42+D45+D59+D69+D70+D71+D72</f>
        <v>170597464</v>
      </c>
      <c r="E28" s="384">
        <f>E29+E33+E34+E38+E42+E45+E59+E69+E70+E71+E72</f>
        <v>172854265</v>
      </c>
      <c r="F28" s="608">
        <f>F29+F33+F34+F38+F42+F45+F59+F69+F70+F71+F72</f>
        <v>278604000</v>
      </c>
    </row>
    <row r="29" spans="1:6" s="212" customFormat="1" x14ac:dyDescent="0.25">
      <c r="A29" s="343" t="str">
        <f>'(G1) Fjalori'!A240</f>
        <v>Tarifa me menaxhimit te mbetjeve</v>
      </c>
      <c r="B29" s="435"/>
      <c r="C29" s="343" t="s">
        <v>870</v>
      </c>
      <c r="D29" s="343">
        <f>SUM(D30:D32)</f>
        <v>74919468</v>
      </c>
      <c r="E29" s="343">
        <f>SUM(E30:E32)</f>
        <v>77760684</v>
      </c>
      <c r="F29" s="609">
        <f>SUM(F30:F32)</f>
        <v>123000000</v>
      </c>
    </row>
    <row r="30" spans="1:6" s="212" customFormat="1" x14ac:dyDescent="0.2">
      <c r="A30" s="1142" t="str">
        <f>'(G1) Fjalori'!A241</f>
        <v>Tarifa e pastrimit për familjet</v>
      </c>
      <c r="B30" s="1143"/>
      <c r="C30" s="235" t="s">
        <v>902</v>
      </c>
      <c r="D30" s="680">
        <v>74919468</v>
      </c>
      <c r="E30" s="218">
        <v>44491055</v>
      </c>
      <c r="F30" s="218">
        <v>80000000</v>
      </c>
    </row>
    <row r="31" spans="1:6" s="212" customFormat="1" x14ac:dyDescent="0.2">
      <c r="A31" s="1142" t="str">
        <f>'(G1) Fjalori'!A242</f>
        <v>Tarifa e pastrimit për institucionet</v>
      </c>
      <c r="B31" s="1143"/>
      <c r="C31" s="235" t="s">
        <v>903</v>
      </c>
      <c r="D31" s="680"/>
      <c r="E31" s="680">
        <v>30269629</v>
      </c>
      <c r="F31" s="218">
        <v>40000000</v>
      </c>
    </row>
    <row r="32" spans="1:6" s="212" customFormat="1" x14ac:dyDescent="0.2">
      <c r="A32" s="1142" t="str">
        <f>'(G1) Fjalori'!A243</f>
        <v>Tarifa e pastrimit për biznesin</v>
      </c>
      <c r="B32" s="1143"/>
      <c r="C32" s="235" t="s">
        <v>904</v>
      </c>
      <c r="D32" s="680"/>
      <c r="E32" s="680">
        <v>3000000</v>
      </c>
      <c r="F32" s="218">
        <v>3000000</v>
      </c>
    </row>
    <row r="33" spans="1:6" s="212" customFormat="1" x14ac:dyDescent="0.25">
      <c r="A33" s="343" t="str">
        <f>'(G1) Fjalori'!A244</f>
        <v>Tarifa për mbledhjen dhe largimin e mbetjeve</v>
      </c>
      <c r="B33" s="435"/>
      <c r="C33" s="343" t="s">
        <v>871</v>
      </c>
      <c r="D33" s="344"/>
      <c r="E33" s="344"/>
      <c r="F33" s="344">
        <v>100000</v>
      </c>
    </row>
    <row r="34" spans="1:6" s="212" customFormat="1" x14ac:dyDescent="0.25">
      <c r="A34" s="343" t="str">
        <f>'(G1) Fjalori'!A245</f>
        <v>Tarifa për ndriçimin publik</v>
      </c>
      <c r="B34" s="435"/>
      <c r="C34" s="343" t="s">
        <v>872</v>
      </c>
      <c r="D34" s="343">
        <f>SUM(D35:D37)</f>
        <v>17765132</v>
      </c>
      <c r="E34" s="343">
        <f>SUM(E35:E37)</f>
        <v>17574974</v>
      </c>
      <c r="F34" s="609">
        <f>SUM(F35:F37)</f>
        <v>29060000</v>
      </c>
    </row>
    <row r="35" spans="1:6" s="212" customFormat="1" x14ac:dyDescent="0.2">
      <c r="A35" s="1142" t="str">
        <f>'(G1) Fjalori'!A246</f>
        <v>Tarifa për ndriçimin publik nga familjet</v>
      </c>
      <c r="B35" s="1143"/>
      <c r="C35" s="235" t="s">
        <v>905</v>
      </c>
      <c r="D35" s="680">
        <v>17765132</v>
      </c>
      <c r="E35" s="218">
        <v>12316908</v>
      </c>
      <c r="F35" s="218">
        <v>22000000</v>
      </c>
    </row>
    <row r="36" spans="1:6" s="212" customFormat="1" x14ac:dyDescent="0.2">
      <c r="A36" s="1142" t="str">
        <f>'(G1) Fjalori'!A247</f>
        <v>Tarifa për ndriçimin publik nga institucionet</v>
      </c>
      <c r="B36" s="1143"/>
      <c r="C36" s="235" t="s">
        <v>906</v>
      </c>
      <c r="D36" s="680"/>
      <c r="E36" s="680">
        <v>5200000</v>
      </c>
      <c r="F36" s="218">
        <v>7000000</v>
      </c>
    </row>
    <row r="37" spans="1:6" s="212" customFormat="1" x14ac:dyDescent="0.2">
      <c r="A37" s="1142" t="str">
        <f>'(G1) Fjalori'!A248</f>
        <v>Tarifa për ndriçimin publik nga biznesi</v>
      </c>
      <c r="B37" s="1143"/>
      <c r="C37" s="235" t="s">
        <v>907</v>
      </c>
      <c r="D37" s="680"/>
      <c r="E37" s="680">
        <v>58066</v>
      </c>
      <c r="F37" s="218">
        <v>60000</v>
      </c>
    </row>
    <row r="38" spans="1:6" s="212" customFormat="1" x14ac:dyDescent="0.25">
      <c r="A38" s="343" t="str">
        <f>'(G1) Fjalori'!A249</f>
        <v>Tarifa për gjelbërimin</v>
      </c>
      <c r="B38" s="435"/>
      <c r="C38" s="343" t="s">
        <v>873</v>
      </c>
      <c r="D38" s="343">
        <f>SUM(D39:D41)</f>
        <v>34714918</v>
      </c>
      <c r="E38" s="343">
        <f>SUM(E39:E41)</f>
        <v>37206560</v>
      </c>
      <c r="F38" s="609">
        <f>SUM(F39:F41)</f>
        <v>62000000</v>
      </c>
    </row>
    <row r="39" spans="1:6" s="212" customFormat="1" x14ac:dyDescent="0.2">
      <c r="A39" s="1142" t="str">
        <f>'(G1) Fjalori'!A250</f>
        <v>Tarifa për gjelbërimin nga familjet</v>
      </c>
      <c r="B39" s="1143"/>
      <c r="C39" s="235" t="s">
        <v>908</v>
      </c>
      <c r="D39" s="680">
        <v>34714918</v>
      </c>
      <c r="E39" s="218">
        <v>21288486</v>
      </c>
      <c r="F39" s="218">
        <v>40000000</v>
      </c>
    </row>
    <row r="40" spans="1:6" s="212" customFormat="1" x14ac:dyDescent="0.2">
      <c r="A40" s="1142" t="str">
        <f>'(G1) Fjalori'!A251</f>
        <v>Tarifa për gjelbërimin nga Institucionet</v>
      </c>
      <c r="B40" s="1143"/>
      <c r="C40" s="235" t="s">
        <v>909</v>
      </c>
      <c r="D40" s="680"/>
      <c r="E40" s="680">
        <v>15000000</v>
      </c>
      <c r="F40" s="218">
        <v>20500000</v>
      </c>
    </row>
    <row r="41" spans="1:6" s="212" customFormat="1" x14ac:dyDescent="0.2">
      <c r="A41" s="1142" t="str">
        <f>'(G1) Fjalori'!A252</f>
        <v>Tarifa për gjelbërimin nga bizneset</v>
      </c>
      <c r="B41" s="1143"/>
      <c r="C41" s="235" t="s">
        <v>910</v>
      </c>
      <c r="D41" s="680"/>
      <c r="E41" s="680">
        <f>1190082-272008</f>
        <v>918074</v>
      </c>
      <c r="F41" s="218">
        <v>1500000</v>
      </c>
    </row>
    <row r="42" spans="1:6" s="212" customFormat="1" x14ac:dyDescent="0.2">
      <c r="A42" s="689" t="s">
        <v>1928</v>
      </c>
      <c r="B42" s="690"/>
      <c r="C42" s="235" t="s">
        <v>1929</v>
      </c>
      <c r="D42" s="343">
        <v>5292741</v>
      </c>
      <c r="E42" s="343">
        <f>SUM(E43:E44)</f>
        <v>7352345</v>
      </c>
      <c r="F42" s="343">
        <f>SUM(F43:F44)</f>
        <v>13000000</v>
      </c>
    </row>
    <row r="43" spans="1:6" s="212" customFormat="1" x14ac:dyDescent="0.2">
      <c r="A43" s="686"/>
      <c r="B43" s="687"/>
      <c r="C43" s="235"/>
      <c r="D43" s="688"/>
      <c r="E43" s="688">
        <v>6699186</v>
      </c>
      <c r="F43" s="218">
        <v>13000000</v>
      </c>
    </row>
    <row r="44" spans="1:6" s="212" customFormat="1" x14ac:dyDescent="0.2">
      <c r="A44" s="686"/>
      <c r="B44" s="687"/>
      <c r="C44" s="235"/>
      <c r="D44" s="688"/>
      <c r="E44" s="688">
        <v>653159</v>
      </c>
      <c r="F44" s="218"/>
    </row>
    <row r="45" spans="1:6" s="212" customFormat="1" x14ac:dyDescent="0.25">
      <c r="A45" s="343" t="str">
        <f>'(G1) Fjalori'!A253</f>
        <v>Tarifa për shërbimet administrative të bashkisë</v>
      </c>
      <c r="B45" s="435"/>
      <c r="C45" s="343" t="s">
        <v>874</v>
      </c>
      <c r="D45" s="343">
        <f>SUM(D46:D58)</f>
        <v>31077612</v>
      </c>
      <c r="E45" s="343">
        <f>SUM(E46:E58)</f>
        <v>25360257</v>
      </c>
      <c r="F45" s="609">
        <f>SUM(F46:F58)</f>
        <v>31570000</v>
      </c>
    </row>
    <row r="46" spans="1:6" s="212" customFormat="1" x14ac:dyDescent="0.2">
      <c r="A46" s="1142" t="str">
        <f>'(G1) Fjalori'!A254</f>
        <v>Tarifa për shërbimet administrative të bashkisë</v>
      </c>
      <c r="B46" s="1143"/>
      <c r="C46" s="235" t="s">
        <v>877</v>
      </c>
      <c r="D46" s="680">
        <f>59140+343060</f>
        <v>402200</v>
      </c>
      <c r="E46" s="218"/>
      <c r="F46" s="218">
        <v>1000000</v>
      </c>
    </row>
    <row r="47" spans="1:6" s="212" customFormat="1" x14ac:dyDescent="0.2">
      <c r="A47" s="1142" t="str">
        <f>'(G1) Fjalori'!A255</f>
        <v>Tarifa për dhënien e liçensave, lejeve e autorizimeve</v>
      </c>
      <c r="B47" s="1143"/>
      <c r="C47" s="235" t="s">
        <v>878</v>
      </c>
      <c r="D47" s="680">
        <v>668110</v>
      </c>
      <c r="E47" s="218"/>
      <c r="F47" s="218"/>
    </row>
    <row r="48" spans="1:6" s="212" customFormat="1" x14ac:dyDescent="0.2">
      <c r="A48" s="1142" t="str">
        <f>'(G1) Fjalori'!A256</f>
        <v>Tarifa të kontrollit të zhvillimit të territorit</v>
      </c>
      <c r="B48" s="1143"/>
      <c r="C48" s="235" t="s">
        <v>879</v>
      </c>
      <c r="D48" s="680">
        <f>342376+16925828+833514+116437+385694+460282+5000</f>
        <v>19069131</v>
      </c>
      <c r="E48" s="218">
        <v>9107938</v>
      </c>
      <c r="F48" s="218">
        <v>17000000</v>
      </c>
    </row>
    <row r="49" spans="1:7" s="212" customFormat="1" x14ac:dyDescent="0.2">
      <c r="A49" s="1142" t="str">
        <f>'(G1) Fjalori'!A257</f>
        <v>Tarifa për vulosje veterinarie të bagëtive të therura</v>
      </c>
      <c r="B49" s="1143"/>
      <c r="C49" s="235" t="s">
        <v>880</v>
      </c>
      <c r="D49" s="680">
        <v>796800</v>
      </c>
      <c r="E49" s="218">
        <v>910000</v>
      </c>
      <c r="F49" s="218">
        <v>770000</v>
      </c>
    </row>
    <row r="50" spans="1:7" s="212" customFormat="1" x14ac:dyDescent="0.2">
      <c r="A50" s="1142" t="str">
        <f>'(G1) Fjalori'!A258</f>
        <v>Tarifa e liçensimit të veprimtarive të transportit</v>
      </c>
      <c r="B50" s="1143"/>
      <c r="C50" s="235" t="s">
        <v>881</v>
      </c>
      <c r="D50" s="680">
        <v>776563</v>
      </c>
      <c r="E50" s="218">
        <v>1203844</v>
      </c>
      <c r="F50" s="218">
        <v>1000000</v>
      </c>
    </row>
    <row r="51" spans="1:7" s="212" customFormat="1" x14ac:dyDescent="0.2">
      <c r="A51" s="1142" t="str">
        <f>'(G1) Fjalori'!A259</f>
        <v>Tarifa e parkimit për mjetet e liçensuara dhe vendparkime publike</v>
      </c>
      <c r="B51" s="1143"/>
      <c r="C51" s="235" t="s">
        <v>882</v>
      </c>
      <c r="D51" s="680">
        <v>2567926</v>
      </c>
      <c r="E51" s="218">
        <v>2421850</v>
      </c>
      <c r="F51" s="218">
        <v>4000000</v>
      </c>
    </row>
    <row r="52" spans="1:7" s="212" customFormat="1" x14ac:dyDescent="0.2">
      <c r="A52" s="1142" t="str">
        <f>'(G1) Fjalori'!A260</f>
        <v>Tarifa për dhënie liçense për tregtimin e naftës bruto dhe nënprodukteve të saj</v>
      </c>
      <c r="B52" s="1143"/>
      <c r="C52" s="235" t="s">
        <v>883</v>
      </c>
      <c r="D52" s="680"/>
      <c r="E52" s="218"/>
      <c r="F52" s="218"/>
    </row>
    <row r="53" spans="1:7" s="212" customFormat="1" x14ac:dyDescent="0.2">
      <c r="A53" s="1142" t="str">
        <f>'(G1) Fjalori'!A261</f>
        <v>Tarifa për pyejt dhe kullotat</v>
      </c>
      <c r="B53" s="1143"/>
      <c r="C53" s="235" t="s">
        <v>884</v>
      </c>
      <c r="D53" s="680">
        <v>428130</v>
      </c>
      <c r="E53" s="218">
        <v>345541</v>
      </c>
      <c r="F53" s="218">
        <v>500000</v>
      </c>
    </row>
    <row r="54" spans="1:7" s="212" customFormat="1" x14ac:dyDescent="0.2">
      <c r="A54" s="1142" t="str">
        <f>'(G1) Fjalori'!A262</f>
        <v>Tarifa për shërbimet shtesë nga zjarrëfiksja</v>
      </c>
      <c r="B54" s="1143"/>
      <c r="C54" s="235" t="s">
        <v>885</v>
      </c>
      <c r="D54" s="680">
        <f>56240+91000</f>
        <v>147240</v>
      </c>
      <c r="E54" s="50">
        <v>249268</v>
      </c>
      <c r="F54" s="218">
        <v>200000</v>
      </c>
      <c r="G54" s="212" t="s">
        <v>2030</v>
      </c>
    </row>
    <row r="55" spans="1:7" s="212" customFormat="1" x14ac:dyDescent="0.2">
      <c r="A55" s="1142" t="str">
        <f>'(G1) Fjalori'!A263</f>
        <v>Tarifa për zënien dhe përdorimin e hapsirës publike dhe fasadave</v>
      </c>
      <c r="B55" s="1143"/>
      <c r="C55" s="235" t="s">
        <v>886</v>
      </c>
      <c r="D55" s="680">
        <f>3490780+1929899</f>
        <v>5420679</v>
      </c>
      <c r="E55" s="218">
        <f>2562633+7543733</f>
        <v>10106366</v>
      </c>
      <c r="F55" s="218">
        <f>14000000-8500000</f>
        <v>5500000</v>
      </c>
    </row>
    <row r="56" spans="1:7" s="212" customFormat="1" x14ac:dyDescent="0.2">
      <c r="A56" s="1142" t="str">
        <f>'(G1) Fjalori'!A264</f>
        <v xml:space="preserve">Tarifa për trajtimin e mbetjeve inerte në landfille </v>
      </c>
      <c r="B56" s="1143"/>
      <c r="C56" s="235" t="s">
        <v>887</v>
      </c>
      <c r="D56" s="680"/>
      <c r="E56" s="218"/>
      <c r="F56" s="218"/>
    </row>
    <row r="57" spans="1:7" s="212" customFormat="1" x14ac:dyDescent="0.2">
      <c r="A57" s="1142" t="str">
        <f>'(G1) Fjalori'!A265</f>
        <v>Tarifa për linjat ajrore dhe nëntoksore (Telefoni, Energji, TV Kabllor, Internet)</v>
      </c>
      <c r="B57" s="1143"/>
      <c r="C57" s="235" t="s">
        <v>888</v>
      </c>
      <c r="D57" s="680">
        <v>800833</v>
      </c>
      <c r="E57" s="218">
        <v>1015450</v>
      </c>
      <c r="F57" s="218">
        <v>1600000</v>
      </c>
    </row>
    <row r="58" spans="1:7" s="212" customFormat="1" x14ac:dyDescent="0.2">
      <c r="A58" s="1142" t="str">
        <f>'(G1) Fjalori'!A266</f>
        <v>Tarifa nga dokumentat për tender, ankand etj</v>
      </c>
      <c r="B58" s="1143"/>
      <c r="C58" s="235" t="s">
        <v>889</v>
      </c>
      <c r="D58" s="218"/>
      <c r="E58" s="680"/>
      <c r="F58" s="218"/>
    </row>
    <row r="59" spans="1:7" s="212" customFormat="1" x14ac:dyDescent="0.25">
      <c r="A59" s="343" t="str">
        <f>'(G1) Fjalori'!A267</f>
        <v>Tarifa të institucioneve të arsimit, kulturës, sportit etj</v>
      </c>
      <c r="B59" s="435"/>
      <c r="C59" s="343" t="s">
        <v>875</v>
      </c>
      <c r="D59" s="343">
        <f>SUM(D60:D68)</f>
        <v>1696576</v>
      </c>
      <c r="E59" s="343">
        <f>SUM(E60:E68)</f>
        <v>1723825</v>
      </c>
      <c r="F59" s="609">
        <f>SUM(F60:F68)</f>
        <v>6274000</v>
      </c>
    </row>
    <row r="60" spans="1:7" s="212" customFormat="1" x14ac:dyDescent="0.2">
      <c r="A60" s="1142" t="str">
        <f>'(G1) Fjalori'!A268</f>
        <v>Bibloteka</v>
      </c>
      <c r="B60" s="1143"/>
      <c r="C60" s="235" t="s">
        <v>890</v>
      </c>
      <c r="D60" s="218"/>
      <c r="E60" s="218"/>
      <c r="F60" s="218"/>
    </row>
    <row r="61" spans="1:7" s="212" customFormat="1" x14ac:dyDescent="0.2">
      <c r="A61" s="1142" t="str">
        <f>'(G1) Fjalori'!A269</f>
        <v>Muzeumet</v>
      </c>
      <c r="B61" s="1143"/>
      <c r="C61" s="235" t="s">
        <v>891</v>
      </c>
      <c r="D61" s="218"/>
      <c r="E61" s="218"/>
      <c r="F61" s="218"/>
    </row>
    <row r="62" spans="1:7" s="212" customFormat="1" x14ac:dyDescent="0.2">
      <c r="A62" s="1142" t="str">
        <f>'(G1) Fjalori'!A270</f>
        <v>Teatri</v>
      </c>
      <c r="B62" s="1143"/>
      <c r="C62" s="235" t="s">
        <v>892</v>
      </c>
      <c r="D62" s="218"/>
      <c r="E62" s="218"/>
      <c r="F62" s="218"/>
    </row>
    <row r="63" spans="1:7" s="212" customFormat="1" x14ac:dyDescent="0.2">
      <c r="A63" s="1142" t="str">
        <f>'(G1) Fjalori'!A271</f>
        <v>Qendra kulturore e fëmijëve</v>
      </c>
      <c r="B63" s="1143"/>
      <c r="C63" s="235" t="s">
        <v>893</v>
      </c>
      <c r="D63" s="218">
        <v>178400</v>
      </c>
      <c r="E63" s="218">
        <v>12000</v>
      </c>
      <c r="F63" s="218">
        <v>380000</v>
      </c>
    </row>
    <row r="64" spans="1:7" s="212" customFormat="1" x14ac:dyDescent="0.2">
      <c r="A64" s="1142" t="str">
        <f>'(G1) Fjalori'!A272</f>
        <v>Pallati i sportit</v>
      </c>
      <c r="B64" s="1143"/>
      <c r="C64" s="235" t="s">
        <v>894</v>
      </c>
      <c r="D64" s="218">
        <v>151900</v>
      </c>
      <c r="E64" s="218">
        <v>25400</v>
      </c>
      <c r="F64" s="218">
        <v>350000</v>
      </c>
    </row>
    <row r="65" spans="1:6" s="212" customFormat="1" x14ac:dyDescent="0.2">
      <c r="A65" s="1142" t="str">
        <f>'(G1) Fjalori'!A273</f>
        <v>Qendra Komunitare</v>
      </c>
      <c r="B65" s="1143"/>
      <c r="C65" s="235" t="s">
        <v>895</v>
      </c>
      <c r="D65" s="218"/>
      <c r="E65" s="218"/>
      <c r="F65" s="218"/>
    </row>
    <row r="66" spans="1:6" s="212" customFormat="1" x14ac:dyDescent="0.2">
      <c r="A66" s="1142" t="str">
        <f>'(G1) Fjalori'!A274</f>
        <v>Mensa (Konviktet)</v>
      </c>
      <c r="B66" s="1143"/>
      <c r="C66" s="235" t="s">
        <v>896</v>
      </c>
      <c r="D66" s="218"/>
      <c r="E66" s="218"/>
      <c r="F66" s="218"/>
    </row>
    <row r="67" spans="1:6" s="212" customFormat="1" x14ac:dyDescent="0.2">
      <c r="A67" s="1142" t="str">
        <f>'(G1) Fjalori'!A275</f>
        <v>Kopshtet</v>
      </c>
      <c r="B67" s="1143"/>
      <c r="C67" s="235" t="s">
        <v>897</v>
      </c>
      <c r="D67" s="218"/>
      <c r="E67" s="218">
        <v>595945</v>
      </c>
      <c r="F67" s="218"/>
    </row>
    <row r="68" spans="1:6" s="212" customFormat="1" x14ac:dyDescent="0.2">
      <c r="A68" s="1142" t="str">
        <f>'(G1) Fjalori'!A276</f>
        <v>Çerdhet</v>
      </c>
      <c r="B68" s="1143"/>
      <c r="C68" s="235" t="s">
        <v>898</v>
      </c>
      <c r="D68" s="218">
        <v>1366276</v>
      </c>
      <c r="E68" s="218">
        <v>1090480</v>
      </c>
      <c r="F68" s="218">
        <v>5544000</v>
      </c>
    </row>
    <row r="69" spans="1:6" s="212" customFormat="1" x14ac:dyDescent="0.25">
      <c r="A69" s="343" t="str">
        <f>'(G1) Fjalori'!A277</f>
        <v>Tarifa për furnizimin me ujë dhe kanalizime</v>
      </c>
      <c r="B69" s="435"/>
      <c r="C69" s="343" t="s">
        <v>876</v>
      </c>
      <c r="D69" s="344">
        <v>663300</v>
      </c>
      <c r="E69" s="344"/>
      <c r="F69" s="344"/>
    </row>
    <row r="70" spans="1:6" s="212" customFormat="1" x14ac:dyDescent="0.25">
      <c r="A70" s="343" t="str">
        <f>'(G1) Fjalori'!A278</f>
        <v>Tarifa për shërbimin e ujitjes dhe kullimit</v>
      </c>
      <c r="B70" s="435"/>
      <c r="C70" s="343" t="s">
        <v>899</v>
      </c>
      <c r="D70" s="344"/>
      <c r="E70" s="344"/>
      <c r="F70" s="344">
        <v>500000</v>
      </c>
    </row>
    <row r="71" spans="1:6" s="212" customFormat="1" x14ac:dyDescent="0.25">
      <c r="A71" s="343" t="str">
        <f>'(G1) Fjalori'!A279</f>
        <v>Tarifa e përkohëshme</v>
      </c>
      <c r="B71" s="435"/>
      <c r="C71" s="343" t="s">
        <v>900</v>
      </c>
      <c r="D71" s="344">
        <v>76500</v>
      </c>
      <c r="E71" s="344"/>
      <c r="F71" s="344">
        <v>8500000</v>
      </c>
    </row>
    <row r="72" spans="1:6" s="212" customFormat="1" x14ac:dyDescent="0.25">
      <c r="A72" s="343" t="str">
        <f>'(G1) Fjalori'!A280</f>
        <v>Tarifa të tjera</v>
      </c>
      <c r="B72" s="435"/>
      <c r="C72" s="343" t="s">
        <v>901</v>
      </c>
      <c r="D72" s="344">
        <f>6000+907500+64000+456430+12500+7000+80500+2854110+3177</f>
        <v>4391217</v>
      </c>
      <c r="E72" s="344">
        <f>2749319+3126301</f>
        <v>5875620</v>
      </c>
      <c r="F72" s="344">
        <v>4600000</v>
      </c>
    </row>
    <row r="73" spans="1:6" s="212" customFormat="1" ht="18.75" x14ac:dyDescent="0.25">
      <c r="A73" s="1153" t="str">
        <f>'(G1) Fjalori'!A281</f>
        <v>TË ARDHURAT E TJERA</v>
      </c>
      <c r="B73" s="1155"/>
      <c r="C73" s="440" t="s">
        <v>844</v>
      </c>
      <c r="D73" s="384">
        <f>SUM(D74:D87)</f>
        <v>14506160</v>
      </c>
      <c r="E73" s="384">
        <f>SUM(E74:E87)</f>
        <v>19413286</v>
      </c>
      <c r="F73" s="608">
        <f>SUM(F74:F87)</f>
        <v>76197721</v>
      </c>
    </row>
    <row r="74" spans="1:6" s="212" customFormat="1" x14ac:dyDescent="0.25">
      <c r="A74" s="343" t="str">
        <f>'(G1) Fjalori'!A282</f>
        <v>Qeraja nga asetet në pronësi të bashkisë</v>
      </c>
      <c r="B74" s="435"/>
      <c r="C74" s="343" t="s">
        <v>911</v>
      </c>
      <c r="D74" s="344">
        <f>12455709</f>
        <v>12455709</v>
      </c>
      <c r="E74" s="344">
        <v>10576653</v>
      </c>
      <c r="F74" s="344">
        <v>13541988</v>
      </c>
    </row>
    <row r="75" spans="1:6" s="212" customFormat="1" x14ac:dyDescent="0.25">
      <c r="A75" s="343" t="str">
        <f>'(G1) Fjalori'!A283</f>
        <v>Kthimi nga investimet kapitale</v>
      </c>
      <c r="B75" s="435"/>
      <c r="C75" s="343" t="s">
        <v>912</v>
      </c>
      <c r="D75" s="344"/>
      <c r="E75" s="344"/>
      <c r="F75" s="344"/>
    </row>
    <row r="76" spans="1:6" s="212" customFormat="1" x14ac:dyDescent="0.25">
      <c r="A76" s="343" t="str">
        <f>'(G1) Fjalori'!A284</f>
        <v>Fitimi nga ndërmarrjet publike në varësi të Bashkisë</v>
      </c>
      <c r="B76" s="435"/>
      <c r="C76" s="343" t="s">
        <v>913</v>
      </c>
      <c r="D76" s="344"/>
      <c r="E76" s="344"/>
      <c r="F76" s="344"/>
    </row>
    <row r="77" spans="1:6" s="212" customFormat="1" x14ac:dyDescent="0.25">
      <c r="A77" s="343" t="str">
        <f>'(G1) Fjalori'!A285</f>
        <v>Kthimi nga partneriteti publik privat</v>
      </c>
      <c r="B77" s="435"/>
      <c r="C77" s="343" t="s">
        <v>914</v>
      </c>
      <c r="D77" s="344"/>
      <c r="E77" s="344"/>
      <c r="F77" s="344"/>
    </row>
    <row r="78" spans="1:6" s="212" customFormat="1" x14ac:dyDescent="0.25">
      <c r="A78" s="343" t="str">
        <f>'(G1) Fjalori'!A286</f>
        <v>Tërheqje e të ardhura krijuar nga shërbimet</v>
      </c>
      <c r="B78" s="435"/>
      <c r="C78" s="343" t="s">
        <v>915</v>
      </c>
      <c r="D78" s="344"/>
      <c r="E78" s="344"/>
      <c r="F78" s="344"/>
    </row>
    <row r="79" spans="1:6" s="212" customFormat="1" x14ac:dyDescent="0.25">
      <c r="A79" s="343" t="str">
        <f>'(G1) Fjalori'!A287</f>
        <v>Shitja e mallrave dhe shërbimeve</v>
      </c>
      <c r="B79" s="435"/>
      <c r="C79" s="343" t="s">
        <v>916</v>
      </c>
      <c r="D79" s="344"/>
      <c r="E79" s="344"/>
      <c r="F79" s="344"/>
    </row>
    <row r="80" spans="1:6" s="212" customFormat="1" x14ac:dyDescent="0.25">
      <c r="A80" s="343" t="str">
        <f>'(G1) Fjalori'!A288</f>
        <v>Kundravajtjet administrative (Gjobat)</v>
      </c>
      <c r="B80" s="435"/>
      <c r="C80" s="343" t="s">
        <v>917</v>
      </c>
      <c r="D80" s="344">
        <f>1556378</f>
        <v>1556378</v>
      </c>
      <c r="E80" s="344">
        <v>620045</v>
      </c>
      <c r="F80" s="344">
        <v>3000000</v>
      </c>
    </row>
    <row r="81" spans="1:8" s="212" customFormat="1" x14ac:dyDescent="0.25">
      <c r="A81" s="343" t="str">
        <f>'(G1) Fjalori'!A289</f>
        <v>Sekuestrime dhe Zhdëmtime</v>
      </c>
      <c r="B81" s="435"/>
      <c r="C81" s="343" t="s">
        <v>918</v>
      </c>
      <c r="D81" s="344"/>
      <c r="E81" s="344"/>
      <c r="F81" s="344"/>
    </row>
    <row r="82" spans="1:8" s="212" customFormat="1" x14ac:dyDescent="0.25">
      <c r="A82" s="343" t="str">
        <f>'(G1) Fjalori'!A290</f>
        <v>Kuotat e anëtarësisë së bashkive</v>
      </c>
      <c r="B82" s="435"/>
      <c r="C82" s="343" t="s">
        <v>919</v>
      </c>
      <c r="D82" s="344"/>
      <c r="E82" s="344"/>
      <c r="F82" s="344"/>
    </row>
    <row r="83" spans="1:8" s="212" customFormat="1" x14ac:dyDescent="0.25">
      <c r="A83" s="343" t="str">
        <f>'(G1) Fjalori'!A291</f>
        <v>Trasferta dhe ndihma nga njësitë e tjera vendore</v>
      </c>
      <c r="B83" s="435"/>
      <c r="C83" s="343" t="s">
        <v>920</v>
      </c>
      <c r="D83" s="344"/>
      <c r="E83" s="344"/>
      <c r="F83" s="344"/>
    </row>
    <row r="84" spans="1:8" s="212" customFormat="1" x14ac:dyDescent="0.25">
      <c r="A84" s="343" t="str">
        <f>'(G1) Fjalori'!A292</f>
        <v>Grante nga ndihma ndërkombëtare</v>
      </c>
      <c r="B84" s="435"/>
      <c r="C84" s="343" t="s">
        <v>921</v>
      </c>
      <c r="D84" s="344"/>
      <c r="E84" s="344">
        <f>738000+1031598</f>
        <v>1769598</v>
      </c>
      <c r="F84" s="344">
        <v>58655733</v>
      </c>
    </row>
    <row r="85" spans="1:8" s="212" customFormat="1" x14ac:dyDescent="0.25">
      <c r="A85" s="343" t="str">
        <f>'(G1) Fjalori'!A293</f>
        <v>Shitja e aseteve financiare</v>
      </c>
      <c r="B85" s="435"/>
      <c r="C85" s="343" t="s">
        <v>922</v>
      </c>
      <c r="D85" s="344"/>
      <c r="E85" s="344"/>
      <c r="F85" s="344"/>
    </row>
    <row r="86" spans="1:8" s="212" customFormat="1" x14ac:dyDescent="0.25">
      <c r="A86" s="343" t="str">
        <f>'(G1) Fjalori'!A294</f>
        <v>Shitja e aseteve fikse të prekshme / paprekshme</v>
      </c>
      <c r="B86" s="435"/>
      <c r="C86" s="343" t="s">
        <v>923</v>
      </c>
      <c r="D86" s="344">
        <v>42963</v>
      </c>
      <c r="E86" s="344"/>
      <c r="F86" s="344"/>
    </row>
    <row r="87" spans="1:8" s="212" customFormat="1" x14ac:dyDescent="0.25">
      <c r="A87" s="343" t="str">
        <f>'(G1) Fjalori'!A295</f>
        <v>Të tjera</v>
      </c>
      <c r="B87" s="435"/>
      <c r="C87" s="343" t="s">
        <v>924</v>
      </c>
      <c r="D87" s="344">
        <f>251110+200000</f>
        <v>451110</v>
      </c>
      <c r="E87" s="344">
        <f>249729+4588396+1302290+306575</f>
        <v>6446990</v>
      </c>
      <c r="F87" s="344">
        <v>1000000</v>
      </c>
    </row>
    <row r="88" spans="1:8" s="212" customFormat="1" ht="18.75" x14ac:dyDescent="0.25">
      <c r="A88" s="1144" t="str">
        <f>'(G1) Fjalori'!A296</f>
        <v>TË ARDHURA NGA BUXHETI QENDROR</v>
      </c>
      <c r="B88" s="1145"/>
      <c r="C88" s="439" t="s">
        <v>838</v>
      </c>
      <c r="D88" s="685">
        <f>D89+D90+D93</f>
        <v>1282147295.9200001</v>
      </c>
      <c r="E88" s="383">
        <f>E89+E90+E93</f>
        <v>1511087141</v>
      </c>
      <c r="F88" s="607">
        <f>F89+F90+F93</f>
        <v>1591558562</v>
      </c>
    </row>
    <row r="89" spans="1:8" s="212" customFormat="1" ht="18.75" x14ac:dyDescent="0.25">
      <c r="A89" s="1146" t="str">
        <f>'(G1) Fjalori'!A297</f>
        <v>Transferta e pakushtëzuar</v>
      </c>
      <c r="B89" s="1147"/>
      <c r="C89" s="440" t="s">
        <v>845</v>
      </c>
      <c r="D89" s="344">
        <v>377251901.92000002</v>
      </c>
      <c r="E89" s="344">
        <f>356705000+20000000</f>
        <v>376705000</v>
      </c>
      <c r="F89" s="344">
        <f>361564000+70000000</f>
        <v>431564000</v>
      </c>
      <c r="H89" s="703"/>
    </row>
    <row r="90" spans="1:8" s="212" customFormat="1" ht="18.75" x14ac:dyDescent="0.25">
      <c r="A90" s="1146" t="str">
        <f>'(G1) Fjalori'!A298</f>
        <v>Transferta e kushtëzuar</v>
      </c>
      <c r="B90" s="1147"/>
      <c r="C90" s="440" t="s">
        <v>847</v>
      </c>
      <c r="D90" s="384">
        <f>SUM(D91:D92)</f>
        <v>759409548</v>
      </c>
      <c r="E90" s="656">
        <f>SUM(E91:E92)</f>
        <v>944007141</v>
      </c>
      <c r="F90" s="608">
        <f>SUM(F91:F92)</f>
        <v>944008000</v>
      </c>
    </row>
    <row r="91" spans="1:8" s="212" customFormat="1" x14ac:dyDescent="0.25">
      <c r="A91" s="343" t="str">
        <f>'(G1) Fjalori'!A299</f>
        <v>Për funskionet e deleguara</v>
      </c>
      <c r="B91" s="435"/>
      <c r="C91" s="343" t="s">
        <v>925</v>
      </c>
      <c r="D91" s="218">
        <f>750003898+6380486+1065547+280800+93125+1355520+226372+3800</f>
        <v>759409548</v>
      </c>
      <c r="E91" s="218">
        <v>944007141</v>
      </c>
      <c r="F91" s="218">
        <f>944008000</f>
        <v>944008000</v>
      </c>
      <c r="H91" s="800"/>
    </row>
    <row r="92" spans="1:8" s="212" customFormat="1" x14ac:dyDescent="0.25">
      <c r="A92" s="343" t="str">
        <f>'(G1) Fjalori'!A300</f>
        <v xml:space="preserve">Për projekte të veçanta (FZHR dhe të tjera) </v>
      </c>
      <c r="B92" s="435"/>
      <c r="C92" s="343" t="s">
        <v>926</v>
      </c>
      <c r="D92" s="218"/>
      <c r="E92" s="218"/>
      <c r="F92" s="218"/>
    </row>
    <row r="93" spans="1:8" s="212" customFormat="1" ht="18.75" x14ac:dyDescent="0.25">
      <c r="A93" s="1146" t="str">
        <f>'(G1) Fjalori'!A301</f>
        <v>Trasferta specifike</v>
      </c>
      <c r="B93" s="1147"/>
      <c r="C93" s="440" t="s">
        <v>846</v>
      </c>
      <c r="D93" s="344">
        <v>145485846</v>
      </c>
      <c r="E93" s="344">
        <v>190375000</v>
      </c>
      <c r="F93" s="344">
        <f>204780128+11206434</f>
        <v>215986562</v>
      </c>
    </row>
    <row r="94" spans="1:8" s="212" customFormat="1" ht="18.75" x14ac:dyDescent="0.25">
      <c r="A94" s="1144" t="str">
        <f>'(G1) Fjalori'!A302</f>
        <v>HUAMARRJA</v>
      </c>
      <c r="B94" s="1145"/>
      <c r="C94" s="439" t="s">
        <v>839</v>
      </c>
      <c r="D94" s="383">
        <f>SUM(D95:D96)</f>
        <v>0</v>
      </c>
      <c r="E94" s="383">
        <f>SUM(E95:E96)</f>
        <v>0</v>
      </c>
      <c r="F94" s="607">
        <f>SUM(F95:F96)</f>
        <v>0</v>
      </c>
    </row>
    <row r="95" spans="1:8" s="212" customFormat="1" ht="18.75" x14ac:dyDescent="0.25">
      <c r="A95" s="1146" t="str">
        <f>'(G1) Fjalori'!A303</f>
        <v>Huamarrja afatshkurtë</v>
      </c>
      <c r="B95" s="1147"/>
      <c r="C95" s="440" t="s">
        <v>848</v>
      </c>
      <c r="D95" s="438"/>
      <c r="E95" s="344"/>
      <c r="F95" s="344"/>
    </row>
    <row r="96" spans="1:8" s="212" customFormat="1" ht="18.75" x14ac:dyDescent="0.25">
      <c r="A96" s="1146" t="str">
        <f>'(G1) Fjalori'!A304</f>
        <v>Huamarrja afatgjatë</v>
      </c>
      <c r="B96" s="1147"/>
      <c r="C96" s="440" t="s">
        <v>849</v>
      </c>
      <c r="D96" s="438"/>
      <c r="E96" s="344"/>
      <c r="F96" s="344"/>
    </row>
    <row r="97" spans="1:6" s="212" customFormat="1" ht="18.75" x14ac:dyDescent="0.25">
      <c r="A97" s="1144" t="str">
        <f>'(G1) Fjalori'!A305</f>
        <v>TRASHËGIMI NGA VITI I SHKUAR</v>
      </c>
      <c r="B97" s="1145"/>
      <c r="C97" s="439" t="s">
        <v>840</v>
      </c>
      <c r="D97" s="383">
        <f>SUM(D98:D99)</f>
        <v>192108512</v>
      </c>
      <c r="E97" s="383">
        <f>SUM(E98:E99)</f>
        <v>205582874</v>
      </c>
      <c r="F97" s="607">
        <f>SUM(F98:F99)</f>
        <v>184917574</v>
      </c>
    </row>
    <row r="98" spans="1:6" s="212" customFormat="1" ht="18.75" x14ac:dyDescent="0.25">
      <c r="A98" s="1146" t="str">
        <f>'(G1) Fjalori'!A306</f>
        <v>Trashëgimi pa destinacion</v>
      </c>
      <c r="B98" s="1147"/>
      <c r="C98" s="440" t="s">
        <v>850</v>
      </c>
      <c r="D98" s="344">
        <f>114498310+17839839</f>
        <v>132338149</v>
      </c>
      <c r="E98" s="344">
        <f>84885569+58740991</f>
        <v>143626560</v>
      </c>
      <c r="F98" s="344">
        <f>135602057+390000</f>
        <v>135992057</v>
      </c>
    </row>
    <row r="99" spans="1:6" s="212" customFormat="1" ht="18.75" x14ac:dyDescent="0.25">
      <c r="A99" s="1146" t="str">
        <f>'(G1) Fjalori'!A307</f>
        <v>Trashëgimi me destinacion</v>
      </c>
      <c r="B99" s="1147"/>
      <c r="C99" s="440" t="s">
        <v>851</v>
      </c>
      <c r="D99" s="344">
        <v>59770363</v>
      </c>
      <c r="E99" s="344">
        <f>59798827+2154281+3206</f>
        <v>61956314</v>
      </c>
      <c r="F99" s="344">
        <v>48925517</v>
      </c>
    </row>
    <row r="100" spans="1:6" s="386" customFormat="1" ht="18.75" x14ac:dyDescent="0.25">
      <c r="A100" s="1150" t="str">
        <f>'(G1) Fjalori'!A352</f>
        <v>TOTALI I BURIMEVE BUXHETORE</v>
      </c>
      <c r="B100" s="1151"/>
      <c r="C100" s="610"/>
      <c r="D100" s="611">
        <f>D97+D94+D88+D7</f>
        <v>1765195168.9200001</v>
      </c>
      <c r="E100" s="611">
        <f>E97+E94+E88+E7</f>
        <v>2023827429</v>
      </c>
      <c r="F100" s="611">
        <f>F97+F94+F88+F7</f>
        <v>2365512857</v>
      </c>
    </row>
    <row r="102" spans="1:6" x14ac:dyDescent="0.2">
      <c r="A102" s="111"/>
      <c r="B102" s="111"/>
      <c r="C102" s="111"/>
      <c r="E102" s="101"/>
    </row>
    <row r="103" spans="1:6" x14ac:dyDescent="0.2">
      <c r="E103" s="101"/>
    </row>
    <row r="104" spans="1:6" s="43" customFormat="1" x14ac:dyDescent="0.2">
      <c r="A104" s="32"/>
      <c r="B104" s="32"/>
      <c r="C104" s="32"/>
      <c r="D104" s="32"/>
      <c r="E104" s="32"/>
      <c r="F104" s="32"/>
    </row>
    <row r="105" spans="1:6" s="47" customFormat="1" ht="13.5" hidden="1" customHeight="1" thickBot="1" x14ac:dyDescent="0.25">
      <c r="A105" s="189" t="s">
        <v>1</v>
      </c>
      <c r="B105" s="190"/>
      <c r="C105" s="190"/>
      <c r="D105" s="190"/>
      <c r="E105" s="93" t="e">
        <f>#REF!+#REF!</f>
        <v>#REF!</v>
      </c>
      <c r="F105" s="93" t="e">
        <f>#REF!+#REF!</f>
        <v>#REF!</v>
      </c>
    </row>
    <row r="107" spans="1:6" ht="15" x14ac:dyDescent="0.25">
      <c r="A107" s="71"/>
      <c r="B107" s="71"/>
      <c r="C107" s="71"/>
      <c r="D107" s="48"/>
    </row>
    <row r="111" spans="1:6" x14ac:dyDescent="0.2">
      <c r="A111" s="101" t="s">
        <v>2031</v>
      </c>
    </row>
    <row r="145" spans="4:4" x14ac:dyDescent="0.2">
      <c r="D145" s="101"/>
    </row>
    <row r="146" spans="4:4" x14ac:dyDescent="0.2">
      <c r="D146" s="101"/>
    </row>
    <row r="147" spans="4:4" x14ac:dyDescent="0.2">
      <c r="D147" s="101"/>
    </row>
    <row r="148" spans="4:4" x14ac:dyDescent="0.2">
      <c r="D148" s="101"/>
    </row>
    <row r="149" spans="4:4" x14ac:dyDescent="0.2">
      <c r="D149" s="101"/>
    </row>
    <row r="150" spans="4:4" x14ac:dyDescent="0.2">
      <c r="D150" s="101"/>
    </row>
  </sheetData>
  <sheetProtection selectLockedCells="1"/>
  <mergeCells count="53">
    <mergeCell ref="A6:B6"/>
    <mergeCell ref="A99:B99"/>
    <mergeCell ref="A3:F3"/>
    <mergeCell ref="A100:B100"/>
    <mergeCell ref="A7:B7"/>
    <mergeCell ref="A8:B8"/>
    <mergeCell ref="A22:B22"/>
    <mergeCell ref="A28:B28"/>
    <mergeCell ref="A73:B73"/>
    <mergeCell ref="A88:B88"/>
    <mergeCell ref="A89:B89"/>
    <mergeCell ref="A90:B90"/>
    <mergeCell ref="A93:B93"/>
    <mergeCell ref="A94:B94"/>
    <mergeCell ref="A95:B95"/>
    <mergeCell ref="A49:B49"/>
    <mergeCell ref="A50:B50"/>
    <mergeCell ref="A51:B51"/>
    <mergeCell ref="A97:B97"/>
    <mergeCell ref="A98:B98"/>
    <mergeCell ref="A40:B40"/>
    <mergeCell ref="A41:B41"/>
    <mergeCell ref="A46:B46"/>
    <mergeCell ref="A47:B47"/>
    <mergeCell ref="A48:B48"/>
    <mergeCell ref="A67:B67"/>
    <mergeCell ref="A96:B96"/>
    <mergeCell ref="A68:B68"/>
    <mergeCell ref="A63:B63"/>
    <mergeCell ref="A64:B64"/>
    <mergeCell ref="A65:B65"/>
    <mergeCell ref="A66:B66"/>
    <mergeCell ref="A32:B32"/>
    <mergeCell ref="A35:B35"/>
    <mergeCell ref="A36:B36"/>
    <mergeCell ref="A37:B37"/>
    <mergeCell ref="A39:B39"/>
    <mergeCell ref="A11:B11"/>
    <mergeCell ref="A12:B12"/>
    <mergeCell ref="A13:B13"/>
    <mergeCell ref="A14:B14"/>
    <mergeCell ref="A62:B62"/>
    <mergeCell ref="A56:B56"/>
    <mergeCell ref="A57:B57"/>
    <mergeCell ref="A58:B58"/>
    <mergeCell ref="A60:B60"/>
    <mergeCell ref="A61:B61"/>
    <mergeCell ref="A52:B52"/>
    <mergeCell ref="A53:B53"/>
    <mergeCell ref="A54:B54"/>
    <mergeCell ref="A55:B55"/>
    <mergeCell ref="A30:B30"/>
    <mergeCell ref="A31:B31"/>
  </mergeCells>
  <printOptions gridLines="1"/>
  <pageMargins left="0.78740157480314965" right="0.70866141732283472" top="0.98425196850393704" bottom="0.78740157480314965" header="0.43307086614173229" footer="0.31496062992125984"/>
  <pageSetup paperSize="9" scale="82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4" manualBreakCount="4">
    <brk id="27" max="16383" man="1"/>
    <brk id="58" max="16383" man="1"/>
    <brk id="87" max="16383" man="1"/>
    <brk id="184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9"/>
  </sheetPr>
  <dimension ref="A1:CV401"/>
  <sheetViews>
    <sheetView showGridLines="0" view="pageLayout" topLeftCell="A350" zoomScale="80" zoomScalePageLayoutView="80" workbookViewId="0">
      <selection activeCell="A382" sqref="A382"/>
    </sheetView>
  </sheetViews>
  <sheetFormatPr defaultColWidth="4.140625" defaultRowHeight="12.75" x14ac:dyDescent="0.2"/>
  <cols>
    <col min="1" max="1" width="29.42578125" style="989" customWidth="1"/>
    <col min="2" max="2" width="18.28515625" style="989" customWidth="1"/>
    <col min="3" max="3" width="13.42578125" style="1009" customWidth="1"/>
    <col min="4" max="4" width="2.42578125" style="1014" customWidth="1"/>
    <col min="5" max="5" width="16.7109375" style="1009" customWidth="1"/>
    <col min="6" max="6" width="13.28515625" style="1009" customWidth="1"/>
    <col min="7" max="7" width="2.42578125" style="1009" customWidth="1"/>
    <col min="8" max="8" width="13.28515625" style="1009" customWidth="1"/>
    <col min="9" max="9" width="13.28515625" style="989" customWidth="1"/>
    <col min="10" max="10" width="2.140625" style="1009" customWidth="1"/>
    <col min="11" max="11" width="13.28515625" style="989" customWidth="1"/>
    <col min="12" max="12" width="13.28515625" style="989" customWidth="1" collapsed="1"/>
    <col min="13" max="13" width="2.140625" style="1009" customWidth="1"/>
    <col min="14" max="14" width="13.28515625" style="989" customWidth="1"/>
    <col min="15" max="15" width="13.28515625" style="989" customWidth="1" collapsed="1"/>
    <col min="16" max="16" width="4.28515625" style="1007" customWidth="1"/>
    <col min="17" max="17" width="13.5703125" style="1007" customWidth="1"/>
    <col min="18" max="100" width="11.5703125" style="1007" customWidth="1"/>
    <col min="101" max="194" width="11.5703125" style="989" customWidth="1"/>
    <col min="195" max="195" width="3.85546875" style="989" customWidth="1"/>
    <col min="196" max="196" width="22" style="989" customWidth="1"/>
    <col min="197" max="199" width="4.140625" style="989" customWidth="1"/>
    <col min="200" max="200" width="5.85546875" style="989" customWidth="1"/>
    <col min="201" max="201" width="4.140625" style="989" customWidth="1"/>
    <col min="202" max="202" width="0.85546875" style="989" customWidth="1"/>
    <col min="203" max="203" width="5.85546875" style="989" customWidth="1"/>
    <col min="204" max="204" width="4.140625" style="989" customWidth="1"/>
    <col min="205" max="205" width="0.85546875" style="989" customWidth="1"/>
    <col min="206" max="206" width="5.85546875" style="989" customWidth="1"/>
    <col min="207" max="207" width="4.140625" style="989" customWidth="1"/>
    <col min="208" max="208" width="0.85546875" style="989" customWidth="1"/>
    <col min="209" max="209" width="5.85546875" style="989" customWidth="1"/>
    <col min="210" max="16384" width="4.140625" style="989"/>
  </cols>
  <sheetData>
    <row r="1" spans="1:100" s="988" customFormat="1" x14ac:dyDescent="0.2">
      <c r="A1" s="1156" t="str">
        <f>'(G1) Fjalori'!A13</f>
        <v>Verdhë = Per tu plotësuar nga Departamenti i Financës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8"/>
      <c r="P1" s="1038"/>
      <c r="Q1" s="1038"/>
      <c r="R1" s="1038"/>
      <c r="S1" s="1038"/>
      <c r="T1" s="1038"/>
      <c r="U1" s="1038"/>
      <c r="V1" s="1038"/>
      <c r="W1" s="1038"/>
      <c r="X1" s="1038"/>
      <c r="Y1" s="1038"/>
      <c r="Z1" s="1038"/>
      <c r="AA1" s="1038"/>
      <c r="AB1" s="1038"/>
      <c r="AC1" s="1038"/>
      <c r="AD1" s="1038"/>
      <c r="AE1" s="1038"/>
      <c r="AF1" s="1038"/>
      <c r="AG1" s="1038"/>
      <c r="AH1" s="1038"/>
      <c r="AI1" s="1038"/>
      <c r="AJ1" s="1038"/>
      <c r="AK1" s="1038"/>
      <c r="AL1" s="1038"/>
      <c r="AM1" s="1038"/>
      <c r="AN1" s="1038"/>
      <c r="AO1" s="1038"/>
      <c r="AP1" s="1038"/>
      <c r="AQ1" s="1038"/>
      <c r="AR1" s="1038"/>
      <c r="AS1" s="1038"/>
      <c r="AT1" s="1038"/>
      <c r="AU1" s="1038"/>
      <c r="AV1" s="1038"/>
      <c r="AW1" s="1038"/>
      <c r="AX1" s="1038"/>
      <c r="AY1" s="1038"/>
      <c r="AZ1" s="1038"/>
      <c r="BA1" s="1038"/>
      <c r="BB1" s="1038"/>
      <c r="BC1" s="1038"/>
      <c r="BD1" s="1038"/>
      <c r="BE1" s="1038"/>
      <c r="BF1" s="1038"/>
      <c r="BG1" s="1038"/>
      <c r="BH1" s="1038"/>
      <c r="BI1" s="1038"/>
      <c r="BJ1" s="1038"/>
      <c r="BK1" s="1038"/>
      <c r="BL1" s="1038"/>
      <c r="BM1" s="1038"/>
      <c r="BN1" s="1038"/>
      <c r="BO1" s="1038"/>
      <c r="BP1" s="1038"/>
      <c r="BQ1" s="1038"/>
      <c r="BR1" s="1038"/>
      <c r="BS1" s="1038"/>
      <c r="BT1" s="1038"/>
      <c r="BU1" s="1038"/>
      <c r="BV1" s="1038"/>
      <c r="BW1" s="1038"/>
      <c r="BX1" s="1038"/>
      <c r="BY1" s="1038"/>
      <c r="BZ1" s="1038"/>
      <c r="CA1" s="1038"/>
      <c r="CB1" s="1038"/>
      <c r="CC1" s="1038"/>
      <c r="CD1" s="1038"/>
      <c r="CE1" s="1038"/>
      <c r="CF1" s="1038"/>
      <c r="CG1" s="1038"/>
      <c r="CH1" s="1038"/>
      <c r="CI1" s="1038"/>
      <c r="CJ1" s="1038"/>
      <c r="CK1" s="1038"/>
      <c r="CL1" s="1038"/>
      <c r="CM1" s="1038"/>
      <c r="CN1" s="1038"/>
      <c r="CO1" s="1038"/>
      <c r="CP1" s="1038"/>
      <c r="CQ1" s="1038"/>
      <c r="CR1" s="1038"/>
      <c r="CS1" s="1038"/>
      <c r="CT1" s="1038"/>
      <c r="CU1" s="1038"/>
      <c r="CV1" s="1038"/>
    </row>
    <row r="3" spans="1:100" x14ac:dyDescent="0.2">
      <c r="A3" s="1163" t="str">
        <f>'(G1) Fjalori'!A311</f>
        <v>(C3) DETYRIMET E PRAPAMBETURA</v>
      </c>
      <c r="B3" s="1163"/>
      <c r="C3" s="1163"/>
      <c r="D3" s="1163"/>
      <c r="E3" s="1163"/>
      <c r="F3" s="1163"/>
      <c r="G3" s="1163"/>
      <c r="H3" s="1163"/>
      <c r="I3" s="1163"/>
      <c r="J3" s="1163"/>
      <c r="K3" s="1163"/>
      <c r="L3" s="1163"/>
      <c r="M3" s="1163"/>
      <c r="N3" s="1163"/>
      <c r="O3" s="1163"/>
    </row>
    <row r="4" spans="1:100" s="991" customFormat="1" x14ac:dyDescent="0.2">
      <c r="A4" s="990"/>
      <c r="B4" s="990"/>
      <c r="D4" s="1039"/>
      <c r="J4" s="990"/>
      <c r="M4" s="990"/>
      <c r="P4" s="1039"/>
      <c r="Q4" s="1039"/>
      <c r="R4" s="1039"/>
      <c r="S4" s="1039"/>
      <c r="T4" s="1039"/>
      <c r="U4" s="1039"/>
      <c r="V4" s="1039"/>
      <c r="W4" s="1039"/>
      <c r="X4" s="1039"/>
      <c r="Y4" s="1039"/>
      <c r="Z4" s="1039"/>
      <c r="AA4" s="1039"/>
      <c r="AB4" s="1039"/>
      <c r="AC4" s="1039"/>
      <c r="AD4" s="1039"/>
      <c r="AE4" s="1039"/>
      <c r="AF4" s="1039"/>
      <c r="AG4" s="1039"/>
      <c r="AH4" s="1039"/>
      <c r="AI4" s="1039"/>
      <c r="AJ4" s="1039"/>
      <c r="AK4" s="1039"/>
      <c r="AL4" s="1039"/>
      <c r="AM4" s="1039"/>
      <c r="AN4" s="1039"/>
      <c r="AO4" s="1039"/>
      <c r="AP4" s="1039"/>
      <c r="AQ4" s="1039"/>
      <c r="AR4" s="1039"/>
      <c r="AS4" s="1039"/>
      <c r="AT4" s="1039"/>
      <c r="AU4" s="1039"/>
      <c r="AV4" s="1039"/>
      <c r="AW4" s="1039"/>
      <c r="AX4" s="1039"/>
      <c r="AY4" s="1039"/>
      <c r="AZ4" s="1039"/>
      <c r="BA4" s="1039"/>
      <c r="BB4" s="1039"/>
      <c r="BC4" s="1039"/>
      <c r="BD4" s="1039"/>
      <c r="BE4" s="1039"/>
      <c r="BF4" s="1039"/>
      <c r="BG4" s="1039"/>
      <c r="BH4" s="1039"/>
      <c r="BI4" s="1039"/>
      <c r="BJ4" s="1039"/>
      <c r="BK4" s="1039"/>
      <c r="BL4" s="1039"/>
      <c r="BM4" s="1039"/>
      <c r="BN4" s="1039"/>
      <c r="BO4" s="1039"/>
      <c r="BP4" s="1039"/>
      <c r="BQ4" s="1039"/>
      <c r="BR4" s="1039"/>
      <c r="BS4" s="1039"/>
      <c r="BT4" s="1039"/>
      <c r="BU4" s="1039"/>
      <c r="BV4" s="1039"/>
      <c r="BW4" s="1039"/>
      <c r="BX4" s="1039"/>
      <c r="BY4" s="1039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9"/>
      <c r="CK4" s="1039"/>
      <c r="CL4" s="1039"/>
      <c r="CM4" s="1039"/>
      <c r="CN4" s="1039"/>
      <c r="CO4" s="1039"/>
      <c r="CP4" s="1039"/>
      <c r="CQ4" s="1039"/>
      <c r="CR4" s="1039"/>
      <c r="CS4" s="1039"/>
      <c r="CT4" s="1039"/>
      <c r="CU4" s="1039"/>
      <c r="CV4" s="1039"/>
    </row>
    <row r="5" spans="1:100" x14ac:dyDescent="0.2">
      <c r="C5" s="992">
        <f>'(B1)Informacion i përgjithshëm '!B7</f>
        <v>2021</v>
      </c>
      <c r="D5" s="1042"/>
      <c r="E5" s="1159">
        <f>'(B1)Informacion i përgjithshëm '!B7</f>
        <v>2021</v>
      </c>
      <c r="F5" s="1159"/>
      <c r="G5" s="993"/>
      <c r="H5" s="1159">
        <f>'(B1)Informacion i përgjithshëm '!B8</f>
        <v>2022</v>
      </c>
      <c r="I5" s="1159"/>
      <c r="J5" s="993"/>
      <c r="K5" s="1159">
        <f>'(B1)Informacion i përgjithshëm '!B9</f>
        <v>2023</v>
      </c>
      <c r="L5" s="1159"/>
      <c r="M5" s="993"/>
      <c r="N5" s="1159">
        <f>'(B1)Informacion i përgjithshëm '!B10</f>
        <v>2024</v>
      </c>
      <c r="O5" s="1159"/>
    </row>
    <row r="6" spans="1:100" s="997" customFormat="1" ht="12.75" customHeight="1" x14ac:dyDescent="0.25">
      <c r="A6" s="994"/>
      <c r="B6" s="994"/>
      <c r="C6" s="995" t="str">
        <f>'(G1) Fjalori'!A7</f>
        <v>Viti aktual</v>
      </c>
      <c r="D6" s="1043"/>
      <c r="E6" s="1162" t="str">
        <f>'(G1) Fjalori'!A7</f>
        <v>Viti aktual</v>
      </c>
      <c r="F6" s="1162"/>
      <c r="G6" s="996"/>
      <c r="H6" s="1160" t="str">
        <f>'(G1) Fjalori'!A8</f>
        <v>Viti t+1 (I pritur)</v>
      </c>
      <c r="I6" s="1161"/>
      <c r="J6" s="996"/>
      <c r="K6" s="1160" t="str">
        <f>'(G1) Fjalori'!A9</f>
        <v>Viti t+2 (I pritur)</v>
      </c>
      <c r="L6" s="1161"/>
      <c r="M6" s="996"/>
      <c r="N6" s="1160" t="str">
        <f>'(G1) Fjalori'!A10</f>
        <v>Viti t+3 (I pritur)</v>
      </c>
      <c r="O6" s="1161"/>
      <c r="P6" s="1040"/>
      <c r="Q6" s="1040"/>
      <c r="R6" s="1040"/>
      <c r="S6" s="1040"/>
      <c r="T6" s="1040"/>
      <c r="U6" s="1040"/>
      <c r="V6" s="1040"/>
      <c r="W6" s="1040"/>
      <c r="X6" s="1040"/>
      <c r="Y6" s="1040"/>
      <c r="Z6" s="1040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1040"/>
      <c r="AX6" s="1040"/>
      <c r="AY6" s="1040"/>
      <c r="AZ6" s="1040"/>
      <c r="BA6" s="1040"/>
      <c r="BB6" s="1040"/>
      <c r="BC6" s="1040"/>
      <c r="BD6" s="1040"/>
      <c r="BE6" s="1040"/>
      <c r="BF6" s="1040"/>
      <c r="BG6" s="1040"/>
      <c r="BH6" s="1040"/>
      <c r="BI6" s="1040"/>
      <c r="BJ6" s="1040"/>
      <c r="BK6" s="1040"/>
      <c r="BL6" s="1040"/>
      <c r="BM6" s="1040"/>
      <c r="BN6" s="1040"/>
      <c r="BO6" s="1040"/>
      <c r="BP6" s="1040"/>
      <c r="BQ6" s="1040"/>
      <c r="BR6" s="1040"/>
      <c r="BS6" s="1040"/>
      <c r="BT6" s="1040"/>
      <c r="BU6" s="1040"/>
      <c r="BV6" s="1040"/>
      <c r="BW6" s="1040"/>
      <c r="BX6" s="1040"/>
      <c r="BY6" s="1040"/>
      <c r="BZ6" s="1040"/>
      <c r="CA6" s="1040"/>
      <c r="CB6" s="1040"/>
      <c r="CC6" s="1040"/>
      <c r="CD6" s="1040"/>
      <c r="CE6" s="1040"/>
      <c r="CF6" s="1040"/>
      <c r="CG6" s="1040"/>
      <c r="CH6" s="1040"/>
      <c r="CI6" s="1040"/>
      <c r="CJ6" s="1040"/>
      <c r="CK6" s="1040"/>
      <c r="CL6" s="1040"/>
      <c r="CM6" s="1040"/>
      <c r="CN6" s="1040"/>
      <c r="CO6" s="1040"/>
      <c r="CP6" s="1040"/>
      <c r="CQ6" s="1040"/>
      <c r="CR6" s="1040"/>
      <c r="CS6" s="1040"/>
      <c r="CT6" s="1040"/>
      <c r="CU6" s="1040"/>
      <c r="CV6" s="1040"/>
    </row>
    <row r="7" spans="1:100" s="1002" customFormat="1" ht="66.75" customHeight="1" x14ac:dyDescent="0.25">
      <c r="A7" s="998" t="str">
        <f>'(G1) Fjalori'!A315</f>
        <v>Kreditor</v>
      </c>
      <c r="B7" s="999" t="str">
        <f>'(G1) Fjalori'!A317</f>
        <v>Data e Detyrimit</v>
      </c>
      <c r="C7" s="1000" t="str">
        <f>'(G1) Fjalori'!A318</f>
        <v>Stoku i borxhit, 31 Tetor</v>
      </c>
      <c r="D7" s="1044"/>
      <c r="E7" s="1000" t="str">
        <f>'(G1) Fjalori'!A312</f>
        <v>Amortizimi i detyrimeve të prapambetura deri në fund të vitit</v>
      </c>
      <c r="F7" s="1000" t="str">
        <f>'(G1) Fjalori'!A314</f>
        <v>Stoku i borxhit, 31 Dhjetor</v>
      </c>
      <c r="G7" s="1001"/>
      <c r="H7" s="1000" t="str">
        <f>'(G1) Fjalori'!A313</f>
        <v>Amortizimi i detyrimeve të prapambetura gjatë vitit</v>
      </c>
      <c r="I7" s="1000" t="str">
        <f>F7</f>
        <v>Stoku i borxhit, 31 Dhjetor</v>
      </c>
      <c r="J7" s="1001"/>
      <c r="K7" s="1000" t="str">
        <f>H7</f>
        <v>Amortizimi i detyrimeve të prapambetura gjatë vitit</v>
      </c>
      <c r="L7" s="1000" t="str">
        <f>I7</f>
        <v>Stoku i borxhit, 31 Dhjetor</v>
      </c>
      <c r="M7" s="1001"/>
      <c r="N7" s="1000" t="str">
        <f>K7</f>
        <v>Amortizimi i detyrimeve të prapambetura gjatë vitit</v>
      </c>
      <c r="O7" s="1000" t="str">
        <f>L7</f>
        <v>Stoku i borxhit, 31 Dhjetor</v>
      </c>
      <c r="P7" s="1041"/>
      <c r="Q7" s="1041"/>
      <c r="R7" s="1041"/>
      <c r="S7" s="1041"/>
      <c r="T7" s="1041"/>
      <c r="U7" s="1041"/>
      <c r="V7" s="1041"/>
      <c r="W7" s="1041"/>
      <c r="X7" s="1041"/>
      <c r="Y7" s="1041"/>
      <c r="Z7" s="1041"/>
      <c r="AA7" s="1041"/>
      <c r="AB7" s="1041"/>
      <c r="AC7" s="1041"/>
      <c r="AD7" s="1041"/>
      <c r="AE7" s="1041"/>
      <c r="AF7" s="1041"/>
      <c r="AG7" s="1041"/>
      <c r="AH7" s="1041"/>
      <c r="AI7" s="1041"/>
      <c r="AJ7" s="1041"/>
      <c r="AK7" s="1041"/>
      <c r="AL7" s="1041"/>
      <c r="AM7" s="1041"/>
      <c r="AN7" s="1041"/>
      <c r="AO7" s="1041"/>
      <c r="AP7" s="1041"/>
      <c r="AQ7" s="1041"/>
      <c r="AR7" s="1041"/>
      <c r="AS7" s="1041"/>
      <c r="AT7" s="1041"/>
      <c r="AU7" s="1041"/>
      <c r="AV7" s="1041"/>
      <c r="AW7" s="1041"/>
      <c r="AX7" s="1041"/>
      <c r="AY7" s="1041"/>
      <c r="AZ7" s="1041"/>
      <c r="BA7" s="1041"/>
      <c r="BB7" s="1041"/>
      <c r="BC7" s="1041"/>
      <c r="BD7" s="1041"/>
      <c r="BE7" s="1041"/>
      <c r="BF7" s="1041"/>
      <c r="BG7" s="1041"/>
      <c r="BH7" s="1041"/>
      <c r="BI7" s="1041"/>
      <c r="BJ7" s="1041"/>
      <c r="BK7" s="1041"/>
      <c r="BL7" s="1041"/>
      <c r="BM7" s="1041"/>
      <c r="BN7" s="1041"/>
      <c r="BO7" s="1041"/>
      <c r="BP7" s="1041"/>
      <c r="BQ7" s="1041"/>
      <c r="BR7" s="1041"/>
      <c r="BS7" s="1041"/>
      <c r="BT7" s="1041"/>
      <c r="BU7" s="1041"/>
      <c r="BV7" s="1041"/>
      <c r="BW7" s="1041"/>
      <c r="BX7" s="1041"/>
      <c r="BY7" s="1041"/>
      <c r="BZ7" s="1041"/>
      <c r="CA7" s="1041"/>
      <c r="CB7" s="1041"/>
      <c r="CC7" s="1041"/>
      <c r="CD7" s="1041"/>
      <c r="CE7" s="1041"/>
      <c r="CF7" s="1041"/>
      <c r="CG7" s="1041"/>
      <c r="CH7" s="1041"/>
      <c r="CI7" s="1041"/>
      <c r="CJ7" s="1041"/>
      <c r="CK7" s="1041"/>
      <c r="CL7" s="1041"/>
      <c r="CM7" s="1041"/>
      <c r="CN7" s="1041"/>
      <c r="CO7" s="1041"/>
      <c r="CP7" s="1041"/>
      <c r="CQ7" s="1041"/>
      <c r="CR7" s="1041"/>
      <c r="CS7" s="1041"/>
      <c r="CT7" s="1041"/>
      <c r="CU7" s="1041"/>
      <c r="CV7" s="1041"/>
    </row>
    <row r="8" spans="1:100" x14ac:dyDescent="0.2">
      <c r="A8" s="1036" t="s">
        <v>2661</v>
      </c>
      <c r="B8" s="1004" t="s">
        <v>2662</v>
      </c>
      <c r="C8" s="1004">
        <v>113650315</v>
      </c>
      <c r="D8" s="1045"/>
      <c r="E8" s="1004">
        <f>20000000-175494</f>
        <v>19824506</v>
      </c>
      <c r="F8" s="1005">
        <f>C8-E8</f>
        <v>93825809</v>
      </c>
      <c r="G8" s="1003"/>
      <c r="H8" s="1004">
        <v>25000000</v>
      </c>
      <c r="I8" s="1005">
        <f>F8-H8</f>
        <v>68825809</v>
      </c>
      <c r="J8" s="1003"/>
      <c r="K8" s="1004">
        <v>28000000</v>
      </c>
      <c r="L8" s="1005">
        <f>I8-K8</f>
        <v>40825809</v>
      </c>
      <c r="M8" s="1003"/>
      <c r="N8" s="1004">
        <v>30000000</v>
      </c>
      <c r="O8" s="1005">
        <f>L8-N8</f>
        <v>10825809</v>
      </c>
      <c r="P8" s="1006" t="str">
        <f>IF(L8&lt;0,"INCORRECT ENTRY!","OK!")</f>
        <v>OK!</v>
      </c>
    </row>
    <row r="9" spans="1:100" x14ac:dyDescent="0.2">
      <c r="A9" s="1036" t="s">
        <v>1930</v>
      </c>
      <c r="B9" s="1004" t="s">
        <v>1931</v>
      </c>
      <c r="C9" s="1004">
        <v>3000</v>
      </c>
      <c r="D9" s="1045"/>
      <c r="E9" s="1004"/>
      <c r="F9" s="1005">
        <f t="shared" ref="F9:F29" si="0">C9-E9</f>
        <v>3000</v>
      </c>
      <c r="G9" s="1003"/>
      <c r="H9" s="1004"/>
      <c r="I9" s="1005">
        <f t="shared" ref="I9:I29" si="1">F9-H9</f>
        <v>3000</v>
      </c>
      <c r="J9" s="1003"/>
      <c r="K9" s="1004"/>
      <c r="L9" s="1005">
        <f t="shared" ref="L9:L29" si="2">I9-K9</f>
        <v>3000</v>
      </c>
      <c r="M9" s="1003"/>
      <c r="N9" s="1004"/>
      <c r="O9" s="1005">
        <f t="shared" ref="O9:O29" si="3">L9-N9</f>
        <v>3000</v>
      </c>
      <c r="P9" s="1006" t="str">
        <f t="shared" ref="P9:P29" si="4">IF(L9&lt;0,"INCORRECT ENTRY!","OK!")</f>
        <v>OK!</v>
      </c>
    </row>
    <row r="10" spans="1:100" x14ac:dyDescent="0.2">
      <c r="A10" s="1037" t="s">
        <v>1932</v>
      </c>
      <c r="B10" s="1004" t="s">
        <v>2213</v>
      </c>
      <c r="C10" s="1004">
        <v>2925198</v>
      </c>
      <c r="D10" s="1045"/>
      <c r="E10" s="1004"/>
      <c r="F10" s="1005">
        <f t="shared" si="0"/>
        <v>2925198</v>
      </c>
      <c r="G10" s="1003"/>
      <c r="H10" s="1004"/>
      <c r="I10" s="1005">
        <f t="shared" si="1"/>
        <v>2925198</v>
      </c>
      <c r="J10" s="1003"/>
      <c r="K10" s="1004"/>
      <c r="L10" s="1005">
        <f t="shared" si="2"/>
        <v>2925198</v>
      </c>
      <c r="M10" s="1003"/>
      <c r="N10" s="1004">
        <v>2925198</v>
      </c>
      <c r="O10" s="1005">
        <f t="shared" si="3"/>
        <v>0</v>
      </c>
      <c r="P10" s="1006" t="str">
        <f t="shared" si="4"/>
        <v>OK!</v>
      </c>
    </row>
    <row r="11" spans="1:100" x14ac:dyDescent="0.2">
      <c r="A11" s="1037" t="s">
        <v>1932</v>
      </c>
      <c r="B11" s="1004" t="s">
        <v>2214</v>
      </c>
      <c r="C11" s="1004">
        <v>2850731</v>
      </c>
      <c r="D11" s="1045"/>
      <c r="E11" s="1004"/>
      <c r="F11" s="1005">
        <f t="shared" si="0"/>
        <v>2850731</v>
      </c>
      <c r="G11" s="1003"/>
      <c r="H11" s="1004"/>
      <c r="I11" s="1005">
        <f t="shared" si="1"/>
        <v>2850731</v>
      </c>
      <c r="J11" s="1003"/>
      <c r="K11" s="1004"/>
      <c r="L11" s="1005">
        <f t="shared" si="2"/>
        <v>2850731</v>
      </c>
      <c r="M11" s="1003"/>
      <c r="N11" s="1004">
        <v>2850731</v>
      </c>
      <c r="O11" s="1005">
        <f t="shared" si="3"/>
        <v>0</v>
      </c>
      <c r="P11" s="1006" t="str">
        <f t="shared" si="4"/>
        <v>OK!</v>
      </c>
    </row>
    <row r="12" spans="1:100" x14ac:dyDescent="0.2">
      <c r="A12" s="1037" t="s">
        <v>1932</v>
      </c>
      <c r="B12" s="1004" t="s">
        <v>2215</v>
      </c>
      <c r="C12" s="1004">
        <v>2840052</v>
      </c>
      <c r="D12" s="1045"/>
      <c r="E12" s="1004"/>
      <c r="F12" s="1005">
        <f t="shared" si="0"/>
        <v>2840052</v>
      </c>
      <c r="G12" s="1003"/>
      <c r="H12" s="1004"/>
      <c r="I12" s="1005">
        <f t="shared" si="1"/>
        <v>2840052</v>
      </c>
      <c r="J12" s="1003"/>
      <c r="K12" s="1004"/>
      <c r="L12" s="1005">
        <f t="shared" si="2"/>
        <v>2840052</v>
      </c>
      <c r="M12" s="1003"/>
      <c r="N12" s="1004">
        <v>2840052</v>
      </c>
      <c r="O12" s="1005">
        <f t="shared" si="3"/>
        <v>0</v>
      </c>
      <c r="P12" s="1006" t="str">
        <f t="shared" si="4"/>
        <v>OK!</v>
      </c>
    </row>
    <row r="13" spans="1:100" x14ac:dyDescent="0.2">
      <c r="A13" s="1037" t="s">
        <v>1932</v>
      </c>
      <c r="B13" s="1004" t="s">
        <v>1935</v>
      </c>
      <c r="C13" s="1004">
        <v>2655210</v>
      </c>
      <c r="D13" s="1045"/>
      <c r="E13" s="1004"/>
      <c r="F13" s="1005">
        <f t="shared" si="0"/>
        <v>2655210</v>
      </c>
      <c r="G13" s="1003"/>
      <c r="H13" s="1004"/>
      <c r="I13" s="1005">
        <f t="shared" si="1"/>
        <v>2655210</v>
      </c>
      <c r="J13" s="1003"/>
      <c r="K13" s="1004"/>
      <c r="L13" s="1005">
        <f t="shared" si="2"/>
        <v>2655210</v>
      </c>
      <c r="M13" s="1003"/>
      <c r="N13" s="1004">
        <v>2655210</v>
      </c>
      <c r="O13" s="1005">
        <f t="shared" si="3"/>
        <v>0</v>
      </c>
      <c r="P13" s="1006" t="str">
        <f t="shared" si="4"/>
        <v>OK!</v>
      </c>
    </row>
    <row r="14" spans="1:100" x14ac:dyDescent="0.2">
      <c r="A14" s="1037" t="s">
        <v>1932</v>
      </c>
      <c r="B14" s="1004" t="s">
        <v>1945</v>
      </c>
      <c r="C14" s="1004">
        <v>3018352</v>
      </c>
      <c r="D14" s="1045"/>
      <c r="E14" s="1004">
        <v>3018352</v>
      </c>
      <c r="F14" s="1005">
        <f t="shared" si="0"/>
        <v>0</v>
      </c>
      <c r="G14" s="1003"/>
      <c r="H14" s="1004"/>
      <c r="I14" s="1005">
        <f t="shared" si="1"/>
        <v>0</v>
      </c>
      <c r="J14" s="1003"/>
      <c r="K14" s="1004"/>
      <c r="L14" s="1005">
        <f t="shared" si="2"/>
        <v>0</v>
      </c>
      <c r="M14" s="1003"/>
      <c r="N14" s="1004"/>
      <c r="O14" s="1005">
        <f t="shared" si="3"/>
        <v>0</v>
      </c>
      <c r="P14" s="1006" t="str">
        <f t="shared" si="4"/>
        <v>OK!</v>
      </c>
    </row>
    <row r="15" spans="1:100" x14ac:dyDescent="0.2">
      <c r="A15" s="1037" t="s">
        <v>1932</v>
      </c>
      <c r="B15" s="1004" t="s">
        <v>2216</v>
      </c>
      <c r="C15" s="1004">
        <v>3647502</v>
      </c>
      <c r="D15" s="1045"/>
      <c r="E15" s="1004">
        <v>3647502</v>
      </c>
      <c r="F15" s="1005">
        <f t="shared" si="0"/>
        <v>0</v>
      </c>
      <c r="G15" s="1003"/>
      <c r="H15" s="1004"/>
      <c r="I15" s="1005">
        <f t="shared" si="1"/>
        <v>0</v>
      </c>
      <c r="J15" s="1003"/>
      <c r="K15" s="1004"/>
      <c r="L15" s="1005">
        <f t="shared" si="2"/>
        <v>0</v>
      </c>
      <c r="M15" s="1003"/>
      <c r="N15" s="1004"/>
      <c r="O15" s="1005">
        <f t="shared" si="3"/>
        <v>0</v>
      </c>
      <c r="P15" s="1006" t="str">
        <f t="shared" si="4"/>
        <v>OK!</v>
      </c>
    </row>
    <row r="16" spans="1:100" x14ac:dyDescent="0.2">
      <c r="A16" s="1037" t="s">
        <v>1932</v>
      </c>
      <c r="B16" s="1004" t="s">
        <v>2217</v>
      </c>
      <c r="C16" s="1004">
        <v>3917787</v>
      </c>
      <c r="D16" s="1045"/>
      <c r="E16" s="1004">
        <v>3917787</v>
      </c>
      <c r="F16" s="1005">
        <f t="shared" si="0"/>
        <v>0</v>
      </c>
      <c r="G16" s="1003"/>
      <c r="H16" s="1004"/>
      <c r="I16" s="1005">
        <f t="shared" si="1"/>
        <v>0</v>
      </c>
      <c r="J16" s="1003"/>
      <c r="K16" s="1004"/>
      <c r="L16" s="1005">
        <f t="shared" si="2"/>
        <v>0</v>
      </c>
      <c r="M16" s="1003"/>
      <c r="N16" s="1004"/>
      <c r="O16" s="1005">
        <f t="shared" si="3"/>
        <v>0</v>
      </c>
      <c r="P16" s="1006" t="str">
        <f t="shared" si="4"/>
        <v>OK!</v>
      </c>
    </row>
    <row r="17" spans="1:16" x14ac:dyDescent="0.2">
      <c r="A17" s="1037" t="s">
        <v>1932</v>
      </c>
      <c r="B17" s="1004" t="s">
        <v>1946</v>
      </c>
      <c r="C17" s="1004">
        <v>3914327</v>
      </c>
      <c r="D17" s="1045"/>
      <c r="E17" s="1004">
        <v>3914327</v>
      </c>
      <c r="F17" s="1005">
        <f t="shared" si="0"/>
        <v>0</v>
      </c>
      <c r="G17" s="1003"/>
      <c r="H17" s="1004"/>
      <c r="I17" s="1005">
        <f t="shared" si="1"/>
        <v>0</v>
      </c>
      <c r="J17" s="1003"/>
      <c r="K17" s="1004"/>
      <c r="L17" s="1005">
        <f t="shared" si="2"/>
        <v>0</v>
      </c>
      <c r="M17" s="1003"/>
      <c r="N17" s="1004"/>
      <c r="O17" s="1005">
        <f t="shared" si="3"/>
        <v>0</v>
      </c>
      <c r="P17" s="1006" t="str">
        <f t="shared" si="4"/>
        <v>OK!</v>
      </c>
    </row>
    <row r="18" spans="1:16" x14ac:dyDescent="0.2">
      <c r="A18" s="1037" t="s">
        <v>1932</v>
      </c>
      <c r="B18" s="1004" t="s">
        <v>2218</v>
      </c>
      <c r="C18" s="1004">
        <v>3901212</v>
      </c>
      <c r="D18" s="1045"/>
      <c r="E18" s="1004">
        <v>3901212</v>
      </c>
      <c r="F18" s="1005">
        <f t="shared" si="0"/>
        <v>0</v>
      </c>
      <c r="G18" s="1003"/>
      <c r="H18" s="1004"/>
      <c r="I18" s="1005">
        <f t="shared" si="1"/>
        <v>0</v>
      </c>
      <c r="J18" s="1003"/>
      <c r="K18" s="1004"/>
      <c r="L18" s="1005">
        <f t="shared" si="2"/>
        <v>0</v>
      </c>
      <c r="M18" s="1003"/>
      <c r="N18" s="1004"/>
      <c r="O18" s="1005">
        <f t="shared" si="3"/>
        <v>0</v>
      </c>
      <c r="P18" s="1006" t="str">
        <f t="shared" si="4"/>
        <v>OK!</v>
      </c>
    </row>
    <row r="19" spans="1:16" x14ac:dyDescent="0.2">
      <c r="A19" s="1037" t="s">
        <v>1932</v>
      </c>
      <c r="B19" s="1004" t="s">
        <v>2219</v>
      </c>
      <c r="C19" s="1004">
        <v>3990650</v>
      </c>
      <c r="D19" s="1045"/>
      <c r="E19" s="1004">
        <v>3990650</v>
      </c>
      <c r="F19" s="1005">
        <f t="shared" si="0"/>
        <v>0</v>
      </c>
      <c r="G19" s="1003"/>
      <c r="H19" s="1004"/>
      <c r="I19" s="1005">
        <f t="shared" si="1"/>
        <v>0</v>
      </c>
      <c r="J19" s="1003"/>
      <c r="K19" s="1004"/>
      <c r="L19" s="1005">
        <f t="shared" si="2"/>
        <v>0</v>
      </c>
      <c r="M19" s="1003"/>
      <c r="N19" s="1004"/>
      <c r="O19" s="1005">
        <f t="shared" si="3"/>
        <v>0</v>
      </c>
      <c r="P19" s="1006" t="str">
        <f t="shared" si="4"/>
        <v>OK!</v>
      </c>
    </row>
    <row r="20" spans="1:16" x14ac:dyDescent="0.2">
      <c r="A20" s="1037" t="s">
        <v>1932</v>
      </c>
      <c r="B20" s="1004" t="s">
        <v>2220</v>
      </c>
      <c r="C20" s="1004">
        <v>3386976</v>
      </c>
      <c r="D20" s="1045"/>
      <c r="E20" s="1004"/>
      <c r="F20" s="1005">
        <f t="shared" si="0"/>
        <v>3386976</v>
      </c>
      <c r="G20" s="1003"/>
      <c r="H20" s="1004"/>
      <c r="I20" s="1005">
        <f t="shared" si="1"/>
        <v>3386976</v>
      </c>
      <c r="J20" s="1003"/>
      <c r="K20" s="1004">
        <v>3386976</v>
      </c>
      <c r="L20" s="1005">
        <f t="shared" si="2"/>
        <v>0</v>
      </c>
      <c r="M20" s="1003"/>
      <c r="N20" s="1004"/>
      <c r="O20" s="1005">
        <f t="shared" si="3"/>
        <v>0</v>
      </c>
      <c r="P20" s="1006" t="str">
        <f t="shared" si="4"/>
        <v>OK!</v>
      </c>
    </row>
    <row r="21" spans="1:16" x14ac:dyDescent="0.2">
      <c r="A21" s="1037" t="s">
        <v>1932</v>
      </c>
      <c r="B21" s="1004" t="s">
        <v>2221</v>
      </c>
      <c r="C21" s="1004">
        <v>3060511</v>
      </c>
      <c r="D21" s="1045"/>
      <c r="E21" s="1004"/>
      <c r="F21" s="1005">
        <f t="shared" si="0"/>
        <v>3060511</v>
      </c>
      <c r="G21" s="1003"/>
      <c r="H21" s="1004"/>
      <c r="I21" s="1005">
        <f t="shared" si="1"/>
        <v>3060511</v>
      </c>
      <c r="J21" s="1003"/>
      <c r="K21" s="1004">
        <v>3060511</v>
      </c>
      <c r="L21" s="1005">
        <f t="shared" si="2"/>
        <v>0</v>
      </c>
      <c r="M21" s="1003"/>
      <c r="N21" s="1004"/>
      <c r="O21" s="1005">
        <f t="shared" si="3"/>
        <v>0</v>
      </c>
      <c r="P21" s="1006" t="str">
        <f t="shared" si="4"/>
        <v>OK!</v>
      </c>
    </row>
    <row r="22" spans="1:16" x14ac:dyDescent="0.2">
      <c r="A22" s="1037" t="s">
        <v>1932</v>
      </c>
      <c r="B22" s="1004" t="s">
        <v>2222</v>
      </c>
      <c r="C22" s="1004">
        <v>2976592</v>
      </c>
      <c r="D22" s="1045"/>
      <c r="E22" s="1004"/>
      <c r="F22" s="1005">
        <f t="shared" si="0"/>
        <v>2976592</v>
      </c>
      <c r="G22" s="1003"/>
      <c r="H22" s="1004"/>
      <c r="I22" s="1005">
        <f t="shared" si="1"/>
        <v>2976592</v>
      </c>
      <c r="J22" s="1003"/>
      <c r="K22" s="1004"/>
      <c r="L22" s="1005">
        <f t="shared" si="2"/>
        <v>2976592</v>
      </c>
      <c r="M22" s="1003"/>
      <c r="N22" s="1004">
        <v>2976592</v>
      </c>
      <c r="O22" s="1005">
        <f t="shared" si="3"/>
        <v>0</v>
      </c>
      <c r="P22" s="1006" t="str">
        <f t="shared" si="4"/>
        <v>OK!</v>
      </c>
    </row>
    <row r="23" spans="1:16" x14ac:dyDescent="0.2">
      <c r="A23" s="1037" t="s">
        <v>1932</v>
      </c>
      <c r="B23" s="1004" t="s">
        <v>2223</v>
      </c>
      <c r="C23" s="1004">
        <v>2939513</v>
      </c>
      <c r="D23" s="1045"/>
      <c r="E23" s="1004"/>
      <c r="F23" s="1005">
        <f t="shared" si="0"/>
        <v>2939513</v>
      </c>
      <c r="G23" s="1003"/>
      <c r="H23" s="1004"/>
      <c r="I23" s="1005">
        <f t="shared" si="1"/>
        <v>2939513</v>
      </c>
      <c r="J23" s="1003"/>
      <c r="K23" s="1004"/>
      <c r="L23" s="1005">
        <f t="shared" si="2"/>
        <v>2939513</v>
      </c>
      <c r="M23" s="1003"/>
      <c r="N23" s="1004">
        <v>2939513</v>
      </c>
      <c r="O23" s="1005">
        <f t="shared" si="3"/>
        <v>0</v>
      </c>
      <c r="P23" s="1006" t="str">
        <f t="shared" si="4"/>
        <v>OK!</v>
      </c>
    </row>
    <row r="24" spans="1:16" x14ac:dyDescent="0.2">
      <c r="A24" s="1037" t="s">
        <v>1932</v>
      </c>
      <c r="B24" s="1004" t="s">
        <v>2224</v>
      </c>
      <c r="C24" s="1004">
        <v>2860386</v>
      </c>
      <c r="D24" s="1045"/>
      <c r="E24" s="1004"/>
      <c r="F24" s="1005">
        <f t="shared" si="0"/>
        <v>2860386</v>
      </c>
      <c r="G24" s="1003"/>
      <c r="H24" s="1004"/>
      <c r="I24" s="1005">
        <f t="shared" si="1"/>
        <v>2860386</v>
      </c>
      <c r="J24" s="1003"/>
      <c r="K24" s="1004"/>
      <c r="L24" s="1005">
        <f t="shared" si="2"/>
        <v>2860386</v>
      </c>
      <c r="M24" s="1003"/>
      <c r="N24" s="1004">
        <v>2860386</v>
      </c>
      <c r="O24" s="1005">
        <f t="shared" si="3"/>
        <v>0</v>
      </c>
      <c r="P24" s="1006" t="str">
        <f t="shared" si="4"/>
        <v>OK!</v>
      </c>
    </row>
    <row r="25" spans="1:16" x14ac:dyDescent="0.2">
      <c r="A25" s="1037" t="s">
        <v>1932</v>
      </c>
      <c r="B25" s="1004" t="s">
        <v>2225</v>
      </c>
      <c r="C25" s="1004">
        <v>2652784</v>
      </c>
      <c r="D25" s="1045"/>
      <c r="E25" s="1004"/>
      <c r="F25" s="1005">
        <f t="shared" si="0"/>
        <v>2652784</v>
      </c>
      <c r="G25" s="1003"/>
      <c r="H25" s="1004"/>
      <c r="I25" s="1005">
        <f t="shared" si="1"/>
        <v>2652784</v>
      </c>
      <c r="J25" s="1003"/>
      <c r="K25" s="1004">
        <v>2652784</v>
      </c>
      <c r="L25" s="1005">
        <f t="shared" si="2"/>
        <v>0</v>
      </c>
      <c r="M25" s="1003"/>
      <c r="N25" s="1004"/>
      <c r="O25" s="1005">
        <f t="shared" si="3"/>
        <v>0</v>
      </c>
      <c r="P25" s="1006" t="str">
        <f t="shared" si="4"/>
        <v>OK!</v>
      </c>
    </row>
    <row r="26" spans="1:16" x14ac:dyDescent="0.2">
      <c r="A26" s="1037" t="s">
        <v>1932</v>
      </c>
      <c r="B26" s="1004" t="s">
        <v>2226</v>
      </c>
      <c r="C26" s="1004">
        <v>2941012</v>
      </c>
      <c r="D26" s="1045"/>
      <c r="E26" s="1004"/>
      <c r="F26" s="1005">
        <f t="shared" si="0"/>
        <v>2941012</v>
      </c>
      <c r="G26" s="1003"/>
      <c r="H26" s="1004"/>
      <c r="I26" s="1005">
        <f t="shared" si="1"/>
        <v>2941012</v>
      </c>
      <c r="J26" s="1003"/>
      <c r="K26" s="1004">
        <v>2941012</v>
      </c>
      <c r="L26" s="1005">
        <f t="shared" si="2"/>
        <v>0</v>
      </c>
      <c r="M26" s="1003"/>
      <c r="N26" s="1004"/>
      <c r="O26" s="1005">
        <f t="shared" si="3"/>
        <v>0</v>
      </c>
      <c r="P26" s="1006" t="str">
        <f t="shared" si="4"/>
        <v>OK!</v>
      </c>
    </row>
    <row r="27" spans="1:16" x14ac:dyDescent="0.2">
      <c r="A27" s="1037" t="s">
        <v>1932</v>
      </c>
      <c r="B27" s="1004" t="s">
        <v>2227</v>
      </c>
      <c r="C27" s="1004">
        <v>3547133</v>
      </c>
      <c r="D27" s="1045"/>
      <c r="E27" s="1004"/>
      <c r="F27" s="1005">
        <f t="shared" si="0"/>
        <v>3547133</v>
      </c>
      <c r="G27" s="1003"/>
      <c r="H27" s="1004"/>
      <c r="I27" s="1005">
        <f t="shared" si="1"/>
        <v>3547133</v>
      </c>
      <c r="J27" s="1003"/>
      <c r="K27" s="1004">
        <v>3547133</v>
      </c>
      <c r="L27" s="1005">
        <f t="shared" si="2"/>
        <v>0</v>
      </c>
      <c r="M27" s="1003"/>
      <c r="N27" s="1004"/>
      <c r="O27" s="1005">
        <f t="shared" si="3"/>
        <v>0</v>
      </c>
      <c r="P27" s="1006" t="str">
        <f t="shared" si="4"/>
        <v>OK!</v>
      </c>
    </row>
    <row r="28" spans="1:16" x14ac:dyDescent="0.2">
      <c r="A28" s="1037" t="s">
        <v>1932</v>
      </c>
      <c r="B28" s="1004" t="s">
        <v>2228</v>
      </c>
      <c r="C28" s="1004">
        <v>3951440</v>
      </c>
      <c r="D28" s="1045"/>
      <c r="E28" s="1004"/>
      <c r="F28" s="1005">
        <f t="shared" si="0"/>
        <v>3951440</v>
      </c>
      <c r="G28" s="1003"/>
      <c r="H28" s="1004"/>
      <c r="I28" s="1005">
        <f t="shared" si="1"/>
        <v>3951440</v>
      </c>
      <c r="J28" s="1003"/>
      <c r="K28" s="1004">
        <v>3951440</v>
      </c>
      <c r="L28" s="1005">
        <f t="shared" si="2"/>
        <v>0</v>
      </c>
      <c r="M28" s="1003"/>
      <c r="N28" s="1004"/>
      <c r="O28" s="1005">
        <f t="shared" si="3"/>
        <v>0</v>
      </c>
      <c r="P28" s="1006" t="str">
        <f t="shared" si="4"/>
        <v>OK!</v>
      </c>
    </row>
    <row r="29" spans="1:16" x14ac:dyDescent="0.2">
      <c r="A29" s="1037" t="s">
        <v>1932</v>
      </c>
      <c r="B29" s="1004" t="s">
        <v>2229</v>
      </c>
      <c r="C29" s="1004">
        <v>3887584</v>
      </c>
      <c r="D29" s="1046"/>
      <c r="E29" s="1004"/>
      <c r="F29" s="1005">
        <f t="shared" si="0"/>
        <v>3887584</v>
      </c>
      <c r="H29" s="1004"/>
      <c r="I29" s="1005">
        <f t="shared" si="1"/>
        <v>3887584</v>
      </c>
      <c r="K29" s="1004"/>
      <c r="L29" s="1005">
        <f t="shared" si="2"/>
        <v>3887584</v>
      </c>
      <c r="N29" s="1004">
        <v>3887584</v>
      </c>
      <c r="O29" s="1005">
        <f t="shared" si="3"/>
        <v>0</v>
      </c>
      <c r="P29" s="1006" t="str">
        <f t="shared" si="4"/>
        <v>OK!</v>
      </c>
    </row>
    <row r="30" spans="1:16" x14ac:dyDescent="0.2">
      <c r="A30" s="1037" t="s">
        <v>1932</v>
      </c>
      <c r="B30" s="1004" t="s">
        <v>2230</v>
      </c>
      <c r="C30" s="1004">
        <v>3954245</v>
      </c>
      <c r="E30" s="1004"/>
      <c r="F30" s="1005">
        <f t="shared" ref="F30:F370" si="5">C30-E30</f>
        <v>3954245</v>
      </c>
      <c r="H30" s="1004"/>
      <c r="I30" s="1005">
        <f t="shared" ref="I30:I370" si="6">F30-H30</f>
        <v>3954245</v>
      </c>
      <c r="J30" s="1010"/>
      <c r="K30" s="1004"/>
      <c r="L30" s="1005">
        <f t="shared" ref="L30:L370" si="7">I30-K30</f>
        <v>3954245</v>
      </c>
      <c r="M30" s="1010"/>
      <c r="N30" s="1004">
        <v>3954245</v>
      </c>
      <c r="O30" s="1005">
        <f t="shared" ref="O30:O370" si="8">L30-N30</f>
        <v>0</v>
      </c>
      <c r="P30" s="1006" t="str">
        <f t="shared" ref="P30:P156" si="9">IF(L30&lt;0,"INCORRECT ENTRY!","OK!")</f>
        <v>OK!</v>
      </c>
    </row>
    <row r="31" spans="1:16" x14ac:dyDescent="0.2">
      <c r="A31" s="1037" t="s">
        <v>1932</v>
      </c>
      <c r="B31" s="1004" t="s">
        <v>2231</v>
      </c>
      <c r="C31" s="1004">
        <v>3662998</v>
      </c>
      <c r="E31" s="1004"/>
      <c r="F31" s="1005">
        <f t="shared" si="5"/>
        <v>3662998</v>
      </c>
      <c r="H31" s="1004">
        <v>3662998</v>
      </c>
      <c r="I31" s="1005">
        <f t="shared" si="6"/>
        <v>0</v>
      </c>
      <c r="J31" s="1010"/>
      <c r="K31" s="1004"/>
      <c r="L31" s="1005">
        <f t="shared" si="7"/>
        <v>0</v>
      </c>
      <c r="M31" s="1010"/>
      <c r="N31" s="1004"/>
      <c r="O31" s="1005">
        <f t="shared" si="8"/>
        <v>0</v>
      </c>
      <c r="P31" s="1006" t="str">
        <f t="shared" si="9"/>
        <v>OK!</v>
      </c>
    </row>
    <row r="32" spans="1:16" x14ac:dyDescent="0.2">
      <c r="A32" s="1037" t="s">
        <v>1932</v>
      </c>
      <c r="B32" s="1004" t="s">
        <v>1941</v>
      </c>
      <c r="C32" s="1004">
        <v>3322882</v>
      </c>
      <c r="D32" s="1007"/>
      <c r="E32" s="1004"/>
      <c r="F32" s="1005">
        <f t="shared" si="5"/>
        <v>3322882</v>
      </c>
      <c r="G32" s="989"/>
      <c r="H32" s="1004">
        <v>3322882</v>
      </c>
      <c r="I32" s="1005">
        <f t="shared" si="6"/>
        <v>0</v>
      </c>
      <c r="J32" s="989"/>
      <c r="K32" s="1004"/>
      <c r="L32" s="1005">
        <f t="shared" si="7"/>
        <v>0</v>
      </c>
      <c r="M32" s="989"/>
      <c r="N32" s="1004"/>
      <c r="O32" s="1005">
        <f t="shared" si="8"/>
        <v>0</v>
      </c>
      <c r="P32" s="1006" t="str">
        <f t="shared" si="9"/>
        <v>OK!</v>
      </c>
    </row>
    <row r="33" spans="1:100" x14ac:dyDescent="0.2">
      <c r="A33" s="1037" t="s">
        <v>1932</v>
      </c>
      <c r="B33" s="1004" t="s">
        <v>2232</v>
      </c>
      <c r="C33" s="1004">
        <v>2959760</v>
      </c>
      <c r="D33" s="1007"/>
      <c r="E33" s="1004"/>
      <c r="F33" s="1005">
        <f t="shared" si="5"/>
        <v>2959760</v>
      </c>
      <c r="G33" s="989"/>
      <c r="H33" s="1004">
        <v>2959760</v>
      </c>
      <c r="I33" s="1005">
        <f>F33-H33</f>
        <v>0</v>
      </c>
      <c r="J33" s="989"/>
      <c r="K33" s="1004"/>
      <c r="L33" s="1005">
        <f t="shared" si="7"/>
        <v>0</v>
      </c>
      <c r="M33" s="989"/>
      <c r="N33" s="1004"/>
      <c r="O33" s="1005">
        <f t="shared" si="8"/>
        <v>0</v>
      </c>
      <c r="P33" s="1006" t="str">
        <f t="shared" si="9"/>
        <v>OK!</v>
      </c>
    </row>
    <row r="34" spans="1:100" s="1008" customFormat="1" x14ac:dyDescent="0.2">
      <c r="A34" s="1037" t="s">
        <v>1932</v>
      </c>
      <c r="B34" s="1004" t="s">
        <v>2233</v>
      </c>
      <c r="C34" s="1004">
        <v>2760024</v>
      </c>
      <c r="D34" s="1007"/>
      <c r="E34" s="1004"/>
      <c r="F34" s="1005">
        <f t="shared" si="5"/>
        <v>2760024</v>
      </c>
      <c r="G34" s="989"/>
      <c r="H34" s="1004">
        <v>2760024</v>
      </c>
      <c r="I34" s="1005">
        <f>F34-H34</f>
        <v>0</v>
      </c>
      <c r="J34" s="989"/>
      <c r="K34" s="1004"/>
      <c r="L34" s="1005">
        <f t="shared" si="7"/>
        <v>0</v>
      </c>
      <c r="M34" s="989"/>
      <c r="N34" s="1004"/>
      <c r="O34" s="1005">
        <f t="shared" si="8"/>
        <v>0</v>
      </c>
      <c r="P34" s="1006" t="str">
        <f t="shared" si="9"/>
        <v>OK!</v>
      </c>
      <c r="Q34" s="1007"/>
      <c r="R34" s="1007"/>
      <c r="S34" s="1007"/>
      <c r="T34" s="1007"/>
      <c r="U34" s="1007"/>
      <c r="V34" s="1007"/>
      <c r="W34" s="1007"/>
      <c r="X34" s="1007"/>
      <c r="Y34" s="1007"/>
      <c r="Z34" s="1007"/>
      <c r="AA34" s="1007"/>
      <c r="AB34" s="1007"/>
      <c r="AC34" s="1007"/>
      <c r="AD34" s="1007"/>
      <c r="AE34" s="1007"/>
      <c r="AF34" s="1007"/>
      <c r="AG34" s="1007"/>
      <c r="AH34" s="1007"/>
      <c r="AI34" s="1007"/>
      <c r="AJ34" s="1007"/>
      <c r="AK34" s="1007"/>
      <c r="AL34" s="1007"/>
      <c r="AM34" s="1007"/>
      <c r="AN34" s="1007"/>
      <c r="AO34" s="1007"/>
      <c r="AP34" s="1007"/>
      <c r="AQ34" s="1007"/>
      <c r="AR34" s="1007"/>
      <c r="AS34" s="1007"/>
      <c r="AT34" s="1007"/>
      <c r="AU34" s="1007"/>
      <c r="AV34" s="1007"/>
      <c r="AW34" s="1007"/>
      <c r="AX34" s="1007"/>
      <c r="AY34" s="1007"/>
      <c r="AZ34" s="1007"/>
      <c r="BA34" s="1007"/>
      <c r="BB34" s="1007"/>
      <c r="BC34" s="1007"/>
      <c r="BD34" s="1007"/>
      <c r="BE34" s="1007"/>
      <c r="BF34" s="1007"/>
      <c r="BG34" s="1007"/>
      <c r="BH34" s="1007"/>
      <c r="BI34" s="1007"/>
      <c r="BJ34" s="1007"/>
      <c r="BK34" s="1007"/>
      <c r="BL34" s="1007"/>
      <c r="BM34" s="1007"/>
      <c r="BN34" s="1007"/>
      <c r="BO34" s="1007"/>
      <c r="BP34" s="1007"/>
      <c r="BQ34" s="1007"/>
      <c r="BR34" s="1007"/>
      <c r="BS34" s="1007"/>
      <c r="BT34" s="1007"/>
      <c r="BU34" s="1007"/>
      <c r="BV34" s="1007"/>
      <c r="BW34" s="1007"/>
      <c r="BX34" s="1007"/>
      <c r="BY34" s="1007"/>
      <c r="BZ34" s="1007"/>
      <c r="CA34" s="1007"/>
      <c r="CB34" s="1007"/>
      <c r="CC34" s="1007"/>
      <c r="CD34" s="1007"/>
      <c r="CE34" s="1007"/>
      <c r="CF34" s="1007"/>
      <c r="CG34" s="1007"/>
      <c r="CH34" s="1007"/>
      <c r="CI34" s="1007"/>
      <c r="CJ34" s="1007"/>
      <c r="CK34" s="1007"/>
      <c r="CL34" s="1007"/>
      <c r="CM34" s="1007"/>
      <c r="CN34" s="1007"/>
      <c r="CO34" s="1007"/>
      <c r="CP34" s="1007"/>
      <c r="CQ34" s="1007"/>
      <c r="CR34" s="1007"/>
      <c r="CS34" s="1007"/>
      <c r="CT34" s="1007"/>
      <c r="CU34" s="1007"/>
      <c r="CV34" s="1007"/>
    </row>
    <row r="35" spans="1:100" x14ac:dyDescent="0.2">
      <c r="A35" s="1037" t="s">
        <v>1932</v>
      </c>
      <c r="B35" s="1004" t="s">
        <v>2234</v>
      </c>
      <c r="C35" s="1004">
        <v>2730452</v>
      </c>
      <c r="D35" s="1007"/>
      <c r="E35" s="1004"/>
      <c r="F35" s="1005">
        <f t="shared" si="5"/>
        <v>2730452</v>
      </c>
      <c r="H35" s="1004">
        <v>2730452</v>
      </c>
      <c r="I35" s="1005">
        <f t="shared" si="6"/>
        <v>0</v>
      </c>
      <c r="J35" s="1010"/>
      <c r="K35" s="1004"/>
      <c r="L35" s="1005">
        <f t="shared" si="7"/>
        <v>0</v>
      </c>
      <c r="M35" s="1010"/>
      <c r="N35" s="1004"/>
      <c r="O35" s="1005">
        <f t="shared" si="8"/>
        <v>0</v>
      </c>
      <c r="P35" s="1006" t="str">
        <f t="shared" si="9"/>
        <v>OK!</v>
      </c>
    </row>
    <row r="36" spans="1:100" x14ac:dyDescent="0.2">
      <c r="A36" s="1036" t="s">
        <v>1933</v>
      </c>
      <c r="B36" s="1004" t="s">
        <v>2235</v>
      </c>
      <c r="C36" s="1004">
        <v>71203</v>
      </c>
      <c r="E36" s="1004"/>
      <c r="F36" s="1005">
        <f t="shared" si="5"/>
        <v>71203</v>
      </c>
      <c r="H36" s="1004"/>
      <c r="I36" s="1005">
        <f t="shared" si="6"/>
        <v>71203</v>
      </c>
      <c r="J36" s="1010"/>
      <c r="K36" s="1004"/>
      <c r="L36" s="1005">
        <f t="shared" si="7"/>
        <v>71203</v>
      </c>
      <c r="M36" s="1010"/>
      <c r="N36" s="1004"/>
      <c r="O36" s="1005">
        <f t="shared" si="8"/>
        <v>71203</v>
      </c>
      <c r="P36" s="1006" t="str">
        <f t="shared" si="9"/>
        <v>OK!</v>
      </c>
    </row>
    <row r="37" spans="1:100" x14ac:dyDescent="0.2">
      <c r="A37" s="1036" t="s">
        <v>1933</v>
      </c>
      <c r="B37" s="1004" t="s">
        <v>2236</v>
      </c>
      <c r="C37" s="1004">
        <v>70394</v>
      </c>
      <c r="E37" s="1004"/>
      <c r="F37" s="1005">
        <f t="shared" si="5"/>
        <v>70394</v>
      </c>
      <c r="H37" s="1004"/>
      <c r="I37" s="1005">
        <f t="shared" si="6"/>
        <v>70394</v>
      </c>
      <c r="J37" s="1010"/>
      <c r="K37" s="1004"/>
      <c r="L37" s="1005">
        <f t="shared" si="7"/>
        <v>70394</v>
      </c>
      <c r="M37" s="1010"/>
      <c r="N37" s="1004"/>
      <c r="O37" s="1005">
        <f t="shared" si="8"/>
        <v>70394</v>
      </c>
      <c r="P37" s="1006" t="str">
        <f t="shared" si="9"/>
        <v>OK!</v>
      </c>
    </row>
    <row r="38" spans="1:100" x14ac:dyDescent="0.2">
      <c r="A38" s="1036" t="s">
        <v>1933</v>
      </c>
      <c r="B38" s="1004" t="s">
        <v>2237</v>
      </c>
      <c r="C38" s="1004">
        <v>58134</v>
      </c>
      <c r="E38" s="1004"/>
      <c r="F38" s="1005">
        <f t="shared" si="5"/>
        <v>58134</v>
      </c>
      <c r="H38" s="1004"/>
      <c r="I38" s="1005">
        <f t="shared" si="6"/>
        <v>58134</v>
      </c>
      <c r="J38" s="1010"/>
      <c r="K38" s="1004"/>
      <c r="L38" s="1005">
        <f t="shared" si="7"/>
        <v>58134</v>
      </c>
      <c r="M38" s="1010"/>
      <c r="N38" s="1004"/>
      <c r="O38" s="1005">
        <f t="shared" si="8"/>
        <v>58134</v>
      </c>
      <c r="P38" s="1006" t="str">
        <f t="shared" si="9"/>
        <v>OK!</v>
      </c>
    </row>
    <row r="39" spans="1:100" x14ac:dyDescent="0.2">
      <c r="A39" s="1036" t="s">
        <v>1933</v>
      </c>
      <c r="B39" s="1004" t="s">
        <v>2238</v>
      </c>
      <c r="C39" s="1004">
        <v>60469</v>
      </c>
      <c r="E39" s="1004"/>
      <c r="F39" s="1005">
        <f t="shared" si="5"/>
        <v>60469</v>
      </c>
      <c r="H39" s="1004"/>
      <c r="I39" s="1005">
        <f t="shared" si="6"/>
        <v>60469</v>
      </c>
      <c r="J39" s="1010"/>
      <c r="K39" s="1004"/>
      <c r="L39" s="1005">
        <f t="shared" si="7"/>
        <v>60469</v>
      </c>
      <c r="M39" s="1010"/>
      <c r="N39" s="1004"/>
      <c r="O39" s="1005">
        <f t="shared" si="8"/>
        <v>60469</v>
      </c>
      <c r="P39" s="1006" t="str">
        <f t="shared" si="9"/>
        <v>OK!</v>
      </c>
    </row>
    <row r="40" spans="1:100" x14ac:dyDescent="0.2">
      <c r="A40" s="1036" t="s">
        <v>1933</v>
      </c>
      <c r="B40" s="1004" t="s">
        <v>2239</v>
      </c>
      <c r="C40" s="1004">
        <v>66011</v>
      </c>
      <c r="E40" s="1004"/>
      <c r="F40" s="1005">
        <f t="shared" si="5"/>
        <v>66011</v>
      </c>
      <c r="H40" s="1004"/>
      <c r="I40" s="1005">
        <f t="shared" si="6"/>
        <v>66011</v>
      </c>
      <c r="J40" s="1010"/>
      <c r="K40" s="1004"/>
      <c r="L40" s="1005">
        <f t="shared" si="7"/>
        <v>66011</v>
      </c>
      <c r="M40" s="1010"/>
      <c r="N40" s="1004"/>
      <c r="O40" s="1005">
        <f t="shared" si="8"/>
        <v>66011</v>
      </c>
      <c r="P40" s="1006" t="str">
        <f t="shared" si="9"/>
        <v>OK!</v>
      </c>
    </row>
    <row r="41" spans="1:100" x14ac:dyDescent="0.2">
      <c r="A41" s="1036" t="s">
        <v>1933</v>
      </c>
      <c r="B41" s="1004" t="s">
        <v>2240</v>
      </c>
      <c r="C41" s="1004">
        <v>65649</v>
      </c>
      <c r="E41" s="1004"/>
      <c r="F41" s="1005">
        <f t="shared" si="5"/>
        <v>65649</v>
      </c>
      <c r="H41" s="1004"/>
      <c r="I41" s="1005">
        <f t="shared" si="6"/>
        <v>65649</v>
      </c>
      <c r="J41" s="1010"/>
      <c r="K41" s="1004"/>
      <c r="L41" s="1005">
        <f t="shared" si="7"/>
        <v>65649</v>
      </c>
      <c r="M41" s="1010"/>
      <c r="N41" s="1004"/>
      <c r="O41" s="1005">
        <f t="shared" si="8"/>
        <v>65649</v>
      </c>
      <c r="P41" s="1006" t="str">
        <f t="shared" si="9"/>
        <v>OK!</v>
      </c>
    </row>
    <row r="42" spans="1:100" x14ac:dyDescent="0.2">
      <c r="A42" s="1036" t="s">
        <v>1933</v>
      </c>
      <c r="B42" s="1004" t="s">
        <v>2241</v>
      </c>
      <c r="C42" s="1004">
        <v>63275</v>
      </c>
      <c r="E42" s="1004"/>
      <c r="F42" s="1005">
        <f t="shared" si="5"/>
        <v>63275</v>
      </c>
      <c r="H42" s="1004"/>
      <c r="I42" s="1005">
        <f t="shared" si="6"/>
        <v>63275</v>
      </c>
      <c r="J42" s="1010"/>
      <c r="K42" s="1004"/>
      <c r="L42" s="1005">
        <f t="shared" si="7"/>
        <v>63275</v>
      </c>
      <c r="M42" s="1010"/>
      <c r="N42" s="1004"/>
      <c r="O42" s="1005">
        <f t="shared" si="8"/>
        <v>63275</v>
      </c>
      <c r="P42" s="1006" t="str">
        <f t="shared" si="9"/>
        <v>OK!</v>
      </c>
    </row>
    <row r="43" spans="1:100" x14ac:dyDescent="0.2">
      <c r="A43" s="1036" t="s">
        <v>1933</v>
      </c>
      <c r="B43" s="1004" t="s">
        <v>2242</v>
      </c>
      <c r="C43" s="1004">
        <v>60024</v>
      </c>
      <c r="E43" s="1004"/>
      <c r="F43" s="1005">
        <f t="shared" si="5"/>
        <v>60024</v>
      </c>
      <c r="H43" s="1004"/>
      <c r="I43" s="1005">
        <f t="shared" si="6"/>
        <v>60024</v>
      </c>
      <c r="J43" s="1010"/>
      <c r="K43" s="1004"/>
      <c r="L43" s="1005">
        <f t="shared" si="7"/>
        <v>60024</v>
      </c>
      <c r="M43" s="1010"/>
      <c r="N43" s="1004"/>
      <c r="O43" s="1005">
        <f t="shared" si="8"/>
        <v>60024</v>
      </c>
      <c r="P43" s="1006" t="str">
        <f t="shared" si="9"/>
        <v>OK!</v>
      </c>
    </row>
    <row r="44" spans="1:100" x14ac:dyDescent="0.2">
      <c r="A44" s="1036" t="s">
        <v>1933</v>
      </c>
      <c r="B44" s="1004" t="s">
        <v>2243</v>
      </c>
      <c r="C44" s="1004">
        <v>71256</v>
      </c>
      <c r="E44" s="1004"/>
      <c r="F44" s="1005">
        <f t="shared" si="5"/>
        <v>71256</v>
      </c>
      <c r="H44" s="1004"/>
      <c r="I44" s="1005">
        <f t="shared" si="6"/>
        <v>71256</v>
      </c>
      <c r="J44" s="1010"/>
      <c r="K44" s="1004"/>
      <c r="L44" s="1005">
        <f t="shared" si="7"/>
        <v>71256</v>
      </c>
      <c r="M44" s="1010"/>
      <c r="N44" s="1004"/>
      <c r="O44" s="1005">
        <f t="shared" si="8"/>
        <v>71256</v>
      </c>
      <c r="P44" s="1006" t="str">
        <f t="shared" si="9"/>
        <v>OK!</v>
      </c>
    </row>
    <row r="45" spans="1:100" x14ac:dyDescent="0.2">
      <c r="A45" s="1036" t="s">
        <v>1933</v>
      </c>
      <c r="B45" s="1004" t="s">
        <v>2244</v>
      </c>
      <c r="C45" s="1004">
        <v>70335</v>
      </c>
      <c r="E45" s="1004"/>
      <c r="F45" s="1005">
        <f t="shared" si="5"/>
        <v>70335</v>
      </c>
      <c r="H45" s="1004"/>
      <c r="I45" s="1005">
        <f t="shared" si="6"/>
        <v>70335</v>
      </c>
      <c r="J45" s="1010"/>
      <c r="K45" s="1004"/>
      <c r="L45" s="1005">
        <f t="shared" si="7"/>
        <v>70335</v>
      </c>
      <c r="M45" s="1010"/>
      <c r="N45" s="1004"/>
      <c r="O45" s="1005">
        <f t="shared" si="8"/>
        <v>70335</v>
      </c>
      <c r="P45" s="1006" t="str">
        <f t="shared" si="9"/>
        <v>OK!</v>
      </c>
    </row>
    <row r="46" spans="1:100" x14ac:dyDescent="0.2">
      <c r="A46" s="1036" t="s">
        <v>1933</v>
      </c>
      <c r="B46" s="1004" t="s">
        <v>1934</v>
      </c>
      <c r="C46" s="1004">
        <v>58136</v>
      </c>
      <c r="E46" s="1004"/>
      <c r="F46" s="1005">
        <f t="shared" si="5"/>
        <v>58136</v>
      </c>
      <c r="H46" s="1004"/>
      <c r="I46" s="1005">
        <f t="shared" si="6"/>
        <v>58136</v>
      </c>
      <c r="J46" s="1010"/>
      <c r="K46" s="1004"/>
      <c r="L46" s="1005">
        <f t="shared" si="7"/>
        <v>58136</v>
      </c>
      <c r="M46" s="1010"/>
      <c r="N46" s="1004"/>
      <c r="O46" s="1005">
        <f t="shared" si="8"/>
        <v>58136</v>
      </c>
      <c r="P46" s="1006" t="str">
        <f t="shared" si="9"/>
        <v>OK!</v>
      </c>
    </row>
    <row r="47" spans="1:100" x14ac:dyDescent="0.2">
      <c r="A47" s="1036" t="s">
        <v>1933</v>
      </c>
      <c r="B47" s="1004" t="s">
        <v>2245</v>
      </c>
      <c r="C47" s="1004">
        <v>60465</v>
      </c>
      <c r="E47" s="1004"/>
      <c r="F47" s="1005">
        <f t="shared" si="5"/>
        <v>60465</v>
      </c>
      <c r="H47" s="1004"/>
      <c r="I47" s="1005">
        <f t="shared" si="6"/>
        <v>60465</v>
      </c>
      <c r="J47" s="1010"/>
      <c r="K47" s="1004"/>
      <c r="L47" s="1005">
        <f t="shared" si="7"/>
        <v>60465</v>
      </c>
      <c r="M47" s="1010"/>
      <c r="N47" s="1004"/>
      <c r="O47" s="1005">
        <f t="shared" si="8"/>
        <v>60465</v>
      </c>
      <c r="P47" s="1006" t="str">
        <f t="shared" si="9"/>
        <v>OK!</v>
      </c>
    </row>
    <row r="48" spans="1:100" x14ac:dyDescent="0.2">
      <c r="A48" s="1036" t="s">
        <v>1933</v>
      </c>
      <c r="B48" s="1004" t="s">
        <v>2246</v>
      </c>
      <c r="C48" s="1004">
        <v>64437</v>
      </c>
      <c r="E48" s="1004"/>
      <c r="F48" s="1005">
        <f t="shared" si="5"/>
        <v>64437</v>
      </c>
      <c r="H48" s="1004"/>
      <c r="I48" s="1005">
        <f t="shared" si="6"/>
        <v>64437</v>
      </c>
      <c r="J48" s="1010"/>
      <c r="K48" s="1004"/>
      <c r="L48" s="1005">
        <f t="shared" si="7"/>
        <v>64437</v>
      </c>
      <c r="M48" s="1010"/>
      <c r="N48" s="1004"/>
      <c r="O48" s="1005">
        <f t="shared" si="8"/>
        <v>64437</v>
      </c>
      <c r="P48" s="1006" t="str">
        <f t="shared" si="9"/>
        <v>OK!</v>
      </c>
    </row>
    <row r="49" spans="1:16" x14ac:dyDescent="0.2">
      <c r="A49" s="1036" t="s">
        <v>1933</v>
      </c>
      <c r="B49" s="1004" t="s">
        <v>2247</v>
      </c>
      <c r="C49" s="1004">
        <v>66099</v>
      </c>
      <c r="E49" s="1004"/>
      <c r="F49" s="1005">
        <f t="shared" si="5"/>
        <v>66099</v>
      </c>
      <c r="H49" s="1004"/>
      <c r="I49" s="1005">
        <f t="shared" si="6"/>
        <v>66099</v>
      </c>
      <c r="J49" s="1010"/>
      <c r="K49" s="1004"/>
      <c r="L49" s="1005">
        <f t="shared" si="7"/>
        <v>66099</v>
      </c>
      <c r="M49" s="1010"/>
      <c r="N49" s="1004"/>
      <c r="O49" s="1005">
        <f t="shared" si="8"/>
        <v>66099</v>
      </c>
      <c r="P49" s="1006" t="str">
        <f t="shared" si="9"/>
        <v>OK!</v>
      </c>
    </row>
    <row r="50" spans="1:16" x14ac:dyDescent="0.2">
      <c r="A50" s="1036" t="s">
        <v>1933</v>
      </c>
      <c r="B50" s="1004" t="s">
        <v>2248</v>
      </c>
      <c r="C50" s="1004">
        <v>66014</v>
      </c>
      <c r="E50" s="1004"/>
      <c r="F50" s="1005">
        <f t="shared" si="5"/>
        <v>66014</v>
      </c>
      <c r="H50" s="1004"/>
      <c r="I50" s="1005">
        <f t="shared" si="6"/>
        <v>66014</v>
      </c>
      <c r="J50" s="1010"/>
      <c r="K50" s="1004"/>
      <c r="L50" s="1005">
        <f t="shared" si="7"/>
        <v>66014</v>
      </c>
      <c r="M50" s="1010"/>
      <c r="N50" s="1004"/>
      <c r="O50" s="1005">
        <f t="shared" si="8"/>
        <v>66014</v>
      </c>
      <c r="P50" s="1006" t="str">
        <f t="shared" si="9"/>
        <v>OK!</v>
      </c>
    </row>
    <row r="51" spans="1:16" x14ac:dyDescent="0.2">
      <c r="A51" s="1036" t="s">
        <v>1933</v>
      </c>
      <c r="B51" s="1004" t="s">
        <v>1937</v>
      </c>
      <c r="C51" s="1004">
        <v>65657</v>
      </c>
      <c r="E51" s="1004"/>
      <c r="F51" s="1005">
        <f t="shared" si="5"/>
        <v>65657</v>
      </c>
      <c r="H51" s="1004"/>
      <c r="I51" s="1005">
        <f t="shared" si="6"/>
        <v>65657</v>
      </c>
      <c r="J51" s="1010"/>
      <c r="K51" s="1004"/>
      <c r="L51" s="1005">
        <f t="shared" si="7"/>
        <v>65657</v>
      </c>
      <c r="M51" s="1010"/>
      <c r="N51" s="1004"/>
      <c r="O51" s="1005">
        <f t="shared" si="8"/>
        <v>65657</v>
      </c>
      <c r="P51" s="1006" t="str">
        <f t="shared" si="9"/>
        <v>OK!</v>
      </c>
    </row>
    <row r="52" spans="1:16" x14ac:dyDescent="0.2">
      <c r="A52" s="1036" t="s">
        <v>1933</v>
      </c>
      <c r="B52" s="1004" t="s">
        <v>2249</v>
      </c>
      <c r="C52" s="1004">
        <v>63275</v>
      </c>
      <c r="E52" s="1004"/>
      <c r="F52" s="1005">
        <f t="shared" si="5"/>
        <v>63275</v>
      </c>
      <c r="H52" s="1004"/>
      <c r="I52" s="1005">
        <f t="shared" si="6"/>
        <v>63275</v>
      </c>
      <c r="J52" s="1010"/>
      <c r="K52" s="1004"/>
      <c r="L52" s="1005">
        <f t="shared" si="7"/>
        <v>63275</v>
      </c>
      <c r="M52" s="1010"/>
      <c r="N52" s="1004"/>
      <c r="O52" s="1005">
        <f t="shared" si="8"/>
        <v>63275</v>
      </c>
      <c r="P52" s="1006" t="str">
        <f t="shared" si="9"/>
        <v>OK!</v>
      </c>
    </row>
    <row r="53" spans="1:16" x14ac:dyDescent="0.2">
      <c r="A53" s="1036" t="s">
        <v>1933</v>
      </c>
      <c r="B53" s="1004" t="s">
        <v>1938</v>
      </c>
      <c r="C53" s="1004">
        <v>60024</v>
      </c>
      <c r="E53" s="1004"/>
      <c r="F53" s="1005">
        <f t="shared" si="5"/>
        <v>60024</v>
      </c>
      <c r="H53" s="1004"/>
      <c r="I53" s="1005">
        <f t="shared" si="6"/>
        <v>60024</v>
      </c>
      <c r="J53" s="1010"/>
      <c r="K53" s="1004"/>
      <c r="L53" s="1005">
        <f t="shared" si="7"/>
        <v>60024</v>
      </c>
      <c r="M53" s="1010"/>
      <c r="N53" s="1004"/>
      <c r="O53" s="1005">
        <f t="shared" si="8"/>
        <v>60024</v>
      </c>
      <c r="P53" s="1006" t="str">
        <f t="shared" si="9"/>
        <v>OK!</v>
      </c>
    </row>
    <row r="54" spans="1:16" x14ac:dyDescent="0.2">
      <c r="A54" s="1036" t="s">
        <v>1933</v>
      </c>
      <c r="B54" s="1004" t="s">
        <v>2250</v>
      </c>
      <c r="C54" s="1004">
        <v>71204</v>
      </c>
      <c r="E54" s="1004"/>
      <c r="F54" s="1005">
        <f t="shared" si="5"/>
        <v>71204</v>
      </c>
      <c r="H54" s="1004"/>
      <c r="I54" s="1005">
        <f t="shared" si="6"/>
        <v>71204</v>
      </c>
      <c r="J54" s="1010"/>
      <c r="K54" s="1004"/>
      <c r="L54" s="1005">
        <f t="shared" si="7"/>
        <v>71204</v>
      </c>
      <c r="M54" s="1010"/>
      <c r="N54" s="1004"/>
      <c r="O54" s="1005">
        <f t="shared" si="8"/>
        <v>71204</v>
      </c>
      <c r="P54" s="1006" t="str">
        <f t="shared" si="9"/>
        <v>OK!</v>
      </c>
    </row>
    <row r="55" spans="1:16" x14ac:dyDescent="0.2">
      <c r="A55" s="1036" t="s">
        <v>1933</v>
      </c>
      <c r="B55" s="1004" t="s">
        <v>2251</v>
      </c>
      <c r="C55" s="1004">
        <v>71256</v>
      </c>
      <c r="E55" s="1004"/>
      <c r="F55" s="1005">
        <f t="shared" si="5"/>
        <v>71256</v>
      </c>
      <c r="H55" s="1004"/>
      <c r="I55" s="1005">
        <f t="shared" si="6"/>
        <v>71256</v>
      </c>
      <c r="J55" s="1010"/>
      <c r="K55" s="1004"/>
      <c r="L55" s="1005">
        <f t="shared" si="7"/>
        <v>71256</v>
      </c>
      <c r="M55" s="1010"/>
      <c r="N55" s="1004"/>
      <c r="O55" s="1005">
        <f t="shared" si="8"/>
        <v>71256</v>
      </c>
      <c r="P55" s="1006" t="str">
        <f t="shared" si="9"/>
        <v>OK!</v>
      </c>
    </row>
    <row r="56" spans="1:16" x14ac:dyDescent="0.2">
      <c r="A56" s="1036" t="s">
        <v>1933</v>
      </c>
      <c r="B56" s="1004" t="s">
        <v>2252</v>
      </c>
      <c r="C56" s="1004">
        <v>70335</v>
      </c>
      <c r="E56" s="1004"/>
      <c r="F56" s="1005">
        <f t="shared" si="5"/>
        <v>70335</v>
      </c>
      <c r="H56" s="1004"/>
      <c r="I56" s="1005">
        <f t="shared" si="6"/>
        <v>70335</v>
      </c>
      <c r="J56" s="1010"/>
      <c r="K56" s="1004"/>
      <c r="L56" s="1005">
        <f t="shared" si="7"/>
        <v>70335</v>
      </c>
      <c r="M56" s="1010"/>
      <c r="N56" s="1004"/>
      <c r="O56" s="1005">
        <f t="shared" si="8"/>
        <v>70335</v>
      </c>
      <c r="P56" s="1006" t="str">
        <f t="shared" si="9"/>
        <v>OK!</v>
      </c>
    </row>
    <row r="57" spans="1:16" x14ac:dyDescent="0.2">
      <c r="A57" s="1036" t="s">
        <v>1933</v>
      </c>
      <c r="B57" s="1004" t="s">
        <v>2253</v>
      </c>
      <c r="C57" s="1004">
        <v>58136</v>
      </c>
      <c r="E57" s="1004"/>
      <c r="F57" s="1005">
        <f t="shared" si="5"/>
        <v>58136</v>
      </c>
      <c r="H57" s="1004"/>
      <c r="I57" s="1005">
        <f t="shared" si="6"/>
        <v>58136</v>
      </c>
      <c r="J57" s="1010"/>
      <c r="K57" s="1004"/>
      <c r="L57" s="1005">
        <f t="shared" si="7"/>
        <v>58136</v>
      </c>
      <c r="M57" s="1010"/>
      <c r="N57" s="1004"/>
      <c r="O57" s="1005">
        <f t="shared" si="8"/>
        <v>58136</v>
      </c>
      <c r="P57" s="1006" t="str">
        <f t="shared" si="9"/>
        <v>OK!</v>
      </c>
    </row>
    <row r="58" spans="1:16" x14ac:dyDescent="0.2">
      <c r="A58" s="1036" t="s">
        <v>1933</v>
      </c>
      <c r="B58" s="1004" t="s">
        <v>2254</v>
      </c>
      <c r="C58" s="1004">
        <v>60465</v>
      </c>
      <c r="E58" s="1004"/>
      <c r="F58" s="1005">
        <f t="shared" si="5"/>
        <v>60465</v>
      </c>
      <c r="H58" s="1004"/>
      <c r="I58" s="1005">
        <f t="shared" si="6"/>
        <v>60465</v>
      </c>
      <c r="J58" s="1010"/>
      <c r="K58" s="1004"/>
      <c r="L58" s="1005">
        <f t="shared" si="7"/>
        <v>60465</v>
      </c>
      <c r="M58" s="1010"/>
      <c r="N58" s="1004"/>
      <c r="O58" s="1005">
        <f t="shared" si="8"/>
        <v>60465</v>
      </c>
      <c r="P58" s="1006" t="str">
        <f t="shared" si="9"/>
        <v>OK!</v>
      </c>
    </row>
    <row r="59" spans="1:16" x14ac:dyDescent="0.2">
      <c r="A59" s="1036" t="s">
        <v>2255</v>
      </c>
      <c r="B59" s="1004" t="s">
        <v>2260</v>
      </c>
      <c r="C59" s="1004">
        <v>25000</v>
      </c>
      <c r="E59" s="1004"/>
      <c r="F59" s="1005">
        <f t="shared" si="5"/>
        <v>25000</v>
      </c>
      <c r="H59" s="1004"/>
      <c r="I59" s="1005">
        <f t="shared" si="6"/>
        <v>25000</v>
      </c>
      <c r="J59" s="1010"/>
      <c r="K59" s="1004"/>
      <c r="L59" s="1005">
        <f t="shared" si="7"/>
        <v>25000</v>
      </c>
      <c r="M59" s="1010"/>
      <c r="N59" s="1004"/>
      <c r="O59" s="1005">
        <f t="shared" si="8"/>
        <v>25000</v>
      </c>
      <c r="P59" s="1006" t="str">
        <f t="shared" si="9"/>
        <v>OK!</v>
      </c>
    </row>
    <row r="60" spans="1:16" x14ac:dyDescent="0.2">
      <c r="A60" s="1036" t="s">
        <v>2256</v>
      </c>
      <c r="B60" s="1004" t="s">
        <v>1934</v>
      </c>
      <c r="C60" s="1004">
        <v>40000</v>
      </c>
      <c r="E60" s="1004"/>
      <c r="F60" s="1005">
        <f t="shared" si="5"/>
        <v>40000</v>
      </c>
      <c r="H60" s="1004"/>
      <c r="I60" s="1005">
        <f t="shared" si="6"/>
        <v>40000</v>
      </c>
      <c r="J60" s="1010"/>
      <c r="K60" s="1004"/>
      <c r="L60" s="1005">
        <f t="shared" si="7"/>
        <v>40000</v>
      </c>
      <c r="M60" s="1010"/>
      <c r="N60" s="1004"/>
      <c r="O60" s="1005">
        <f t="shared" si="8"/>
        <v>40000</v>
      </c>
      <c r="P60" s="1006" t="str">
        <f t="shared" si="9"/>
        <v>OK!</v>
      </c>
    </row>
    <row r="61" spans="1:16" x14ac:dyDescent="0.2">
      <c r="A61" s="1036" t="s">
        <v>2257</v>
      </c>
      <c r="B61" s="1004" t="s">
        <v>2261</v>
      </c>
      <c r="C61" s="1004">
        <v>14000</v>
      </c>
      <c r="E61" s="1004"/>
      <c r="F61" s="1005">
        <f t="shared" si="5"/>
        <v>14000</v>
      </c>
      <c r="H61" s="1004"/>
      <c r="I61" s="1005">
        <f t="shared" si="6"/>
        <v>14000</v>
      </c>
      <c r="J61" s="1010"/>
      <c r="K61" s="1004"/>
      <c r="L61" s="1005">
        <f t="shared" si="7"/>
        <v>14000</v>
      </c>
      <c r="M61" s="1010"/>
      <c r="N61" s="1004"/>
      <c r="O61" s="1005">
        <f t="shared" si="8"/>
        <v>14000</v>
      </c>
      <c r="P61" s="1006" t="str">
        <f t="shared" si="9"/>
        <v>OK!</v>
      </c>
    </row>
    <row r="62" spans="1:16" x14ac:dyDescent="0.2">
      <c r="A62" s="1036" t="s">
        <v>2258</v>
      </c>
      <c r="B62" s="1004" t="s">
        <v>2262</v>
      </c>
      <c r="C62" s="1004">
        <v>45000</v>
      </c>
      <c r="E62" s="1004"/>
      <c r="F62" s="1005">
        <f t="shared" si="5"/>
        <v>45000</v>
      </c>
      <c r="H62" s="1004"/>
      <c r="I62" s="1005">
        <f t="shared" si="6"/>
        <v>45000</v>
      </c>
      <c r="J62" s="1010"/>
      <c r="K62" s="1004"/>
      <c r="L62" s="1005">
        <f t="shared" si="7"/>
        <v>45000</v>
      </c>
      <c r="M62" s="1010"/>
      <c r="N62" s="1004"/>
      <c r="O62" s="1005">
        <f t="shared" si="8"/>
        <v>45000</v>
      </c>
      <c r="P62" s="1006" t="str">
        <f t="shared" si="9"/>
        <v>OK!</v>
      </c>
    </row>
    <row r="63" spans="1:16" x14ac:dyDescent="0.2">
      <c r="A63" s="1036" t="s">
        <v>2259</v>
      </c>
      <c r="B63" s="1004" t="s">
        <v>2263</v>
      </c>
      <c r="C63" s="1004">
        <v>1024660</v>
      </c>
      <c r="E63" s="1004"/>
      <c r="F63" s="1005">
        <f t="shared" si="5"/>
        <v>1024660</v>
      </c>
      <c r="H63" s="1004"/>
      <c r="I63" s="1005">
        <f t="shared" si="6"/>
        <v>1024660</v>
      </c>
      <c r="J63" s="1010"/>
      <c r="K63" s="1004"/>
      <c r="L63" s="1005">
        <f t="shared" si="7"/>
        <v>1024660</v>
      </c>
      <c r="M63" s="1010"/>
      <c r="N63" s="1004"/>
      <c r="O63" s="1005">
        <f t="shared" si="8"/>
        <v>1024660</v>
      </c>
      <c r="P63" s="1006" t="str">
        <f t="shared" si="9"/>
        <v>OK!</v>
      </c>
    </row>
    <row r="64" spans="1:16" x14ac:dyDescent="0.2">
      <c r="A64" s="1036" t="s">
        <v>2264</v>
      </c>
      <c r="B64" s="1004" t="s">
        <v>2271</v>
      </c>
      <c r="C64" s="1004">
        <v>28100</v>
      </c>
      <c r="E64" s="1004"/>
      <c r="F64" s="1005">
        <f t="shared" si="5"/>
        <v>28100</v>
      </c>
      <c r="H64" s="1004"/>
      <c r="I64" s="1005">
        <f t="shared" si="6"/>
        <v>28100</v>
      </c>
      <c r="J64" s="1010"/>
      <c r="K64" s="1004"/>
      <c r="L64" s="1005">
        <f t="shared" si="7"/>
        <v>28100</v>
      </c>
      <c r="M64" s="1010"/>
      <c r="N64" s="1004"/>
      <c r="O64" s="1005">
        <f t="shared" si="8"/>
        <v>28100</v>
      </c>
      <c r="P64" s="1006" t="str">
        <f t="shared" si="9"/>
        <v>OK!</v>
      </c>
    </row>
    <row r="65" spans="1:16" x14ac:dyDescent="0.2">
      <c r="A65" s="1036" t="s">
        <v>2265</v>
      </c>
      <c r="B65" s="1004" t="s">
        <v>2272</v>
      </c>
      <c r="C65" s="1004">
        <v>52850</v>
      </c>
      <c r="E65" s="1004"/>
      <c r="F65" s="1005">
        <f t="shared" si="5"/>
        <v>52850</v>
      </c>
      <c r="H65" s="1004"/>
      <c r="I65" s="1005">
        <f t="shared" si="6"/>
        <v>52850</v>
      </c>
      <c r="J65" s="1010"/>
      <c r="K65" s="1004"/>
      <c r="L65" s="1005">
        <f t="shared" si="7"/>
        <v>52850</v>
      </c>
      <c r="M65" s="1010"/>
      <c r="N65" s="1004"/>
      <c r="O65" s="1005">
        <f t="shared" si="8"/>
        <v>52850</v>
      </c>
      <c r="P65" s="1006" t="str">
        <f t="shared" si="9"/>
        <v>OK!</v>
      </c>
    </row>
    <row r="66" spans="1:16" x14ac:dyDescent="0.2">
      <c r="A66" s="1036" t="s">
        <v>2266</v>
      </c>
      <c r="B66" s="1004" t="s">
        <v>2273</v>
      </c>
      <c r="C66" s="1004">
        <v>55500</v>
      </c>
      <c r="E66" s="1004"/>
      <c r="F66" s="1005">
        <f t="shared" si="5"/>
        <v>55500</v>
      </c>
      <c r="H66" s="1004"/>
      <c r="I66" s="1005">
        <f t="shared" si="6"/>
        <v>55500</v>
      </c>
      <c r="J66" s="1010"/>
      <c r="K66" s="1004"/>
      <c r="L66" s="1005">
        <f t="shared" si="7"/>
        <v>55500</v>
      </c>
      <c r="M66" s="1010"/>
      <c r="N66" s="1004"/>
      <c r="O66" s="1005">
        <f t="shared" si="8"/>
        <v>55500</v>
      </c>
      <c r="P66" s="1006" t="str">
        <f t="shared" si="9"/>
        <v>OK!</v>
      </c>
    </row>
    <row r="67" spans="1:16" x14ac:dyDescent="0.2">
      <c r="A67" s="1036" t="s">
        <v>2267</v>
      </c>
      <c r="B67" s="1004" t="s">
        <v>2274</v>
      </c>
      <c r="C67" s="1004">
        <v>20000</v>
      </c>
      <c r="E67" s="1004"/>
      <c r="F67" s="1005">
        <f t="shared" si="5"/>
        <v>20000</v>
      </c>
      <c r="H67" s="1004"/>
      <c r="I67" s="1005">
        <f t="shared" si="6"/>
        <v>20000</v>
      </c>
      <c r="J67" s="1010"/>
      <c r="K67" s="1004"/>
      <c r="L67" s="1005">
        <f t="shared" si="7"/>
        <v>20000</v>
      </c>
      <c r="M67" s="1010"/>
      <c r="N67" s="1004"/>
      <c r="O67" s="1005">
        <f t="shared" si="8"/>
        <v>20000</v>
      </c>
      <c r="P67" s="1006" t="str">
        <f t="shared" si="9"/>
        <v>OK!</v>
      </c>
    </row>
    <row r="68" spans="1:16" x14ac:dyDescent="0.2">
      <c r="A68" s="1036" t="s">
        <v>2268</v>
      </c>
      <c r="B68" s="1004" t="s">
        <v>2275</v>
      </c>
      <c r="C68" s="1004">
        <v>280000</v>
      </c>
      <c r="E68" s="1004"/>
      <c r="F68" s="1005">
        <f t="shared" si="5"/>
        <v>280000</v>
      </c>
      <c r="H68" s="1004"/>
      <c r="I68" s="1005">
        <f t="shared" si="6"/>
        <v>280000</v>
      </c>
      <c r="J68" s="1010"/>
      <c r="K68" s="1004"/>
      <c r="L68" s="1005">
        <f t="shared" si="7"/>
        <v>280000</v>
      </c>
      <c r="M68" s="1010"/>
      <c r="N68" s="1004"/>
      <c r="O68" s="1005">
        <f t="shared" si="8"/>
        <v>280000</v>
      </c>
      <c r="P68" s="1006" t="str">
        <f t="shared" si="9"/>
        <v>OK!</v>
      </c>
    </row>
    <row r="69" spans="1:16" x14ac:dyDescent="0.2">
      <c r="A69" s="1036" t="s">
        <v>2269</v>
      </c>
      <c r="B69" s="1004" t="s">
        <v>2275</v>
      </c>
      <c r="C69" s="1004">
        <v>120000</v>
      </c>
      <c r="E69" s="1004"/>
      <c r="F69" s="1005">
        <f t="shared" si="5"/>
        <v>120000</v>
      </c>
      <c r="H69" s="1004"/>
      <c r="I69" s="1005">
        <f t="shared" si="6"/>
        <v>120000</v>
      </c>
      <c r="J69" s="1010"/>
      <c r="K69" s="1004"/>
      <c r="L69" s="1005">
        <f t="shared" si="7"/>
        <v>120000</v>
      </c>
      <c r="M69" s="1010"/>
      <c r="N69" s="1004"/>
      <c r="O69" s="1005">
        <f t="shared" si="8"/>
        <v>120000</v>
      </c>
      <c r="P69" s="1006" t="str">
        <f t="shared" si="9"/>
        <v>OK!</v>
      </c>
    </row>
    <row r="70" spans="1:16" x14ac:dyDescent="0.2">
      <c r="A70" s="1036" t="s">
        <v>2270</v>
      </c>
      <c r="B70" s="1004" t="s">
        <v>2276</v>
      </c>
      <c r="C70" s="1004">
        <v>63000</v>
      </c>
      <c r="E70" s="1004"/>
      <c r="F70" s="1005">
        <f t="shared" si="5"/>
        <v>63000</v>
      </c>
      <c r="H70" s="1004"/>
      <c r="I70" s="1005">
        <f t="shared" si="6"/>
        <v>63000</v>
      </c>
      <c r="J70" s="1010"/>
      <c r="K70" s="1004"/>
      <c r="L70" s="1005">
        <f t="shared" si="7"/>
        <v>63000</v>
      </c>
      <c r="M70" s="1010"/>
      <c r="N70" s="1004"/>
      <c r="O70" s="1005">
        <f t="shared" si="8"/>
        <v>63000</v>
      </c>
      <c r="P70" s="1006" t="str">
        <f t="shared" si="9"/>
        <v>OK!</v>
      </c>
    </row>
    <row r="71" spans="1:16" x14ac:dyDescent="0.2">
      <c r="A71" s="1036" t="s">
        <v>2277</v>
      </c>
      <c r="B71" s="1004" t="s">
        <v>2278</v>
      </c>
      <c r="C71" s="1004">
        <v>442749</v>
      </c>
      <c r="E71" s="1004"/>
      <c r="F71" s="1005">
        <f t="shared" si="5"/>
        <v>442749</v>
      </c>
      <c r="H71" s="1004"/>
      <c r="I71" s="1005">
        <f t="shared" si="6"/>
        <v>442749</v>
      </c>
      <c r="J71" s="1010"/>
      <c r="K71" s="1004"/>
      <c r="L71" s="1005">
        <f t="shared" si="7"/>
        <v>442749</v>
      </c>
      <c r="M71" s="1010"/>
      <c r="N71" s="1004"/>
      <c r="O71" s="1005">
        <f t="shared" si="8"/>
        <v>442749</v>
      </c>
      <c r="P71" s="1006" t="str">
        <f t="shared" si="9"/>
        <v>OK!</v>
      </c>
    </row>
    <row r="72" spans="1:16" x14ac:dyDescent="0.2">
      <c r="A72" s="1036" t="s">
        <v>2279</v>
      </c>
      <c r="B72" s="1004" t="s">
        <v>2286</v>
      </c>
      <c r="C72" s="1004">
        <v>13200</v>
      </c>
      <c r="E72" s="1004"/>
      <c r="F72" s="1005">
        <f t="shared" si="5"/>
        <v>13200</v>
      </c>
      <c r="H72" s="1004"/>
      <c r="I72" s="1005">
        <f t="shared" si="6"/>
        <v>13200</v>
      </c>
      <c r="J72" s="1010"/>
      <c r="K72" s="1004"/>
      <c r="L72" s="1005">
        <f t="shared" si="7"/>
        <v>13200</v>
      </c>
      <c r="M72" s="1010"/>
      <c r="N72" s="1004"/>
      <c r="O72" s="1005">
        <f t="shared" si="8"/>
        <v>13200</v>
      </c>
      <c r="P72" s="1006" t="str">
        <f t="shared" si="9"/>
        <v>OK!</v>
      </c>
    </row>
    <row r="73" spans="1:16" x14ac:dyDescent="0.2">
      <c r="A73" s="1036" t="s">
        <v>2280</v>
      </c>
      <c r="B73" s="1004" t="s">
        <v>2287</v>
      </c>
      <c r="C73" s="1004">
        <v>7300</v>
      </c>
      <c r="E73" s="1004"/>
      <c r="F73" s="1005">
        <f t="shared" si="5"/>
        <v>7300</v>
      </c>
      <c r="H73" s="1004"/>
      <c r="I73" s="1005">
        <f t="shared" si="6"/>
        <v>7300</v>
      </c>
      <c r="J73" s="1010"/>
      <c r="K73" s="1004"/>
      <c r="L73" s="1005">
        <f t="shared" si="7"/>
        <v>7300</v>
      </c>
      <c r="M73" s="1010"/>
      <c r="N73" s="1004"/>
      <c r="O73" s="1005">
        <f t="shared" si="8"/>
        <v>7300</v>
      </c>
      <c r="P73" s="1006" t="str">
        <f t="shared" si="9"/>
        <v>OK!</v>
      </c>
    </row>
    <row r="74" spans="1:16" x14ac:dyDescent="0.2">
      <c r="A74" s="1036" t="s">
        <v>2281</v>
      </c>
      <c r="B74" s="1004" t="s">
        <v>2288</v>
      </c>
      <c r="C74" s="1004">
        <v>1800</v>
      </c>
      <c r="E74" s="1004"/>
      <c r="F74" s="1005">
        <f t="shared" si="5"/>
        <v>1800</v>
      </c>
      <c r="H74" s="1004"/>
      <c r="I74" s="1005">
        <f t="shared" si="6"/>
        <v>1800</v>
      </c>
      <c r="J74" s="1010"/>
      <c r="K74" s="1004"/>
      <c r="L74" s="1005">
        <f t="shared" si="7"/>
        <v>1800</v>
      </c>
      <c r="M74" s="1010"/>
      <c r="N74" s="1004"/>
      <c r="O74" s="1005">
        <f t="shared" si="8"/>
        <v>1800</v>
      </c>
      <c r="P74" s="1006" t="str">
        <f t="shared" si="9"/>
        <v>OK!</v>
      </c>
    </row>
    <row r="75" spans="1:16" x14ac:dyDescent="0.2">
      <c r="A75" s="1036" t="s">
        <v>2282</v>
      </c>
      <c r="B75" s="1004" t="s">
        <v>2289</v>
      </c>
      <c r="C75" s="1004">
        <v>17190</v>
      </c>
      <c r="E75" s="1004"/>
      <c r="F75" s="1005">
        <f t="shared" si="5"/>
        <v>17190</v>
      </c>
      <c r="H75" s="1004"/>
      <c r="I75" s="1005">
        <f t="shared" si="6"/>
        <v>17190</v>
      </c>
      <c r="J75" s="1010"/>
      <c r="K75" s="1004"/>
      <c r="L75" s="1005">
        <f t="shared" si="7"/>
        <v>17190</v>
      </c>
      <c r="M75" s="1010"/>
      <c r="N75" s="1004"/>
      <c r="O75" s="1005">
        <f t="shared" si="8"/>
        <v>17190</v>
      </c>
      <c r="P75" s="1006" t="str">
        <f t="shared" si="9"/>
        <v>OK!</v>
      </c>
    </row>
    <row r="76" spans="1:16" x14ac:dyDescent="0.2">
      <c r="A76" s="1036" t="s">
        <v>2283</v>
      </c>
      <c r="B76" s="1004" t="s">
        <v>1935</v>
      </c>
      <c r="C76" s="1004">
        <v>180000</v>
      </c>
      <c r="E76" s="1004"/>
      <c r="F76" s="1005">
        <f t="shared" si="5"/>
        <v>180000</v>
      </c>
      <c r="H76" s="1004"/>
      <c r="I76" s="1005">
        <f t="shared" si="6"/>
        <v>180000</v>
      </c>
      <c r="J76" s="1010"/>
      <c r="K76" s="1004"/>
      <c r="L76" s="1005">
        <f t="shared" si="7"/>
        <v>180000</v>
      </c>
      <c r="M76" s="1010"/>
      <c r="N76" s="1004"/>
      <c r="O76" s="1005">
        <f t="shared" si="8"/>
        <v>180000</v>
      </c>
      <c r="P76" s="1006" t="str">
        <f t="shared" si="9"/>
        <v>OK!</v>
      </c>
    </row>
    <row r="77" spans="1:16" x14ac:dyDescent="0.2">
      <c r="A77" s="1036" t="s">
        <v>2284</v>
      </c>
      <c r="B77" s="1004" t="s">
        <v>2290</v>
      </c>
      <c r="C77" s="1004">
        <v>55880</v>
      </c>
      <c r="E77" s="1004"/>
      <c r="F77" s="1005">
        <f t="shared" si="5"/>
        <v>55880</v>
      </c>
      <c r="H77" s="1004"/>
      <c r="I77" s="1005">
        <f t="shared" si="6"/>
        <v>55880</v>
      </c>
      <c r="J77" s="1010"/>
      <c r="K77" s="1004"/>
      <c r="L77" s="1005">
        <f t="shared" si="7"/>
        <v>55880</v>
      </c>
      <c r="M77" s="1010"/>
      <c r="N77" s="1004"/>
      <c r="O77" s="1005">
        <f t="shared" si="8"/>
        <v>55880</v>
      </c>
      <c r="P77" s="1006" t="str">
        <f t="shared" si="9"/>
        <v>OK!</v>
      </c>
    </row>
    <row r="78" spans="1:16" x14ac:dyDescent="0.2">
      <c r="A78" s="1036" t="s">
        <v>2285</v>
      </c>
      <c r="B78" s="1004" t="s">
        <v>2291</v>
      </c>
      <c r="C78" s="1004">
        <v>155981</v>
      </c>
      <c r="E78" s="1004"/>
      <c r="F78" s="1005">
        <f t="shared" si="5"/>
        <v>155981</v>
      </c>
      <c r="H78" s="1004"/>
      <c r="I78" s="1005">
        <f t="shared" si="6"/>
        <v>155981</v>
      </c>
      <c r="J78" s="1010"/>
      <c r="K78" s="1004"/>
      <c r="L78" s="1005">
        <f t="shared" si="7"/>
        <v>155981</v>
      </c>
      <c r="M78" s="1010"/>
      <c r="N78" s="1004"/>
      <c r="O78" s="1005">
        <f t="shared" si="8"/>
        <v>155981</v>
      </c>
      <c r="P78" s="1006" t="str">
        <f t="shared" si="9"/>
        <v>OK!</v>
      </c>
    </row>
    <row r="79" spans="1:16" x14ac:dyDescent="0.2">
      <c r="A79" s="1036" t="s">
        <v>2277</v>
      </c>
      <c r="B79" s="1004" t="s">
        <v>2292</v>
      </c>
      <c r="C79" s="1004">
        <v>795751</v>
      </c>
      <c r="E79" s="1004"/>
      <c r="F79" s="1005">
        <f t="shared" si="5"/>
        <v>795751</v>
      </c>
      <c r="H79" s="1004"/>
      <c r="I79" s="1005">
        <f t="shared" si="6"/>
        <v>795751</v>
      </c>
      <c r="J79" s="1010"/>
      <c r="K79" s="1004"/>
      <c r="L79" s="1005">
        <f t="shared" si="7"/>
        <v>795751</v>
      </c>
      <c r="M79" s="1010"/>
      <c r="N79" s="1004"/>
      <c r="O79" s="1005">
        <f t="shared" si="8"/>
        <v>795751</v>
      </c>
      <c r="P79" s="1006" t="str">
        <f t="shared" si="9"/>
        <v>OK!</v>
      </c>
    </row>
    <row r="80" spans="1:16" x14ac:dyDescent="0.2">
      <c r="A80" s="1036" t="s">
        <v>2293</v>
      </c>
      <c r="B80" s="1004" t="s">
        <v>2294</v>
      </c>
      <c r="C80" s="1004">
        <v>45000</v>
      </c>
      <c r="E80" s="1004"/>
      <c r="F80" s="1005">
        <f t="shared" si="5"/>
        <v>45000</v>
      </c>
      <c r="H80" s="1004"/>
      <c r="I80" s="1005">
        <f t="shared" si="6"/>
        <v>45000</v>
      </c>
      <c r="J80" s="1010"/>
      <c r="K80" s="1004"/>
      <c r="L80" s="1005">
        <f t="shared" si="7"/>
        <v>45000</v>
      </c>
      <c r="M80" s="1010"/>
      <c r="N80" s="1004"/>
      <c r="O80" s="1005">
        <f t="shared" si="8"/>
        <v>45000</v>
      </c>
      <c r="P80" s="1006" t="str">
        <f t="shared" si="9"/>
        <v>OK!</v>
      </c>
    </row>
    <row r="81" spans="1:17" x14ac:dyDescent="0.2">
      <c r="A81" s="1036" t="s">
        <v>2295</v>
      </c>
      <c r="B81" s="1004" t="s">
        <v>2296</v>
      </c>
      <c r="C81" s="1004">
        <v>375737</v>
      </c>
      <c r="E81" s="1004"/>
      <c r="F81" s="1005">
        <f t="shared" si="5"/>
        <v>375737</v>
      </c>
      <c r="H81" s="1004"/>
      <c r="I81" s="1005">
        <f t="shared" si="6"/>
        <v>375737</v>
      </c>
      <c r="J81" s="1010"/>
      <c r="K81" s="1004"/>
      <c r="L81" s="1005">
        <f t="shared" si="7"/>
        <v>375737</v>
      </c>
      <c r="M81" s="1010"/>
      <c r="N81" s="1004"/>
      <c r="O81" s="1005">
        <f t="shared" si="8"/>
        <v>375737</v>
      </c>
      <c r="P81" s="1006" t="str">
        <f t="shared" si="9"/>
        <v>OK!</v>
      </c>
    </row>
    <row r="82" spans="1:17" x14ac:dyDescent="0.2">
      <c r="A82" s="1036" t="s">
        <v>2297</v>
      </c>
      <c r="B82" s="1004" t="s">
        <v>2298</v>
      </c>
      <c r="C82" s="1004">
        <v>549480</v>
      </c>
      <c r="E82" s="1004"/>
      <c r="F82" s="1005">
        <f t="shared" si="5"/>
        <v>549480</v>
      </c>
      <c r="H82" s="1004"/>
      <c r="I82" s="1005">
        <f t="shared" si="6"/>
        <v>549480</v>
      </c>
      <c r="J82" s="1010"/>
      <c r="K82" s="1004"/>
      <c r="L82" s="1005">
        <f t="shared" si="7"/>
        <v>549480</v>
      </c>
      <c r="M82" s="1010"/>
      <c r="N82" s="1004"/>
      <c r="O82" s="1005">
        <f t="shared" si="8"/>
        <v>549480</v>
      </c>
      <c r="P82" s="1006" t="str">
        <f t="shared" si="9"/>
        <v>OK!</v>
      </c>
    </row>
    <row r="83" spans="1:17" x14ac:dyDescent="0.2">
      <c r="A83" s="1036" t="s">
        <v>2299</v>
      </c>
      <c r="B83" s="1004" t="s">
        <v>2300</v>
      </c>
      <c r="C83" s="1004">
        <v>303381</v>
      </c>
      <c r="E83" s="1004"/>
      <c r="F83" s="1005">
        <f t="shared" si="5"/>
        <v>303381</v>
      </c>
      <c r="H83" s="1004"/>
      <c r="I83" s="1005">
        <f t="shared" si="6"/>
        <v>303381</v>
      </c>
      <c r="J83" s="1010"/>
      <c r="K83" s="1004"/>
      <c r="L83" s="1005">
        <f t="shared" si="7"/>
        <v>303381</v>
      </c>
      <c r="M83" s="1010"/>
      <c r="N83" s="1004"/>
      <c r="O83" s="1005">
        <f t="shared" si="8"/>
        <v>303381</v>
      </c>
      <c r="P83" s="1006" t="str">
        <f t="shared" si="9"/>
        <v>OK!</v>
      </c>
    </row>
    <row r="84" spans="1:17" x14ac:dyDescent="0.2">
      <c r="A84" s="1036" t="s">
        <v>2301</v>
      </c>
      <c r="B84" s="1004" t="s">
        <v>2317</v>
      </c>
      <c r="C84" s="1004">
        <v>1692660</v>
      </c>
      <c r="E84" s="1004"/>
      <c r="F84" s="1005">
        <f t="shared" si="5"/>
        <v>1692660</v>
      </c>
      <c r="H84" s="1004"/>
      <c r="I84" s="1005">
        <f t="shared" si="6"/>
        <v>1692660</v>
      </c>
      <c r="J84" s="1010"/>
      <c r="K84" s="1004">
        <v>1692660</v>
      </c>
      <c r="L84" s="1005">
        <f t="shared" si="7"/>
        <v>0</v>
      </c>
      <c r="M84" s="1010"/>
      <c r="N84" s="1004"/>
      <c r="O84" s="1005">
        <f t="shared" si="8"/>
        <v>0</v>
      </c>
      <c r="P84" s="1006" t="str">
        <f t="shared" si="9"/>
        <v>OK!</v>
      </c>
    </row>
    <row r="85" spans="1:17" x14ac:dyDescent="0.2">
      <c r="A85" s="1036" t="s">
        <v>2302</v>
      </c>
      <c r="B85" s="1004" t="s">
        <v>2309</v>
      </c>
      <c r="C85" s="1004">
        <v>10050</v>
      </c>
      <c r="E85" s="1004"/>
      <c r="F85" s="1005">
        <f t="shared" si="5"/>
        <v>10050</v>
      </c>
      <c r="H85" s="1004"/>
      <c r="I85" s="1005">
        <f t="shared" si="6"/>
        <v>10050</v>
      </c>
      <c r="J85" s="1010"/>
      <c r="K85" s="1004"/>
      <c r="L85" s="1005">
        <f t="shared" si="7"/>
        <v>10050</v>
      </c>
      <c r="M85" s="1010"/>
      <c r="N85" s="1004"/>
      <c r="O85" s="1005">
        <f t="shared" si="8"/>
        <v>10050</v>
      </c>
      <c r="P85" s="1006" t="str">
        <f t="shared" si="9"/>
        <v>OK!</v>
      </c>
    </row>
    <row r="86" spans="1:17" x14ac:dyDescent="0.2">
      <c r="A86" s="1036" t="s">
        <v>2303</v>
      </c>
      <c r="B86" s="1004" t="s">
        <v>2310</v>
      </c>
      <c r="C86" s="1004">
        <v>100000</v>
      </c>
      <c r="E86" s="1004"/>
      <c r="F86" s="1005">
        <f t="shared" si="5"/>
        <v>100000</v>
      </c>
      <c r="H86" s="1004"/>
      <c r="I86" s="1005">
        <f t="shared" si="6"/>
        <v>100000</v>
      </c>
      <c r="J86" s="1010"/>
      <c r="K86" s="1004"/>
      <c r="L86" s="1005">
        <f t="shared" si="7"/>
        <v>100000</v>
      </c>
      <c r="M86" s="1010"/>
      <c r="N86" s="1004"/>
      <c r="O86" s="1005">
        <f t="shared" si="8"/>
        <v>100000</v>
      </c>
      <c r="P86" s="1006" t="str">
        <f t="shared" si="9"/>
        <v>OK!</v>
      </c>
    </row>
    <row r="87" spans="1:17" x14ac:dyDescent="0.2">
      <c r="A87" s="1036" t="s">
        <v>2304</v>
      </c>
      <c r="B87" s="1004" t="s">
        <v>2316</v>
      </c>
      <c r="C87" s="1004">
        <v>26870</v>
      </c>
      <c r="E87" s="1004"/>
      <c r="F87" s="1005">
        <f t="shared" si="5"/>
        <v>26870</v>
      </c>
      <c r="H87" s="1004"/>
      <c r="I87" s="1005">
        <f t="shared" si="6"/>
        <v>26870</v>
      </c>
      <c r="J87" s="1010"/>
      <c r="K87" s="1004"/>
      <c r="L87" s="1005">
        <f t="shared" si="7"/>
        <v>26870</v>
      </c>
      <c r="M87" s="1010"/>
      <c r="N87" s="1004"/>
      <c r="O87" s="1005">
        <f t="shared" si="8"/>
        <v>26870</v>
      </c>
      <c r="P87" s="1006" t="str">
        <f t="shared" si="9"/>
        <v>OK!</v>
      </c>
    </row>
    <row r="88" spans="1:17" x14ac:dyDescent="0.2">
      <c r="A88" s="1036" t="s">
        <v>2305</v>
      </c>
      <c r="B88" s="1004" t="s">
        <v>2311</v>
      </c>
      <c r="C88" s="1004">
        <v>24850</v>
      </c>
      <c r="E88" s="1004"/>
      <c r="F88" s="1005">
        <f t="shared" si="5"/>
        <v>24850</v>
      </c>
      <c r="H88" s="1004"/>
      <c r="I88" s="1005">
        <f t="shared" si="6"/>
        <v>24850</v>
      </c>
      <c r="J88" s="1010"/>
      <c r="K88" s="1004"/>
      <c r="L88" s="1005">
        <f t="shared" si="7"/>
        <v>24850</v>
      </c>
      <c r="M88" s="1010"/>
      <c r="N88" s="1004"/>
      <c r="O88" s="1005">
        <f t="shared" si="8"/>
        <v>24850</v>
      </c>
      <c r="P88" s="1006" t="str">
        <f t="shared" si="9"/>
        <v>OK!</v>
      </c>
    </row>
    <row r="89" spans="1:17" x14ac:dyDescent="0.2">
      <c r="A89" s="1036" t="s">
        <v>2299</v>
      </c>
      <c r="B89" s="1004" t="s">
        <v>2315</v>
      </c>
      <c r="C89" s="1004">
        <v>400307</v>
      </c>
      <c r="E89" s="1004"/>
      <c r="F89" s="1005">
        <f t="shared" si="5"/>
        <v>400307</v>
      </c>
      <c r="H89" s="1004"/>
      <c r="I89" s="1005">
        <f t="shared" si="6"/>
        <v>400307</v>
      </c>
      <c r="J89" s="1010"/>
      <c r="K89" s="1004"/>
      <c r="L89" s="1005">
        <f t="shared" si="7"/>
        <v>400307</v>
      </c>
      <c r="M89" s="1010"/>
      <c r="N89" s="1004"/>
      <c r="O89" s="1005">
        <f t="shared" si="8"/>
        <v>400307</v>
      </c>
      <c r="P89" s="1006" t="str">
        <f t="shared" si="9"/>
        <v>OK!</v>
      </c>
    </row>
    <row r="90" spans="1:17" x14ac:dyDescent="0.2">
      <c r="A90" s="1036" t="s">
        <v>2306</v>
      </c>
      <c r="B90" s="1004" t="s">
        <v>2312</v>
      </c>
      <c r="C90" s="1004">
        <v>224000</v>
      </c>
      <c r="E90" s="1004"/>
      <c r="F90" s="1005">
        <f t="shared" si="5"/>
        <v>224000</v>
      </c>
      <c r="H90" s="1004"/>
      <c r="I90" s="1005">
        <f t="shared" si="6"/>
        <v>224000</v>
      </c>
      <c r="J90" s="1010"/>
      <c r="K90" s="1004"/>
      <c r="L90" s="1005">
        <f t="shared" si="7"/>
        <v>224000</v>
      </c>
      <c r="M90" s="1010"/>
      <c r="N90" s="1004"/>
      <c r="O90" s="1005">
        <f t="shared" si="8"/>
        <v>224000</v>
      </c>
      <c r="P90" s="1006" t="str">
        <f t="shared" si="9"/>
        <v>OK!</v>
      </c>
    </row>
    <row r="91" spans="1:17" x14ac:dyDescent="0.2">
      <c r="A91" s="1036" t="s">
        <v>2307</v>
      </c>
      <c r="B91" s="1004" t="s">
        <v>2313</v>
      </c>
      <c r="C91" s="1004">
        <v>112000</v>
      </c>
      <c r="E91" s="1004"/>
      <c r="F91" s="1005">
        <f t="shared" si="5"/>
        <v>112000</v>
      </c>
      <c r="H91" s="1004"/>
      <c r="I91" s="1005">
        <f t="shared" si="6"/>
        <v>112000</v>
      </c>
      <c r="J91" s="1010"/>
      <c r="K91" s="1004"/>
      <c r="L91" s="1005">
        <f t="shared" si="7"/>
        <v>112000</v>
      </c>
      <c r="M91" s="1010"/>
      <c r="N91" s="1004"/>
      <c r="O91" s="1005">
        <f t="shared" si="8"/>
        <v>112000</v>
      </c>
      <c r="P91" s="1006" t="str">
        <f t="shared" si="9"/>
        <v>OK!</v>
      </c>
    </row>
    <row r="92" spans="1:17" x14ac:dyDescent="0.2">
      <c r="A92" s="1036" t="s">
        <v>2308</v>
      </c>
      <c r="B92" s="1004" t="s">
        <v>2314</v>
      </c>
      <c r="C92" s="1004">
        <v>10162</v>
      </c>
      <c r="E92" s="1004"/>
      <c r="F92" s="1005">
        <f t="shared" si="5"/>
        <v>10162</v>
      </c>
      <c r="H92" s="1004"/>
      <c r="I92" s="1005">
        <f t="shared" si="6"/>
        <v>10162</v>
      </c>
      <c r="J92" s="1010"/>
      <c r="K92" s="1004"/>
      <c r="L92" s="1005">
        <f t="shared" si="7"/>
        <v>10162</v>
      </c>
      <c r="M92" s="1010"/>
      <c r="N92" s="1004"/>
      <c r="O92" s="1005">
        <f>L92-N92</f>
        <v>10162</v>
      </c>
      <c r="P92" s="1006" t="str">
        <f t="shared" si="9"/>
        <v>OK!</v>
      </c>
      <c r="Q92" s="1007">
        <v>94063024</v>
      </c>
    </row>
    <row r="93" spans="1:17" x14ac:dyDescent="0.2">
      <c r="A93" s="1036" t="s">
        <v>2318</v>
      </c>
      <c r="B93" s="1004" t="s">
        <v>2377</v>
      </c>
      <c r="C93" s="1004">
        <v>407280</v>
      </c>
      <c r="E93" s="1004"/>
      <c r="F93" s="1005">
        <f t="shared" si="5"/>
        <v>407280</v>
      </c>
      <c r="H93" s="1004"/>
      <c r="I93" s="1005">
        <f t="shared" si="6"/>
        <v>407280</v>
      </c>
      <c r="J93" s="1010"/>
      <c r="K93" s="1004"/>
      <c r="L93" s="1005">
        <f t="shared" si="7"/>
        <v>407280</v>
      </c>
      <c r="M93" s="1010"/>
      <c r="N93" s="1004"/>
      <c r="O93" s="1005">
        <f t="shared" si="8"/>
        <v>407280</v>
      </c>
      <c r="P93" s="1006" t="str">
        <f t="shared" si="9"/>
        <v>OK!</v>
      </c>
    </row>
    <row r="94" spans="1:17" x14ac:dyDescent="0.2">
      <c r="A94" s="1036" t="s">
        <v>2318</v>
      </c>
      <c r="B94" s="1004" t="s">
        <v>2377</v>
      </c>
      <c r="C94" s="1004">
        <v>358206</v>
      </c>
      <c r="E94" s="1004"/>
      <c r="F94" s="1005">
        <f t="shared" si="5"/>
        <v>358206</v>
      </c>
      <c r="H94" s="1004"/>
      <c r="I94" s="1005">
        <f t="shared" si="6"/>
        <v>358206</v>
      </c>
      <c r="J94" s="1010"/>
      <c r="K94" s="1004"/>
      <c r="L94" s="1005">
        <f t="shared" si="7"/>
        <v>358206</v>
      </c>
      <c r="M94" s="1010"/>
      <c r="N94" s="1004"/>
      <c r="O94" s="1005">
        <f t="shared" si="8"/>
        <v>358206</v>
      </c>
      <c r="P94" s="1006" t="str">
        <f t="shared" si="9"/>
        <v>OK!</v>
      </c>
    </row>
    <row r="95" spans="1:17" x14ac:dyDescent="0.2">
      <c r="A95" s="1036" t="s">
        <v>2318</v>
      </c>
      <c r="B95" s="1004" t="s">
        <v>2377</v>
      </c>
      <c r="C95" s="1004">
        <v>18000</v>
      </c>
      <c r="E95" s="1004"/>
      <c r="F95" s="1005">
        <f t="shared" si="5"/>
        <v>18000</v>
      </c>
      <c r="H95" s="1004"/>
      <c r="I95" s="1005">
        <f t="shared" si="6"/>
        <v>18000</v>
      </c>
      <c r="J95" s="1010"/>
      <c r="K95" s="1004"/>
      <c r="L95" s="1005">
        <f t="shared" si="7"/>
        <v>18000</v>
      </c>
      <c r="M95" s="1010"/>
      <c r="N95" s="1004"/>
      <c r="O95" s="1005">
        <f t="shared" si="8"/>
        <v>18000</v>
      </c>
      <c r="P95" s="1006" t="str">
        <f t="shared" si="9"/>
        <v>OK!</v>
      </c>
    </row>
    <row r="96" spans="1:17" x14ac:dyDescent="0.2">
      <c r="A96" s="1036" t="s">
        <v>2318</v>
      </c>
      <c r="B96" s="1004" t="s">
        <v>2378</v>
      </c>
      <c r="C96" s="1004">
        <v>76320</v>
      </c>
      <c r="E96" s="1004"/>
      <c r="F96" s="1005">
        <f t="shared" si="5"/>
        <v>76320</v>
      </c>
      <c r="H96" s="1004"/>
      <c r="I96" s="1005">
        <f t="shared" si="6"/>
        <v>76320</v>
      </c>
      <c r="J96" s="1010"/>
      <c r="K96" s="1004"/>
      <c r="L96" s="1005">
        <f t="shared" si="7"/>
        <v>76320</v>
      </c>
      <c r="M96" s="1010"/>
      <c r="N96" s="1004"/>
      <c r="O96" s="1005">
        <f t="shared" si="8"/>
        <v>76320</v>
      </c>
      <c r="P96" s="1006" t="str">
        <f t="shared" si="9"/>
        <v>OK!</v>
      </c>
    </row>
    <row r="97" spans="1:16" x14ac:dyDescent="0.2">
      <c r="A97" s="1036" t="s">
        <v>2319</v>
      </c>
      <c r="B97" s="1004" t="s">
        <v>2379</v>
      </c>
      <c r="C97" s="1004">
        <v>324000</v>
      </c>
      <c r="E97" s="1004"/>
      <c r="F97" s="1005">
        <f t="shared" si="5"/>
        <v>324000</v>
      </c>
      <c r="H97" s="1004"/>
      <c r="I97" s="1005">
        <f t="shared" si="6"/>
        <v>324000</v>
      </c>
      <c r="J97" s="1010"/>
      <c r="K97" s="1004"/>
      <c r="L97" s="1005">
        <f t="shared" si="7"/>
        <v>324000</v>
      </c>
      <c r="M97" s="1010"/>
      <c r="N97" s="1004"/>
      <c r="O97" s="1005">
        <f t="shared" si="8"/>
        <v>324000</v>
      </c>
      <c r="P97" s="1006" t="str">
        <f t="shared" si="9"/>
        <v>OK!</v>
      </c>
    </row>
    <row r="98" spans="1:16" x14ac:dyDescent="0.2">
      <c r="A98" s="1036" t="s">
        <v>2320</v>
      </c>
      <c r="B98" s="1004" t="s">
        <v>2380</v>
      </c>
      <c r="C98" s="1004">
        <v>3600</v>
      </c>
      <c r="E98" s="1004"/>
      <c r="F98" s="1005">
        <f t="shared" si="5"/>
        <v>3600</v>
      </c>
      <c r="H98" s="1004"/>
      <c r="I98" s="1005">
        <f t="shared" si="6"/>
        <v>3600</v>
      </c>
      <c r="J98" s="1010"/>
      <c r="K98" s="1004"/>
      <c r="L98" s="1005">
        <f t="shared" si="7"/>
        <v>3600</v>
      </c>
      <c r="M98" s="1010"/>
      <c r="N98" s="1004"/>
      <c r="O98" s="1005">
        <f t="shared" si="8"/>
        <v>3600</v>
      </c>
      <c r="P98" s="1006" t="str">
        <f t="shared" si="9"/>
        <v>OK!</v>
      </c>
    </row>
    <row r="99" spans="1:16" x14ac:dyDescent="0.2">
      <c r="A99" s="1036" t="s">
        <v>2321</v>
      </c>
      <c r="B99" s="1004" t="s">
        <v>2381</v>
      </c>
      <c r="C99" s="1004">
        <v>4450</v>
      </c>
      <c r="E99" s="1004"/>
      <c r="F99" s="1005">
        <f t="shared" si="5"/>
        <v>4450</v>
      </c>
      <c r="H99" s="1004"/>
      <c r="I99" s="1005">
        <f t="shared" si="6"/>
        <v>4450</v>
      </c>
      <c r="J99" s="1010"/>
      <c r="K99" s="1004"/>
      <c r="L99" s="1005">
        <f t="shared" si="7"/>
        <v>4450</v>
      </c>
      <c r="M99" s="1010"/>
      <c r="N99" s="1004"/>
      <c r="O99" s="1005">
        <f t="shared" si="8"/>
        <v>4450</v>
      </c>
      <c r="P99" s="1006" t="str">
        <f t="shared" si="9"/>
        <v>OK!</v>
      </c>
    </row>
    <row r="100" spans="1:16" x14ac:dyDescent="0.2">
      <c r="A100" s="1036" t="s">
        <v>2322</v>
      </c>
      <c r="B100" s="1004" t="s">
        <v>2382</v>
      </c>
      <c r="C100" s="1004">
        <v>1500</v>
      </c>
      <c r="E100" s="1004"/>
      <c r="F100" s="1005">
        <f t="shared" si="5"/>
        <v>1500</v>
      </c>
      <c r="H100" s="1004"/>
      <c r="I100" s="1005">
        <f t="shared" si="6"/>
        <v>1500</v>
      </c>
      <c r="J100" s="1010"/>
      <c r="K100" s="1004"/>
      <c r="L100" s="1005">
        <f t="shared" si="7"/>
        <v>1500</v>
      </c>
      <c r="M100" s="1010"/>
      <c r="N100" s="1004"/>
      <c r="O100" s="1005">
        <f t="shared" si="8"/>
        <v>1500</v>
      </c>
      <c r="P100" s="1006" t="str">
        <f t="shared" si="9"/>
        <v>OK!</v>
      </c>
    </row>
    <row r="101" spans="1:16" x14ac:dyDescent="0.2">
      <c r="A101" s="1036" t="s">
        <v>1936</v>
      </c>
      <c r="B101" s="1004" t="s">
        <v>2383</v>
      </c>
      <c r="C101" s="1004">
        <v>1800</v>
      </c>
      <c r="E101" s="1004"/>
      <c r="F101" s="1005">
        <f t="shared" si="5"/>
        <v>1800</v>
      </c>
      <c r="H101" s="1004"/>
      <c r="I101" s="1005">
        <f t="shared" si="6"/>
        <v>1800</v>
      </c>
      <c r="J101" s="1010"/>
      <c r="K101" s="1004"/>
      <c r="L101" s="1005">
        <f t="shared" si="7"/>
        <v>1800</v>
      </c>
      <c r="M101" s="1010"/>
      <c r="N101" s="1004"/>
      <c r="O101" s="1005">
        <f t="shared" si="8"/>
        <v>1800</v>
      </c>
      <c r="P101" s="1006" t="str">
        <f t="shared" si="9"/>
        <v>OK!</v>
      </c>
    </row>
    <row r="102" spans="1:16" x14ac:dyDescent="0.2">
      <c r="A102" s="1036" t="s">
        <v>2323</v>
      </c>
      <c r="B102" s="1004" t="s">
        <v>2384</v>
      </c>
      <c r="C102" s="1004">
        <v>35040</v>
      </c>
      <c r="E102" s="1004"/>
      <c r="F102" s="1005">
        <f t="shared" ref="F102:F149" si="10">C102-E102</f>
        <v>35040</v>
      </c>
      <c r="H102" s="1004"/>
      <c r="I102" s="1005">
        <f t="shared" si="6"/>
        <v>35040</v>
      </c>
      <c r="J102" s="1010"/>
      <c r="K102" s="1004"/>
      <c r="L102" s="1005">
        <f t="shared" si="7"/>
        <v>35040</v>
      </c>
      <c r="M102" s="1010"/>
      <c r="N102" s="1004"/>
      <c r="O102" s="1005">
        <f t="shared" si="8"/>
        <v>35040</v>
      </c>
      <c r="P102" s="1006" t="str">
        <f t="shared" si="9"/>
        <v>OK!</v>
      </c>
    </row>
    <row r="103" spans="1:16" x14ac:dyDescent="0.2">
      <c r="A103" s="1036" t="s">
        <v>2324</v>
      </c>
      <c r="B103" s="1004" t="s">
        <v>1937</v>
      </c>
      <c r="C103" s="1004">
        <v>63000</v>
      </c>
      <c r="E103" s="1004"/>
      <c r="F103" s="1005">
        <f t="shared" si="10"/>
        <v>63000</v>
      </c>
      <c r="H103" s="1004"/>
      <c r="I103" s="1005">
        <f t="shared" si="6"/>
        <v>63000</v>
      </c>
      <c r="J103" s="1010"/>
      <c r="K103" s="1004"/>
      <c r="L103" s="1005">
        <f t="shared" si="7"/>
        <v>63000</v>
      </c>
      <c r="M103" s="1010"/>
      <c r="N103" s="1004"/>
      <c r="O103" s="1005">
        <f t="shared" si="8"/>
        <v>63000</v>
      </c>
      <c r="P103" s="1006" t="str">
        <f t="shared" si="9"/>
        <v>OK!</v>
      </c>
    </row>
    <row r="104" spans="1:16" x14ac:dyDescent="0.2">
      <c r="A104" s="1036" t="s">
        <v>2325</v>
      </c>
      <c r="B104" s="1004" t="s">
        <v>1937</v>
      </c>
      <c r="C104" s="1004">
        <v>20000</v>
      </c>
      <c r="E104" s="1004"/>
      <c r="F104" s="1005">
        <f t="shared" si="10"/>
        <v>20000</v>
      </c>
      <c r="H104" s="1004"/>
      <c r="I104" s="1005">
        <f t="shared" si="6"/>
        <v>20000</v>
      </c>
      <c r="J104" s="1010"/>
      <c r="K104" s="1004"/>
      <c r="L104" s="1005">
        <f t="shared" si="7"/>
        <v>20000</v>
      </c>
      <c r="M104" s="1010"/>
      <c r="N104" s="1004"/>
      <c r="O104" s="1005">
        <f t="shared" si="8"/>
        <v>20000</v>
      </c>
      <c r="P104" s="1006" t="str">
        <f t="shared" si="9"/>
        <v>OK!</v>
      </c>
    </row>
    <row r="105" spans="1:16" x14ac:dyDescent="0.2">
      <c r="A105" s="1036" t="s">
        <v>2326</v>
      </c>
      <c r="B105" s="1004" t="s">
        <v>2385</v>
      </c>
      <c r="C105" s="1004">
        <v>13000</v>
      </c>
      <c r="E105" s="1004"/>
      <c r="F105" s="1005">
        <f t="shared" si="10"/>
        <v>13000</v>
      </c>
      <c r="H105" s="1004"/>
      <c r="I105" s="1005">
        <f t="shared" si="6"/>
        <v>13000</v>
      </c>
      <c r="J105" s="1010"/>
      <c r="K105" s="1004"/>
      <c r="L105" s="1005">
        <f t="shared" si="7"/>
        <v>13000</v>
      </c>
      <c r="M105" s="1010"/>
      <c r="N105" s="1004"/>
      <c r="O105" s="1005">
        <f t="shared" si="8"/>
        <v>13000</v>
      </c>
      <c r="P105" s="1006" t="str">
        <f t="shared" si="9"/>
        <v>OK!</v>
      </c>
    </row>
    <row r="106" spans="1:16" x14ac:dyDescent="0.2">
      <c r="A106" s="1036" t="s">
        <v>2327</v>
      </c>
      <c r="B106" s="1004" t="s">
        <v>2386</v>
      </c>
      <c r="C106" s="1004">
        <v>7180</v>
      </c>
      <c r="E106" s="1004"/>
      <c r="F106" s="1005">
        <f t="shared" si="10"/>
        <v>7180</v>
      </c>
      <c r="H106" s="1004"/>
      <c r="I106" s="1005">
        <f t="shared" si="6"/>
        <v>7180</v>
      </c>
      <c r="J106" s="1010"/>
      <c r="K106" s="1004"/>
      <c r="L106" s="1005">
        <f t="shared" si="7"/>
        <v>7180</v>
      </c>
      <c r="M106" s="1010"/>
      <c r="N106" s="1004"/>
      <c r="O106" s="1005">
        <f t="shared" si="8"/>
        <v>7180</v>
      </c>
      <c r="P106" s="1006" t="str">
        <f t="shared" si="9"/>
        <v>OK!</v>
      </c>
    </row>
    <row r="107" spans="1:16" x14ac:dyDescent="0.2">
      <c r="A107" s="1036" t="s">
        <v>2327</v>
      </c>
      <c r="B107" s="1004" t="s">
        <v>2387</v>
      </c>
      <c r="C107" s="1004">
        <v>8380</v>
      </c>
      <c r="E107" s="1004"/>
      <c r="F107" s="1005">
        <f t="shared" si="10"/>
        <v>8380</v>
      </c>
      <c r="H107" s="1004"/>
      <c r="I107" s="1005">
        <f t="shared" si="6"/>
        <v>8380</v>
      </c>
      <c r="J107" s="1010"/>
      <c r="K107" s="1004"/>
      <c r="L107" s="1005">
        <f t="shared" si="7"/>
        <v>8380</v>
      </c>
      <c r="M107" s="1010"/>
      <c r="N107" s="1004"/>
      <c r="O107" s="1005">
        <f t="shared" si="8"/>
        <v>8380</v>
      </c>
      <c r="P107" s="1006" t="str">
        <f t="shared" si="9"/>
        <v>OK!</v>
      </c>
    </row>
    <row r="108" spans="1:16" x14ac:dyDescent="0.2">
      <c r="A108" s="1036" t="s">
        <v>2327</v>
      </c>
      <c r="B108" s="1004" t="s">
        <v>2388</v>
      </c>
      <c r="C108" s="1004">
        <v>5090</v>
      </c>
      <c r="E108" s="1004"/>
      <c r="F108" s="1005">
        <f t="shared" si="10"/>
        <v>5090</v>
      </c>
      <c r="H108" s="1004"/>
      <c r="I108" s="1005">
        <f t="shared" si="6"/>
        <v>5090</v>
      </c>
      <c r="J108" s="1010"/>
      <c r="K108" s="1004"/>
      <c r="L108" s="1005">
        <f t="shared" si="7"/>
        <v>5090</v>
      </c>
      <c r="M108" s="1010"/>
      <c r="N108" s="1004"/>
      <c r="O108" s="1005">
        <f t="shared" si="8"/>
        <v>5090</v>
      </c>
      <c r="P108" s="1006" t="str">
        <f t="shared" si="9"/>
        <v>OK!</v>
      </c>
    </row>
    <row r="109" spans="1:16" x14ac:dyDescent="0.2">
      <c r="A109" s="1036" t="s">
        <v>2327</v>
      </c>
      <c r="B109" s="1004" t="s">
        <v>2389</v>
      </c>
      <c r="C109" s="1004">
        <v>10960</v>
      </c>
      <c r="E109" s="1004"/>
      <c r="F109" s="1005">
        <f t="shared" si="10"/>
        <v>10960</v>
      </c>
      <c r="H109" s="1004"/>
      <c r="I109" s="1005">
        <f t="shared" si="6"/>
        <v>10960</v>
      </c>
      <c r="J109" s="1010"/>
      <c r="K109" s="1004"/>
      <c r="L109" s="1005">
        <f t="shared" si="7"/>
        <v>10960</v>
      </c>
      <c r="M109" s="1010"/>
      <c r="N109" s="1004"/>
      <c r="O109" s="1005">
        <f t="shared" si="8"/>
        <v>10960</v>
      </c>
      <c r="P109" s="1006" t="str">
        <f t="shared" si="9"/>
        <v>OK!</v>
      </c>
    </row>
    <row r="110" spans="1:16" x14ac:dyDescent="0.2">
      <c r="A110" s="1036" t="s">
        <v>2327</v>
      </c>
      <c r="B110" s="1004" t="s">
        <v>2390</v>
      </c>
      <c r="C110" s="1004">
        <v>17970</v>
      </c>
      <c r="E110" s="1004"/>
      <c r="F110" s="1005">
        <f t="shared" si="10"/>
        <v>17970</v>
      </c>
      <c r="H110" s="1004"/>
      <c r="I110" s="1005">
        <f t="shared" si="6"/>
        <v>17970</v>
      </c>
      <c r="J110" s="1010"/>
      <c r="K110" s="1004"/>
      <c r="L110" s="1005">
        <f t="shared" si="7"/>
        <v>17970</v>
      </c>
      <c r="M110" s="1010"/>
      <c r="N110" s="1004"/>
      <c r="O110" s="1005">
        <f t="shared" si="8"/>
        <v>17970</v>
      </c>
      <c r="P110" s="1006" t="str">
        <f t="shared" si="9"/>
        <v>OK!</v>
      </c>
    </row>
    <row r="111" spans="1:16" x14ac:dyDescent="0.2">
      <c r="A111" s="1036" t="s">
        <v>2320</v>
      </c>
      <c r="B111" s="1004" t="s">
        <v>2391</v>
      </c>
      <c r="C111" s="1004">
        <v>5150</v>
      </c>
      <c r="E111" s="1004"/>
      <c r="F111" s="1005">
        <f t="shared" si="10"/>
        <v>5150</v>
      </c>
      <c r="H111" s="1004"/>
      <c r="I111" s="1005">
        <f t="shared" si="6"/>
        <v>5150</v>
      </c>
      <c r="J111" s="1010"/>
      <c r="K111" s="1004"/>
      <c r="L111" s="1005">
        <f t="shared" si="7"/>
        <v>5150</v>
      </c>
      <c r="M111" s="1010"/>
      <c r="N111" s="1004"/>
      <c r="O111" s="1005">
        <f t="shared" si="8"/>
        <v>5150</v>
      </c>
      <c r="P111" s="1006" t="str">
        <f t="shared" si="9"/>
        <v>OK!</v>
      </c>
    </row>
    <row r="112" spans="1:16" x14ac:dyDescent="0.2">
      <c r="A112" s="1036" t="s">
        <v>2326</v>
      </c>
      <c r="B112" s="1004" t="s">
        <v>2392</v>
      </c>
      <c r="C112" s="1004">
        <v>23000</v>
      </c>
      <c r="E112" s="1004"/>
      <c r="F112" s="1005">
        <f t="shared" si="10"/>
        <v>23000</v>
      </c>
      <c r="H112" s="1004"/>
      <c r="I112" s="1005">
        <f t="shared" si="6"/>
        <v>23000</v>
      </c>
      <c r="J112" s="1010"/>
      <c r="K112" s="1004"/>
      <c r="L112" s="1005">
        <f t="shared" si="7"/>
        <v>23000</v>
      </c>
      <c r="M112" s="1010"/>
      <c r="N112" s="1004"/>
      <c r="O112" s="1005">
        <f t="shared" si="8"/>
        <v>23000</v>
      </c>
      <c r="P112" s="1006" t="str">
        <f t="shared" si="9"/>
        <v>OK!</v>
      </c>
    </row>
    <row r="113" spans="1:16" x14ac:dyDescent="0.2">
      <c r="A113" s="1036" t="s">
        <v>2322</v>
      </c>
      <c r="B113" s="1004" t="s">
        <v>2393</v>
      </c>
      <c r="C113" s="1004">
        <v>3600</v>
      </c>
      <c r="E113" s="1004"/>
      <c r="F113" s="1005">
        <f t="shared" si="10"/>
        <v>3600</v>
      </c>
      <c r="H113" s="1004"/>
      <c r="I113" s="1005">
        <f t="shared" si="6"/>
        <v>3600</v>
      </c>
      <c r="J113" s="1010"/>
      <c r="K113" s="1004"/>
      <c r="L113" s="1005">
        <f t="shared" si="7"/>
        <v>3600</v>
      </c>
      <c r="M113" s="1010"/>
      <c r="N113" s="1004"/>
      <c r="O113" s="1005">
        <f t="shared" si="8"/>
        <v>3600</v>
      </c>
      <c r="P113" s="1006" t="str">
        <f t="shared" si="9"/>
        <v>OK!</v>
      </c>
    </row>
    <row r="114" spans="1:16" x14ac:dyDescent="0.2">
      <c r="A114" s="1036" t="s">
        <v>2325</v>
      </c>
      <c r="B114" s="1004" t="s">
        <v>2394</v>
      </c>
      <c r="C114" s="1004">
        <v>391000</v>
      </c>
      <c r="E114" s="1004"/>
      <c r="F114" s="1005">
        <f t="shared" si="10"/>
        <v>391000</v>
      </c>
      <c r="H114" s="1004"/>
      <c r="I114" s="1005">
        <f t="shared" si="6"/>
        <v>391000</v>
      </c>
      <c r="J114" s="1010"/>
      <c r="K114" s="1004"/>
      <c r="L114" s="1005">
        <f t="shared" si="7"/>
        <v>391000</v>
      </c>
      <c r="M114" s="1010"/>
      <c r="N114" s="1004"/>
      <c r="O114" s="1005">
        <f t="shared" si="8"/>
        <v>391000</v>
      </c>
      <c r="P114" s="1006" t="str">
        <f t="shared" si="9"/>
        <v>OK!</v>
      </c>
    </row>
    <row r="115" spans="1:16" x14ac:dyDescent="0.2">
      <c r="A115" s="1036" t="s">
        <v>2325</v>
      </c>
      <c r="B115" s="1004" t="s">
        <v>2395</v>
      </c>
      <c r="C115" s="1004">
        <v>25000</v>
      </c>
      <c r="E115" s="1004"/>
      <c r="F115" s="1005">
        <f t="shared" si="10"/>
        <v>25000</v>
      </c>
      <c r="H115" s="1004"/>
      <c r="I115" s="1005">
        <f t="shared" si="6"/>
        <v>25000</v>
      </c>
      <c r="J115" s="1010"/>
      <c r="K115" s="1004"/>
      <c r="L115" s="1005">
        <f t="shared" si="7"/>
        <v>25000</v>
      </c>
      <c r="M115" s="1010"/>
      <c r="N115" s="1004"/>
      <c r="O115" s="1005">
        <f t="shared" si="8"/>
        <v>25000</v>
      </c>
      <c r="P115" s="1006" t="str">
        <f t="shared" si="9"/>
        <v>OK!</v>
      </c>
    </row>
    <row r="116" spans="1:16" x14ac:dyDescent="0.2">
      <c r="A116" s="1036" t="s">
        <v>2325</v>
      </c>
      <c r="B116" s="1004" t="s">
        <v>1938</v>
      </c>
      <c r="C116" s="1004">
        <v>10000</v>
      </c>
      <c r="E116" s="1004"/>
      <c r="F116" s="1005">
        <f t="shared" si="10"/>
        <v>10000</v>
      </c>
      <c r="H116" s="1004"/>
      <c r="I116" s="1005">
        <f t="shared" si="6"/>
        <v>10000</v>
      </c>
      <c r="J116" s="1010"/>
      <c r="K116" s="1004"/>
      <c r="L116" s="1005">
        <f t="shared" si="7"/>
        <v>10000</v>
      </c>
      <c r="M116" s="1010"/>
      <c r="N116" s="1004"/>
      <c r="O116" s="1005">
        <f t="shared" si="8"/>
        <v>10000</v>
      </c>
      <c r="P116" s="1006" t="str">
        <f t="shared" si="9"/>
        <v>OK!</v>
      </c>
    </row>
    <row r="117" spans="1:16" x14ac:dyDescent="0.2">
      <c r="A117" s="1036" t="s">
        <v>2325</v>
      </c>
      <c r="B117" s="1004" t="s">
        <v>2394</v>
      </c>
      <c r="C117" s="1004">
        <v>119000</v>
      </c>
      <c r="E117" s="1004"/>
      <c r="F117" s="1005">
        <f t="shared" si="10"/>
        <v>119000</v>
      </c>
      <c r="H117" s="1004"/>
      <c r="I117" s="1005">
        <f t="shared" si="6"/>
        <v>119000</v>
      </c>
      <c r="J117" s="1010"/>
      <c r="K117" s="1004"/>
      <c r="L117" s="1005">
        <f t="shared" si="7"/>
        <v>119000</v>
      </c>
      <c r="M117" s="1010"/>
      <c r="N117" s="1004"/>
      <c r="O117" s="1005">
        <f t="shared" si="8"/>
        <v>119000</v>
      </c>
      <c r="P117" s="1006" t="str">
        <f t="shared" si="9"/>
        <v>OK!</v>
      </c>
    </row>
    <row r="118" spans="1:16" x14ac:dyDescent="0.2">
      <c r="A118" s="1036" t="s">
        <v>2328</v>
      </c>
      <c r="B118" s="1004" t="s">
        <v>2396</v>
      </c>
      <c r="C118" s="1004">
        <v>5200</v>
      </c>
      <c r="E118" s="1004"/>
      <c r="F118" s="1005">
        <f t="shared" si="10"/>
        <v>5200</v>
      </c>
      <c r="H118" s="1004"/>
      <c r="I118" s="1005">
        <f t="shared" si="6"/>
        <v>5200</v>
      </c>
      <c r="J118" s="1010"/>
      <c r="K118" s="1004"/>
      <c r="L118" s="1005">
        <f t="shared" si="7"/>
        <v>5200</v>
      </c>
      <c r="M118" s="1010"/>
      <c r="N118" s="1004"/>
      <c r="O118" s="1005">
        <f t="shared" si="8"/>
        <v>5200</v>
      </c>
      <c r="P118" s="1006" t="str">
        <f t="shared" si="9"/>
        <v>OK!</v>
      </c>
    </row>
    <row r="119" spans="1:16" x14ac:dyDescent="0.2">
      <c r="A119" s="1036" t="s">
        <v>2328</v>
      </c>
      <c r="B119" s="1004" t="s">
        <v>2396</v>
      </c>
      <c r="C119" s="1004">
        <v>3780</v>
      </c>
      <c r="E119" s="1004"/>
      <c r="F119" s="1005">
        <f t="shared" si="10"/>
        <v>3780</v>
      </c>
      <c r="H119" s="1004"/>
      <c r="I119" s="1005">
        <f t="shared" si="6"/>
        <v>3780</v>
      </c>
      <c r="J119" s="1010"/>
      <c r="K119" s="1004"/>
      <c r="L119" s="1005">
        <f t="shared" si="7"/>
        <v>3780</v>
      </c>
      <c r="M119" s="1010"/>
      <c r="N119" s="1004"/>
      <c r="O119" s="1005">
        <f t="shared" si="8"/>
        <v>3780</v>
      </c>
      <c r="P119" s="1006" t="str">
        <f t="shared" si="9"/>
        <v>OK!</v>
      </c>
    </row>
    <row r="120" spans="1:16" x14ac:dyDescent="0.2">
      <c r="A120" s="1036" t="s">
        <v>2328</v>
      </c>
      <c r="B120" s="1004" t="s">
        <v>2397</v>
      </c>
      <c r="C120" s="1004">
        <v>2780</v>
      </c>
      <c r="E120" s="1004"/>
      <c r="F120" s="1005">
        <f t="shared" si="10"/>
        <v>2780</v>
      </c>
      <c r="H120" s="1004"/>
      <c r="I120" s="1005">
        <f t="shared" si="6"/>
        <v>2780</v>
      </c>
      <c r="J120" s="1010"/>
      <c r="K120" s="1004"/>
      <c r="L120" s="1005">
        <f t="shared" si="7"/>
        <v>2780</v>
      </c>
      <c r="M120" s="1010"/>
      <c r="N120" s="1004"/>
      <c r="O120" s="1005">
        <f t="shared" si="8"/>
        <v>2780</v>
      </c>
      <c r="P120" s="1006" t="str">
        <f t="shared" si="9"/>
        <v>OK!</v>
      </c>
    </row>
    <row r="121" spans="1:16" x14ac:dyDescent="0.2">
      <c r="A121" s="1036" t="s">
        <v>2328</v>
      </c>
      <c r="B121" s="1004" t="s">
        <v>2398</v>
      </c>
      <c r="C121" s="1004">
        <v>4180</v>
      </c>
      <c r="E121" s="1004"/>
      <c r="F121" s="1005">
        <f t="shared" si="10"/>
        <v>4180</v>
      </c>
      <c r="H121" s="1004"/>
      <c r="I121" s="1005">
        <f t="shared" si="6"/>
        <v>4180</v>
      </c>
      <c r="J121" s="1010"/>
      <c r="K121" s="1004"/>
      <c r="L121" s="1005">
        <f t="shared" si="7"/>
        <v>4180</v>
      </c>
      <c r="M121" s="1010"/>
      <c r="N121" s="1004"/>
      <c r="O121" s="1005">
        <f t="shared" si="8"/>
        <v>4180</v>
      </c>
      <c r="P121" s="1006" t="str">
        <f t="shared" si="9"/>
        <v>OK!</v>
      </c>
    </row>
    <row r="122" spans="1:16" x14ac:dyDescent="0.2">
      <c r="A122" s="1036" t="s">
        <v>2328</v>
      </c>
      <c r="B122" s="1004" t="s">
        <v>2398</v>
      </c>
      <c r="C122" s="1004">
        <v>5810</v>
      </c>
      <c r="E122" s="1004"/>
      <c r="F122" s="1005">
        <f t="shared" si="10"/>
        <v>5810</v>
      </c>
      <c r="H122" s="1004"/>
      <c r="I122" s="1005">
        <f t="shared" si="6"/>
        <v>5810</v>
      </c>
      <c r="J122" s="1010"/>
      <c r="K122" s="1004"/>
      <c r="L122" s="1005">
        <f t="shared" si="7"/>
        <v>5810</v>
      </c>
      <c r="M122" s="1010"/>
      <c r="N122" s="1004"/>
      <c r="O122" s="1005">
        <f t="shared" si="8"/>
        <v>5810</v>
      </c>
      <c r="P122" s="1006" t="str">
        <f t="shared" si="9"/>
        <v>OK!</v>
      </c>
    </row>
    <row r="123" spans="1:16" x14ac:dyDescent="0.2">
      <c r="A123" s="1036" t="s">
        <v>2328</v>
      </c>
      <c r="B123" s="1004" t="s">
        <v>2399</v>
      </c>
      <c r="C123" s="1004">
        <v>5120</v>
      </c>
      <c r="E123" s="1004"/>
      <c r="F123" s="1005">
        <f t="shared" si="10"/>
        <v>5120</v>
      </c>
      <c r="H123" s="1004"/>
      <c r="I123" s="1005">
        <f t="shared" si="6"/>
        <v>5120</v>
      </c>
      <c r="J123" s="1010"/>
      <c r="K123" s="1004"/>
      <c r="L123" s="1005">
        <f t="shared" si="7"/>
        <v>5120</v>
      </c>
      <c r="M123" s="1010"/>
      <c r="N123" s="1004"/>
      <c r="O123" s="1005">
        <f t="shared" si="8"/>
        <v>5120</v>
      </c>
      <c r="P123" s="1006" t="str">
        <f t="shared" si="9"/>
        <v>OK!</v>
      </c>
    </row>
    <row r="124" spans="1:16" x14ac:dyDescent="0.2">
      <c r="A124" s="1036" t="s">
        <v>2328</v>
      </c>
      <c r="B124" s="1004" t="s">
        <v>2400</v>
      </c>
      <c r="C124" s="1004">
        <v>4945</v>
      </c>
      <c r="E124" s="1004"/>
      <c r="F124" s="1005">
        <f t="shared" si="10"/>
        <v>4945</v>
      </c>
      <c r="H124" s="1004"/>
      <c r="I124" s="1005">
        <f t="shared" si="6"/>
        <v>4945</v>
      </c>
      <c r="J124" s="1010"/>
      <c r="K124" s="1004"/>
      <c r="L124" s="1005">
        <f t="shared" si="7"/>
        <v>4945</v>
      </c>
      <c r="M124" s="1010"/>
      <c r="N124" s="1004"/>
      <c r="O124" s="1005">
        <f t="shared" si="8"/>
        <v>4945</v>
      </c>
      <c r="P124" s="1006" t="str">
        <f t="shared" si="9"/>
        <v>OK!</v>
      </c>
    </row>
    <row r="125" spans="1:16" x14ac:dyDescent="0.2">
      <c r="A125" s="1036" t="s">
        <v>2328</v>
      </c>
      <c r="B125" s="1004" t="s">
        <v>2400</v>
      </c>
      <c r="C125" s="1004">
        <v>2210</v>
      </c>
      <c r="E125" s="1004"/>
      <c r="F125" s="1005">
        <f t="shared" si="10"/>
        <v>2210</v>
      </c>
      <c r="H125" s="1004"/>
      <c r="I125" s="1005">
        <f t="shared" si="6"/>
        <v>2210</v>
      </c>
      <c r="J125" s="1010"/>
      <c r="K125" s="1004"/>
      <c r="L125" s="1005">
        <f t="shared" si="7"/>
        <v>2210</v>
      </c>
      <c r="M125" s="1010"/>
      <c r="N125" s="1004"/>
      <c r="O125" s="1005">
        <f t="shared" si="8"/>
        <v>2210</v>
      </c>
      <c r="P125" s="1006" t="str">
        <f t="shared" si="9"/>
        <v>OK!</v>
      </c>
    </row>
    <row r="126" spans="1:16" x14ac:dyDescent="0.2">
      <c r="A126" s="1036" t="s">
        <v>2327</v>
      </c>
      <c r="B126" s="1004" t="s">
        <v>2401</v>
      </c>
      <c r="C126" s="1004">
        <v>12440</v>
      </c>
      <c r="E126" s="1004"/>
      <c r="F126" s="1005">
        <f t="shared" si="10"/>
        <v>12440</v>
      </c>
      <c r="H126" s="1004"/>
      <c r="I126" s="1005">
        <f t="shared" si="6"/>
        <v>12440</v>
      </c>
      <c r="J126" s="1010"/>
      <c r="K126" s="1004"/>
      <c r="L126" s="1005">
        <f t="shared" si="7"/>
        <v>12440</v>
      </c>
      <c r="M126" s="1010"/>
      <c r="N126" s="1004"/>
      <c r="O126" s="1005">
        <f t="shared" si="8"/>
        <v>12440</v>
      </c>
      <c r="P126" s="1006" t="str">
        <f t="shared" si="9"/>
        <v>OK!</v>
      </c>
    </row>
    <row r="127" spans="1:16" x14ac:dyDescent="0.2">
      <c r="A127" s="1036" t="s">
        <v>2327</v>
      </c>
      <c r="B127" s="1004" t="s">
        <v>2402</v>
      </c>
      <c r="C127" s="1004">
        <v>8100</v>
      </c>
      <c r="E127" s="1004"/>
      <c r="F127" s="1005">
        <f t="shared" si="10"/>
        <v>8100</v>
      </c>
      <c r="H127" s="1004"/>
      <c r="I127" s="1005">
        <f t="shared" si="6"/>
        <v>8100</v>
      </c>
      <c r="J127" s="1010"/>
      <c r="K127" s="1004"/>
      <c r="L127" s="1005">
        <f t="shared" si="7"/>
        <v>8100</v>
      </c>
      <c r="M127" s="1010"/>
      <c r="N127" s="1004"/>
      <c r="O127" s="1005">
        <f t="shared" si="8"/>
        <v>8100</v>
      </c>
      <c r="P127" s="1006" t="str">
        <f t="shared" si="9"/>
        <v>OK!</v>
      </c>
    </row>
    <row r="128" spans="1:16" x14ac:dyDescent="0.2">
      <c r="A128" s="1036" t="s">
        <v>2327</v>
      </c>
      <c r="B128" s="1004" t="s">
        <v>2310</v>
      </c>
      <c r="C128" s="1004">
        <v>1130</v>
      </c>
      <c r="E128" s="1004"/>
      <c r="F128" s="1005">
        <f t="shared" si="10"/>
        <v>1130</v>
      </c>
      <c r="H128" s="1004"/>
      <c r="I128" s="1005">
        <f t="shared" si="6"/>
        <v>1130</v>
      </c>
      <c r="J128" s="1010"/>
      <c r="K128" s="1004"/>
      <c r="L128" s="1005">
        <f t="shared" si="7"/>
        <v>1130</v>
      </c>
      <c r="M128" s="1010"/>
      <c r="N128" s="1004"/>
      <c r="O128" s="1005">
        <f t="shared" si="8"/>
        <v>1130</v>
      </c>
      <c r="P128" s="1006" t="str">
        <f t="shared" si="9"/>
        <v>OK!</v>
      </c>
    </row>
    <row r="129" spans="1:16" x14ac:dyDescent="0.2">
      <c r="A129" s="1036" t="s">
        <v>2327</v>
      </c>
      <c r="B129" s="1004" t="s">
        <v>2403</v>
      </c>
      <c r="C129" s="1004">
        <v>4040</v>
      </c>
      <c r="E129" s="1004"/>
      <c r="F129" s="1005">
        <f t="shared" si="10"/>
        <v>4040</v>
      </c>
      <c r="H129" s="1004"/>
      <c r="I129" s="1005">
        <f t="shared" si="6"/>
        <v>4040</v>
      </c>
      <c r="J129" s="1010"/>
      <c r="K129" s="1004"/>
      <c r="L129" s="1005">
        <f t="shared" si="7"/>
        <v>4040</v>
      </c>
      <c r="M129" s="1010"/>
      <c r="N129" s="1004"/>
      <c r="O129" s="1005">
        <f t="shared" si="8"/>
        <v>4040</v>
      </c>
      <c r="P129" s="1006" t="str">
        <f t="shared" si="9"/>
        <v>OK!</v>
      </c>
    </row>
    <row r="130" spans="1:16" x14ac:dyDescent="0.2">
      <c r="A130" s="1036" t="s">
        <v>2327</v>
      </c>
      <c r="B130" s="1004" t="s">
        <v>2404</v>
      </c>
      <c r="C130" s="1004">
        <v>3880</v>
      </c>
      <c r="E130" s="1004"/>
      <c r="F130" s="1005">
        <f t="shared" si="10"/>
        <v>3880</v>
      </c>
      <c r="H130" s="1004"/>
      <c r="I130" s="1005">
        <f t="shared" si="6"/>
        <v>3880</v>
      </c>
      <c r="J130" s="1010"/>
      <c r="K130" s="1004"/>
      <c r="L130" s="1005">
        <f t="shared" si="7"/>
        <v>3880</v>
      </c>
      <c r="M130" s="1010"/>
      <c r="N130" s="1004"/>
      <c r="O130" s="1005">
        <f t="shared" si="8"/>
        <v>3880</v>
      </c>
      <c r="P130" s="1006" t="str">
        <f t="shared" si="9"/>
        <v>OK!</v>
      </c>
    </row>
    <row r="131" spans="1:16" x14ac:dyDescent="0.2">
      <c r="A131" s="1036" t="s">
        <v>2327</v>
      </c>
      <c r="B131" s="1004" t="s">
        <v>2405</v>
      </c>
      <c r="C131" s="1004">
        <v>4310</v>
      </c>
      <c r="E131" s="1004"/>
      <c r="F131" s="1005">
        <f t="shared" si="10"/>
        <v>4310</v>
      </c>
      <c r="H131" s="1004"/>
      <c r="I131" s="1005">
        <f t="shared" si="6"/>
        <v>4310</v>
      </c>
      <c r="J131" s="1010"/>
      <c r="K131" s="1004"/>
      <c r="L131" s="1005">
        <f t="shared" si="7"/>
        <v>4310</v>
      </c>
      <c r="M131" s="1010"/>
      <c r="N131" s="1004"/>
      <c r="O131" s="1005">
        <f t="shared" si="8"/>
        <v>4310</v>
      </c>
      <c r="P131" s="1006" t="str">
        <f t="shared" si="9"/>
        <v>OK!</v>
      </c>
    </row>
    <row r="132" spans="1:16" x14ac:dyDescent="0.2">
      <c r="A132" s="1036" t="s">
        <v>2327</v>
      </c>
      <c r="B132" s="1004" t="s">
        <v>2406</v>
      </c>
      <c r="C132" s="1004">
        <v>6054</v>
      </c>
      <c r="E132" s="1004"/>
      <c r="F132" s="1005">
        <f t="shared" si="10"/>
        <v>6054</v>
      </c>
      <c r="H132" s="1004"/>
      <c r="I132" s="1005">
        <f t="shared" si="6"/>
        <v>6054</v>
      </c>
      <c r="J132" s="1010"/>
      <c r="K132" s="1004"/>
      <c r="L132" s="1005">
        <f t="shared" si="7"/>
        <v>6054</v>
      </c>
      <c r="M132" s="1010"/>
      <c r="N132" s="1004"/>
      <c r="O132" s="1005">
        <f t="shared" si="8"/>
        <v>6054</v>
      </c>
      <c r="P132" s="1006" t="str">
        <f t="shared" si="9"/>
        <v>OK!</v>
      </c>
    </row>
    <row r="133" spans="1:16" x14ac:dyDescent="0.2">
      <c r="A133" s="1036" t="s">
        <v>2327</v>
      </c>
      <c r="B133" s="1004" t="s">
        <v>2407</v>
      </c>
      <c r="C133" s="1004">
        <v>4220</v>
      </c>
      <c r="E133" s="1004"/>
      <c r="F133" s="1005">
        <f t="shared" si="10"/>
        <v>4220</v>
      </c>
      <c r="H133" s="1004"/>
      <c r="I133" s="1005">
        <f t="shared" si="6"/>
        <v>4220</v>
      </c>
      <c r="J133" s="1010"/>
      <c r="K133" s="1004"/>
      <c r="L133" s="1005">
        <f t="shared" si="7"/>
        <v>4220</v>
      </c>
      <c r="M133" s="1010"/>
      <c r="N133" s="1004"/>
      <c r="O133" s="1005">
        <f t="shared" si="8"/>
        <v>4220</v>
      </c>
      <c r="P133" s="1006" t="str">
        <f t="shared" si="9"/>
        <v>OK!</v>
      </c>
    </row>
    <row r="134" spans="1:16" x14ac:dyDescent="0.2">
      <c r="A134" s="1036" t="s">
        <v>2327</v>
      </c>
      <c r="B134" s="1004" t="s">
        <v>2408</v>
      </c>
      <c r="C134" s="1004">
        <v>4900</v>
      </c>
      <c r="E134" s="1004"/>
      <c r="F134" s="1005">
        <f t="shared" si="10"/>
        <v>4900</v>
      </c>
      <c r="H134" s="1004"/>
      <c r="I134" s="1005">
        <f t="shared" si="6"/>
        <v>4900</v>
      </c>
      <c r="J134" s="1010"/>
      <c r="K134" s="1004"/>
      <c r="L134" s="1005">
        <f t="shared" si="7"/>
        <v>4900</v>
      </c>
      <c r="M134" s="1010"/>
      <c r="N134" s="1004"/>
      <c r="O134" s="1005">
        <f t="shared" si="8"/>
        <v>4900</v>
      </c>
      <c r="P134" s="1006" t="str">
        <f t="shared" si="9"/>
        <v>OK!</v>
      </c>
    </row>
    <row r="135" spans="1:16" x14ac:dyDescent="0.2">
      <c r="A135" s="1036" t="s">
        <v>2327</v>
      </c>
      <c r="B135" s="1004" t="s">
        <v>2409</v>
      </c>
      <c r="C135" s="1004">
        <v>6880</v>
      </c>
      <c r="E135" s="1004"/>
      <c r="F135" s="1005">
        <f t="shared" si="10"/>
        <v>6880</v>
      </c>
      <c r="H135" s="1004"/>
      <c r="I135" s="1005">
        <f t="shared" si="6"/>
        <v>6880</v>
      </c>
      <c r="J135" s="1010"/>
      <c r="K135" s="1004"/>
      <c r="L135" s="1005">
        <f t="shared" si="7"/>
        <v>6880</v>
      </c>
      <c r="M135" s="1010"/>
      <c r="N135" s="1004"/>
      <c r="O135" s="1005">
        <f t="shared" si="8"/>
        <v>6880</v>
      </c>
      <c r="P135" s="1006" t="str">
        <f t="shared" si="9"/>
        <v>OK!</v>
      </c>
    </row>
    <row r="136" spans="1:16" x14ac:dyDescent="0.2">
      <c r="A136" s="1036" t="s">
        <v>2327</v>
      </c>
      <c r="B136" s="1004" t="s">
        <v>2410</v>
      </c>
      <c r="C136" s="1004">
        <v>4520</v>
      </c>
      <c r="E136" s="1004"/>
      <c r="F136" s="1005">
        <f t="shared" si="10"/>
        <v>4520</v>
      </c>
      <c r="H136" s="1004"/>
      <c r="I136" s="1005">
        <f t="shared" si="6"/>
        <v>4520</v>
      </c>
      <c r="J136" s="1010"/>
      <c r="K136" s="1004"/>
      <c r="L136" s="1005">
        <f t="shared" si="7"/>
        <v>4520</v>
      </c>
      <c r="M136" s="1010"/>
      <c r="N136" s="1004"/>
      <c r="O136" s="1005">
        <f t="shared" si="8"/>
        <v>4520</v>
      </c>
      <c r="P136" s="1006" t="str">
        <f t="shared" si="9"/>
        <v>OK!</v>
      </c>
    </row>
    <row r="137" spans="1:16" x14ac:dyDescent="0.2">
      <c r="A137" s="1036" t="s">
        <v>2327</v>
      </c>
      <c r="B137" s="1004" t="s">
        <v>2411</v>
      </c>
      <c r="C137" s="1004">
        <v>5530</v>
      </c>
      <c r="E137" s="1004"/>
      <c r="F137" s="1005">
        <f t="shared" si="10"/>
        <v>5530</v>
      </c>
      <c r="H137" s="1004"/>
      <c r="I137" s="1005">
        <f t="shared" si="6"/>
        <v>5530</v>
      </c>
      <c r="J137" s="1010"/>
      <c r="K137" s="1004"/>
      <c r="L137" s="1005">
        <f t="shared" si="7"/>
        <v>5530</v>
      </c>
      <c r="M137" s="1010"/>
      <c r="N137" s="1004"/>
      <c r="O137" s="1005">
        <f t="shared" si="8"/>
        <v>5530</v>
      </c>
      <c r="P137" s="1006" t="str">
        <f t="shared" si="9"/>
        <v>OK!</v>
      </c>
    </row>
    <row r="138" spans="1:16" x14ac:dyDescent="0.2">
      <c r="A138" s="1036" t="s">
        <v>2327</v>
      </c>
      <c r="B138" s="1004" t="s">
        <v>2412</v>
      </c>
      <c r="C138" s="1004">
        <v>8090</v>
      </c>
      <c r="E138" s="1004"/>
      <c r="F138" s="1005">
        <f t="shared" si="10"/>
        <v>8090</v>
      </c>
      <c r="H138" s="1004"/>
      <c r="I138" s="1005">
        <f t="shared" si="6"/>
        <v>8090</v>
      </c>
      <c r="J138" s="1010"/>
      <c r="K138" s="1004"/>
      <c r="L138" s="1005">
        <f t="shared" si="7"/>
        <v>8090</v>
      </c>
      <c r="M138" s="1010"/>
      <c r="N138" s="1004"/>
      <c r="O138" s="1005">
        <f t="shared" si="8"/>
        <v>8090</v>
      </c>
      <c r="P138" s="1006" t="str">
        <f t="shared" si="9"/>
        <v>OK!</v>
      </c>
    </row>
    <row r="139" spans="1:16" x14ac:dyDescent="0.2">
      <c r="A139" s="1036" t="s">
        <v>2327</v>
      </c>
      <c r="B139" s="1004" t="s">
        <v>2413</v>
      </c>
      <c r="C139" s="1004">
        <v>7230</v>
      </c>
      <c r="E139" s="1004"/>
      <c r="F139" s="1005">
        <f t="shared" si="10"/>
        <v>7230</v>
      </c>
      <c r="H139" s="1004"/>
      <c r="I139" s="1005">
        <f t="shared" si="6"/>
        <v>7230</v>
      </c>
      <c r="J139" s="1010"/>
      <c r="K139" s="1004"/>
      <c r="L139" s="1005">
        <f t="shared" si="7"/>
        <v>7230</v>
      </c>
      <c r="M139" s="1010"/>
      <c r="N139" s="1004"/>
      <c r="O139" s="1005">
        <f t="shared" si="8"/>
        <v>7230</v>
      </c>
      <c r="P139" s="1006" t="str">
        <f t="shared" si="9"/>
        <v>OK!</v>
      </c>
    </row>
    <row r="140" spans="1:16" x14ac:dyDescent="0.2">
      <c r="A140" s="1036" t="s">
        <v>2327</v>
      </c>
      <c r="B140" s="1004" t="s">
        <v>2414</v>
      </c>
      <c r="C140" s="1004">
        <v>9310</v>
      </c>
      <c r="E140" s="1004"/>
      <c r="F140" s="1005">
        <f t="shared" si="10"/>
        <v>9310</v>
      </c>
      <c r="H140" s="1004"/>
      <c r="I140" s="1005">
        <f t="shared" si="6"/>
        <v>9310</v>
      </c>
      <c r="J140" s="1010"/>
      <c r="K140" s="1004"/>
      <c r="L140" s="1005">
        <f t="shared" si="7"/>
        <v>9310</v>
      </c>
      <c r="M140" s="1010"/>
      <c r="N140" s="1004"/>
      <c r="O140" s="1005">
        <f t="shared" si="8"/>
        <v>9310</v>
      </c>
      <c r="P140" s="1006" t="str">
        <f t="shared" si="9"/>
        <v>OK!</v>
      </c>
    </row>
    <row r="141" spans="1:16" x14ac:dyDescent="0.2">
      <c r="A141" s="1036" t="s">
        <v>2327</v>
      </c>
      <c r="B141" s="1004" t="s">
        <v>2415</v>
      </c>
      <c r="C141" s="1004">
        <v>6420</v>
      </c>
      <c r="E141" s="1004"/>
      <c r="F141" s="1005">
        <f t="shared" si="10"/>
        <v>6420</v>
      </c>
      <c r="H141" s="1004"/>
      <c r="I141" s="1005">
        <f t="shared" si="6"/>
        <v>6420</v>
      </c>
      <c r="J141" s="1010"/>
      <c r="K141" s="1004"/>
      <c r="L141" s="1005">
        <f t="shared" si="7"/>
        <v>6420</v>
      </c>
      <c r="M141" s="1010"/>
      <c r="N141" s="1004"/>
      <c r="O141" s="1005">
        <f t="shared" si="8"/>
        <v>6420</v>
      </c>
      <c r="P141" s="1006" t="str">
        <f t="shared" si="9"/>
        <v>OK!</v>
      </c>
    </row>
    <row r="142" spans="1:16" x14ac:dyDescent="0.2">
      <c r="A142" s="1036" t="s">
        <v>2327</v>
      </c>
      <c r="B142" s="1004" t="s">
        <v>2415</v>
      </c>
      <c r="C142" s="1004">
        <v>680</v>
      </c>
      <c r="E142" s="1004"/>
      <c r="F142" s="1005">
        <f t="shared" si="10"/>
        <v>680</v>
      </c>
      <c r="H142" s="1004"/>
      <c r="I142" s="1005">
        <f t="shared" si="6"/>
        <v>680</v>
      </c>
      <c r="J142" s="1010"/>
      <c r="K142" s="1004"/>
      <c r="L142" s="1005">
        <f t="shared" si="7"/>
        <v>680</v>
      </c>
      <c r="M142" s="1010"/>
      <c r="N142" s="1004"/>
      <c r="O142" s="1005">
        <f t="shared" si="8"/>
        <v>680</v>
      </c>
      <c r="P142" s="1006" t="str">
        <f t="shared" si="9"/>
        <v>OK!</v>
      </c>
    </row>
    <row r="143" spans="1:16" x14ac:dyDescent="0.2">
      <c r="A143" s="1036" t="s">
        <v>2329</v>
      </c>
      <c r="B143" s="1004" t="s">
        <v>2416</v>
      </c>
      <c r="C143" s="1004">
        <v>243000</v>
      </c>
      <c r="E143" s="1004"/>
      <c r="F143" s="1005">
        <f t="shared" si="10"/>
        <v>243000</v>
      </c>
      <c r="H143" s="1004"/>
      <c r="I143" s="1005">
        <f t="shared" si="6"/>
        <v>243000</v>
      </c>
      <c r="J143" s="1010"/>
      <c r="K143" s="1004"/>
      <c r="L143" s="1005">
        <f t="shared" si="7"/>
        <v>243000</v>
      </c>
      <c r="M143" s="1010"/>
      <c r="N143" s="1004"/>
      <c r="O143" s="1005">
        <f t="shared" si="8"/>
        <v>243000</v>
      </c>
      <c r="P143" s="1006" t="str">
        <f t="shared" si="9"/>
        <v>OK!</v>
      </c>
    </row>
    <row r="144" spans="1:16" x14ac:dyDescent="0.2">
      <c r="A144" s="1036" t="s">
        <v>2330</v>
      </c>
      <c r="B144" s="1004" t="s">
        <v>1938</v>
      </c>
      <c r="C144" s="1004">
        <v>188800</v>
      </c>
      <c r="E144" s="1004"/>
      <c r="F144" s="1005">
        <f t="shared" si="10"/>
        <v>188800</v>
      </c>
      <c r="H144" s="1004"/>
      <c r="I144" s="1005">
        <f t="shared" si="6"/>
        <v>188800</v>
      </c>
      <c r="J144" s="1010"/>
      <c r="K144" s="1004"/>
      <c r="L144" s="1005">
        <f t="shared" si="7"/>
        <v>188800</v>
      </c>
      <c r="M144" s="1010"/>
      <c r="N144" s="1004"/>
      <c r="O144" s="1005">
        <f t="shared" si="8"/>
        <v>188800</v>
      </c>
      <c r="P144" s="1006" t="str">
        <f t="shared" si="9"/>
        <v>OK!</v>
      </c>
    </row>
    <row r="145" spans="1:16" x14ac:dyDescent="0.2">
      <c r="A145" s="1036" t="s">
        <v>2331</v>
      </c>
      <c r="B145" s="1004" t="s">
        <v>2389</v>
      </c>
      <c r="C145" s="1004">
        <v>194664</v>
      </c>
      <c r="E145" s="1004"/>
      <c r="F145" s="1005">
        <f t="shared" si="10"/>
        <v>194664</v>
      </c>
      <c r="H145" s="1004"/>
      <c r="I145" s="1005">
        <f t="shared" si="6"/>
        <v>194664</v>
      </c>
      <c r="J145" s="1010"/>
      <c r="K145" s="1004"/>
      <c r="L145" s="1005">
        <f t="shared" si="7"/>
        <v>194664</v>
      </c>
      <c r="M145" s="1010"/>
      <c r="N145" s="1004"/>
      <c r="O145" s="1005">
        <f t="shared" si="8"/>
        <v>194664</v>
      </c>
      <c r="P145" s="1006" t="str">
        <f t="shared" si="9"/>
        <v>OK!</v>
      </c>
    </row>
    <row r="146" spans="1:16" x14ac:dyDescent="0.2">
      <c r="A146" s="1036" t="s">
        <v>1939</v>
      </c>
      <c r="B146" s="1004" t="s">
        <v>2417</v>
      </c>
      <c r="C146" s="1004">
        <v>146500</v>
      </c>
      <c r="E146" s="1004"/>
      <c r="F146" s="1005">
        <f t="shared" si="10"/>
        <v>146500</v>
      </c>
      <c r="H146" s="1004"/>
      <c r="I146" s="1005">
        <f t="shared" si="6"/>
        <v>146500</v>
      </c>
      <c r="J146" s="1010"/>
      <c r="K146" s="1004"/>
      <c r="L146" s="1005">
        <f t="shared" si="7"/>
        <v>146500</v>
      </c>
      <c r="M146" s="1010"/>
      <c r="N146" s="1004"/>
      <c r="O146" s="1005">
        <f t="shared" si="8"/>
        <v>146500</v>
      </c>
      <c r="P146" s="1006" t="str">
        <f t="shared" si="9"/>
        <v>OK!</v>
      </c>
    </row>
    <row r="147" spans="1:16" x14ac:dyDescent="0.2">
      <c r="A147" s="1036" t="s">
        <v>2332</v>
      </c>
      <c r="B147" s="1004" t="s">
        <v>2418</v>
      </c>
      <c r="C147" s="1004">
        <v>13380</v>
      </c>
      <c r="E147" s="1004"/>
      <c r="F147" s="1005">
        <f t="shared" si="10"/>
        <v>13380</v>
      </c>
      <c r="H147" s="1004"/>
      <c r="I147" s="1005">
        <f t="shared" si="6"/>
        <v>13380</v>
      </c>
      <c r="J147" s="1010"/>
      <c r="K147" s="1004"/>
      <c r="L147" s="1005">
        <f t="shared" si="7"/>
        <v>13380</v>
      </c>
      <c r="M147" s="1010"/>
      <c r="N147" s="1004"/>
      <c r="O147" s="1005">
        <f t="shared" si="8"/>
        <v>13380</v>
      </c>
      <c r="P147" s="1006" t="str">
        <f t="shared" si="9"/>
        <v>OK!</v>
      </c>
    </row>
    <row r="148" spans="1:16" x14ac:dyDescent="0.2">
      <c r="A148" s="1036" t="s">
        <v>2333</v>
      </c>
      <c r="B148" s="1004" t="s">
        <v>2419</v>
      </c>
      <c r="C148" s="1004">
        <v>1200</v>
      </c>
      <c r="E148" s="1004"/>
      <c r="F148" s="1005">
        <f t="shared" si="10"/>
        <v>1200</v>
      </c>
      <c r="H148" s="1004"/>
      <c r="I148" s="1005">
        <f t="shared" si="6"/>
        <v>1200</v>
      </c>
      <c r="J148" s="1010"/>
      <c r="K148" s="1004"/>
      <c r="L148" s="1005">
        <f t="shared" si="7"/>
        <v>1200</v>
      </c>
      <c r="M148" s="1010"/>
      <c r="N148" s="1004"/>
      <c r="O148" s="1005">
        <f t="shared" si="8"/>
        <v>1200</v>
      </c>
      <c r="P148" s="1006" t="str">
        <f t="shared" si="9"/>
        <v>OK!</v>
      </c>
    </row>
    <row r="149" spans="1:16" x14ac:dyDescent="0.2">
      <c r="A149" s="1036" t="s">
        <v>2334</v>
      </c>
      <c r="B149" s="1004" t="s">
        <v>2420</v>
      </c>
      <c r="C149" s="1004">
        <v>40000</v>
      </c>
      <c r="E149" s="1004"/>
      <c r="F149" s="1005">
        <f t="shared" si="10"/>
        <v>40000</v>
      </c>
      <c r="H149" s="1004"/>
      <c r="I149" s="1005">
        <f t="shared" si="6"/>
        <v>40000</v>
      </c>
      <c r="J149" s="1010"/>
      <c r="K149" s="1004"/>
      <c r="L149" s="1005">
        <f t="shared" si="7"/>
        <v>40000</v>
      </c>
      <c r="M149" s="1010"/>
      <c r="N149" s="1004"/>
      <c r="O149" s="1005">
        <f t="shared" si="8"/>
        <v>40000</v>
      </c>
      <c r="P149" s="1006" t="str">
        <f t="shared" si="9"/>
        <v>OK!</v>
      </c>
    </row>
    <row r="150" spans="1:16" x14ac:dyDescent="0.2">
      <c r="A150" s="1036" t="s">
        <v>2335</v>
      </c>
      <c r="B150" s="1004" t="s">
        <v>2421</v>
      </c>
      <c r="C150" s="1004">
        <v>59400</v>
      </c>
      <c r="E150" s="1004"/>
      <c r="F150" s="1005">
        <f t="shared" si="5"/>
        <v>59400</v>
      </c>
      <c r="H150" s="1004"/>
      <c r="I150" s="1005">
        <f t="shared" si="6"/>
        <v>59400</v>
      </c>
      <c r="J150" s="1010"/>
      <c r="K150" s="1004"/>
      <c r="L150" s="1005">
        <f t="shared" si="7"/>
        <v>59400</v>
      </c>
      <c r="M150" s="1010"/>
      <c r="N150" s="1004"/>
      <c r="O150" s="1005">
        <f t="shared" si="8"/>
        <v>59400</v>
      </c>
      <c r="P150" s="1006" t="str">
        <f t="shared" si="9"/>
        <v>OK!</v>
      </c>
    </row>
    <row r="151" spans="1:16" x14ac:dyDescent="0.2">
      <c r="A151" s="1036" t="s">
        <v>2336</v>
      </c>
      <c r="B151" s="1004" t="s">
        <v>2416</v>
      </c>
      <c r="C151" s="1004">
        <v>13275</v>
      </c>
      <c r="E151" s="1004"/>
      <c r="F151" s="1005">
        <f t="shared" si="5"/>
        <v>13275</v>
      </c>
      <c r="H151" s="1004"/>
      <c r="I151" s="1005">
        <f t="shared" si="6"/>
        <v>13275</v>
      </c>
      <c r="J151" s="1010"/>
      <c r="K151" s="1004"/>
      <c r="L151" s="1005">
        <f t="shared" si="7"/>
        <v>13275</v>
      </c>
      <c r="M151" s="1010"/>
      <c r="N151" s="1004"/>
      <c r="O151" s="1005">
        <f t="shared" si="8"/>
        <v>13275</v>
      </c>
      <c r="P151" s="1006" t="str">
        <f t="shared" si="9"/>
        <v>OK!</v>
      </c>
    </row>
    <row r="152" spans="1:16" x14ac:dyDescent="0.2">
      <c r="A152" s="1036" t="s">
        <v>2337</v>
      </c>
      <c r="B152" s="1004" t="s">
        <v>2416</v>
      </c>
      <c r="C152" s="1004">
        <v>11160</v>
      </c>
      <c r="E152" s="1004"/>
      <c r="F152" s="1005">
        <f t="shared" si="5"/>
        <v>11160</v>
      </c>
      <c r="H152" s="1004"/>
      <c r="I152" s="1005">
        <f t="shared" si="6"/>
        <v>11160</v>
      </c>
      <c r="J152" s="1010"/>
      <c r="K152" s="1004"/>
      <c r="L152" s="1005">
        <f t="shared" si="7"/>
        <v>11160</v>
      </c>
      <c r="M152" s="1010"/>
      <c r="N152" s="1004"/>
      <c r="O152" s="1005">
        <f t="shared" si="8"/>
        <v>11160</v>
      </c>
      <c r="P152" s="1006" t="str">
        <f t="shared" si="9"/>
        <v>OK!</v>
      </c>
    </row>
    <row r="153" spans="1:16" x14ac:dyDescent="0.2">
      <c r="A153" s="1036" t="s">
        <v>2337</v>
      </c>
      <c r="B153" s="1004" t="s">
        <v>2416</v>
      </c>
      <c r="C153" s="1004">
        <v>12710</v>
      </c>
      <c r="E153" s="1004"/>
      <c r="F153" s="1005">
        <f t="shared" si="5"/>
        <v>12710</v>
      </c>
      <c r="H153" s="1004"/>
      <c r="I153" s="1005">
        <f t="shared" si="6"/>
        <v>12710</v>
      </c>
      <c r="J153" s="1010"/>
      <c r="K153" s="1004"/>
      <c r="L153" s="1005">
        <f t="shared" si="7"/>
        <v>12710</v>
      </c>
      <c r="M153" s="1010"/>
      <c r="N153" s="1004"/>
      <c r="O153" s="1005">
        <f t="shared" si="8"/>
        <v>12710</v>
      </c>
      <c r="P153" s="1006" t="str">
        <f t="shared" si="9"/>
        <v>OK!</v>
      </c>
    </row>
    <row r="154" spans="1:16" x14ac:dyDescent="0.2">
      <c r="A154" s="1036" t="s">
        <v>2338</v>
      </c>
      <c r="B154" s="1004" t="s">
        <v>2422</v>
      </c>
      <c r="C154" s="1004">
        <v>57500</v>
      </c>
      <c r="E154" s="1004"/>
      <c r="F154" s="1005">
        <f t="shared" si="5"/>
        <v>57500</v>
      </c>
      <c r="H154" s="1004"/>
      <c r="I154" s="1005">
        <f t="shared" si="6"/>
        <v>57500</v>
      </c>
      <c r="J154" s="1010"/>
      <c r="K154" s="1004"/>
      <c r="L154" s="1005">
        <f t="shared" si="7"/>
        <v>57500</v>
      </c>
      <c r="M154" s="1010"/>
      <c r="N154" s="1004"/>
      <c r="O154" s="1005">
        <f t="shared" si="8"/>
        <v>57500</v>
      </c>
      <c r="P154" s="1006" t="str">
        <f t="shared" si="9"/>
        <v>OK!</v>
      </c>
    </row>
    <row r="155" spans="1:16" x14ac:dyDescent="0.2">
      <c r="A155" s="1036" t="s">
        <v>2339</v>
      </c>
      <c r="B155" s="1004" t="s">
        <v>2423</v>
      </c>
      <c r="C155" s="1004">
        <v>38880</v>
      </c>
      <c r="E155" s="1004"/>
      <c r="F155" s="1005">
        <f t="shared" si="5"/>
        <v>38880</v>
      </c>
      <c r="H155" s="1004"/>
      <c r="I155" s="1005">
        <f t="shared" si="6"/>
        <v>38880</v>
      </c>
      <c r="J155" s="1010"/>
      <c r="K155" s="1004"/>
      <c r="L155" s="1005">
        <f t="shared" si="7"/>
        <v>38880</v>
      </c>
      <c r="M155" s="1010"/>
      <c r="N155" s="1004"/>
      <c r="O155" s="1005">
        <f t="shared" si="8"/>
        <v>38880</v>
      </c>
      <c r="P155" s="1006" t="str">
        <f t="shared" si="9"/>
        <v>OK!</v>
      </c>
    </row>
    <row r="156" spans="1:16" x14ac:dyDescent="0.2">
      <c r="A156" s="1036" t="s">
        <v>2339</v>
      </c>
      <c r="B156" s="1004" t="s">
        <v>2424</v>
      </c>
      <c r="C156" s="1004">
        <v>38880</v>
      </c>
      <c r="E156" s="1004"/>
      <c r="F156" s="1005">
        <f t="shared" si="5"/>
        <v>38880</v>
      </c>
      <c r="H156" s="1004"/>
      <c r="I156" s="1005">
        <f t="shared" si="6"/>
        <v>38880</v>
      </c>
      <c r="J156" s="1010"/>
      <c r="K156" s="1004"/>
      <c r="L156" s="1005">
        <f t="shared" si="7"/>
        <v>38880</v>
      </c>
      <c r="M156" s="1010"/>
      <c r="N156" s="1004"/>
      <c r="O156" s="1005">
        <f t="shared" si="8"/>
        <v>38880</v>
      </c>
      <c r="P156" s="1006" t="str">
        <f t="shared" si="9"/>
        <v>OK!</v>
      </c>
    </row>
    <row r="157" spans="1:16" x14ac:dyDescent="0.2">
      <c r="A157" s="1036" t="s">
        <v>2339</v>
      </c>
      <c r="B157" s="1004" t="s">
        <v>2425</v>
      </c>
      <c r="C157" s="1004">
        <v>51840</v>
      </c>
      <c r="E157" s="1004"/>
      <c r="F157" s="1005">
        <f t="shared" si="5"/>
        <v>51840</v>
      </c>
      <c r="H157" s="1004"/>
      <c r="I157" s="1005">
        <f t="shared" si="6"/>
        <v>51840</v>
      </c>
      <c r="J157" s="1010"/>
      <c r="K157" s="1004"/>
      <c r="L157" s="1005">
        <f t="shared" si="7"/>
        <v>51840</v>
      </c>
      <c r="M157" s="1010"/>
      <c r="N157" s="1004"/>
      <c r="O157" s="1005">
        <f t="shared" si="8"/>
        <v>51840</v>
      </c>
      <c r="P157" s="1006" t="str">
        <f t="shared" ref="P157:P219" si="11">IF(L157&lt;0,"INCORRECT ENTRY!","OK!")</f>
        <v>OK!</v>
      </c>
    </row>
    <row r="158" spans="1:16" x14ac:dyDescent="0.2">
      <c r="A158" s="1036" t="s">
        <v>2339</v>
      </c>
      <c r="B158" s="1004" t="s">
        <v>2426</v>
      </c>
      <c r="C158" s="1004">
        <v>38880</v>
      </c>
      <c r="E158" s="1004"/>
      <c r="F158" s="1005">
        <f t="shared" si="5"/>
        <v>38880</v>
      </c>
      <c r="H158" s="1004"/>
      <c r="I158" s="1005">
        <f t="shared" si="6"/>
        <v>38880</v>
      </c>
      <c r="J158" s="1010"/>
      <c r="K158" s="1004"/>
      <c r="L158" s="1005">
        <f t="shared" si="7"/>
        <v>38880</v>
      </c>
      <c r="M158" s="1010"/>
      <c r="N158" s="1004"/>
      <c r="O158" s="1005">
        <f t="shared" si="8"/>
        <v>38880</v>
      </c>
      <c r="P158" s="1006" t="str">
        <f t="shared" si="11"/>
        <v>OK!</v>
      </c>
    </row>
    <row r="159" spans="1:16" x14ac:dyDescent="0.2">
      <c r="A159" s="1036" t="s">
        <v>2339</v>
      </c>
      <c r="B159" s="1004" t="s">
        <v>2427</v>
      </c>
      <c r="C159" s="1004">
        <v>51840</v>
      </c>
      <c r="E159" s="1004"/>
      <c r="F159" s="1005">
        <f t="shared" si="5"/>
        <v>51840</v>
      </c>
      <c r="H159" s="1004"/>
      <c r="I159" s="1005">
        <f t="shared" si="6"/>
        <v>51840</v>
      </c>
      <c r="J159" s="1010"/>
      <c r="K159" s="1004"/>
      <c r="L159" s="1005">
        <f t="shared" si="7"/>
        <v>51840</v>
      </c>
      <c r="M159" s="1010"/>
      <c r="N159" s="1004"/>
      <c r="O159" s="1005">
        <f t="shared" si="8"/>
        <v>51840</v>
      </c>
      <c r="P159" s="1006" t="str">
        <f t="shared" si="11"/>
        <v>OK!</v>
      </c>
    </row>
    <row r="160" spans="1:16" x14ac:dyDescent="0.2">
      <c r="A160" s="1036" t="s">
        <v>2339</v>
      </c>
      <c r="B160" s="1004" t="s">
        <v>2428</v>
      </c>
      <c r="C160" s="1004">
        <v>38880</v>
      </c>
      <c r="E160" s="1004"/>
      <c r="F160" s="1005">
        <f t="shared" si="5"/>
        <v>38880</v>
      </c>
      <c r="H160" s="1004"/>
      <c r="I160" s="1005">
        <f t="shared" si="6"/>
        <v>38880</v>
      </c>
      <c r="J160" s="1010"/>
      <c r="K160" s="1004"/>
      <c r="L160" s="1005">
        <f t="shared" si="7"/>
        <v>38880</v>
      </c>
      <c r="M160" s="1010"/>
      <c r="N160" s="1004"/>
      <c r="O160" s="1005">
        <f t="shared" si="8"/>
        <v>38880</v>
      </c>
      <c r="P160" s="1006" t="str">
        <f t="shared" si="11"/>
        <v>OK!</v>
      </c>
    </row>
    <row r="161" spans="1:16" x14ac:dyDescent="0.2">
      <c r="A161" s="1036" t="s">
        <v>1930</v>
      </c>
      <c r="B161" s="1004" t="s">
        <v>2429</v>
      </c>
      <c r="C161" s="1004">
        <v>4500</v>
      </c>
      <c r="E161" s="1004"/>
      <c r="F161" s="1005">
        <f t="shared" si="5"/>
        <v>4500</v>
      </c>
      <c r="H161" s="1004"/>
      <c r="I161" s="1005">
        <f t="shared" si="6"/>
        <v>4500</v>
      </c>
      <c r="J161" s="1010"/>
      <c r="K161" s="1004"/>
      <c r="L161" s="1005">
        <f t="shared" si="7"/>
        <v>4500</v>
      </c>
      <c r="M161" s="1010"/>
      <c r="N161" s="1004"/>
      <c r="O161" s="1005">
        <f t="shared" si="8"/>
        <v>4500</v>
      </c>
      <c r="P161" s="1006" t="str">
        <f t="shared" si="11"/>
        <v>OK!</v>
      </c>
    </row>
    <row r="162" spans="1:16" x14ac:dyDescent="0.2">
      <c r="A162" s="1036" t="s">
        <v>2326</v>
      </c>
      <c r="B162" s="1004" t="s">
        <v>2430</v>
      </c>
      <c r="C162" s="1004">
        <v>12000</v>
      </c>
      <c r="E162" s="1004"/>
      <c r="F162" s="1005">
        <f t="shared" si="5"/>
        <v>12000</v>
      </c>
      <c r="H162" s="1004"/>
      <c r="I162" s="1005">
        <f t="shared" si="6"/>
        <v>12000</v>
      </c>
      <c r="J162" s="1010"/>
      <c r="K162" s="1004"/>
      <c r="L162" s="1005">
        <f t="shared" si="7"/>
        <v>12000</v>
      </c>
      <c r="M162" s="1010"/>
      <c r="N162" s="1004"/>
      <c r="O162" s="1005">
        <f t="shared" si="8"/>
        <v>12000</v>
      </c>
      <c r="P162" s="1006" t="str">
        <f t="shared" si="11"/>
        <v>OK!</v>
      </c>
    </row>
    <row r="163" spans="1:16" x14ac:dyDescent="0.2">
      <c r="A163" s="1036" t="s">
        <v>1940</v>
      </c>
      <c r="B163" s="1004" t="s">
        <v>2431</v>
      </c>
      <c r="C163" s="1004">
        <v>2400</v>
      </c>
      <c r="E163" s="1004"/>
      <c r="F163" s="1005">
        <f t="shared" si="5"/>
        <v>2400</v>
      </c>
      <c r="H163" s="1004"/>
      <c r="I163" s="1005">
        <f t="shared" si="6"/>
        <v>2400</v>
      </c>
      <c r="J163" s="1010"/>
      <c r="K163" s="1004"/>
      <c r="L163" s="1005">
        <f t="shared" si="7"/>
        <v>2400</v>
      </c>
      <c r="M163" s="1010"/>
      <c r="N163" s="1004"/>
      <c r="O163" s="1005">
        <f t="shared" si="8"/>
        <v>2400</v>
      </c>
      <c r="P163" s="1006" t="str">
        <f t="shared" si="11"/>
        <v>OK!</v>
      </c>
    </row>
    <row r="164" spans="1:16" x14ac:dyDescent="0.2">
      <c r="A164" s="1036" t="s">
        <v>2340</v>
      </c>
      <c r="B164" s="1004" t="s">
        <v>2432</v>
      </c>
      <c r="C164" s="1004">
        <v>11000</v>
      </c>
      <c r="E164" s="1004"/>
      <c r="F164" s="1005">
        <f t="shared" si="5"/>
        <v>11000</v>
      </c>
      <c r="H164" s="1004"/>
      <c r="I164" s="1005">
        <f t="shared" si="6"/>
        <v>11000</v>
      </c>
      <c r="J164" s="1010"/>
      <c r="K164" s="1004"/>
      <c r="L164" s="1005">
        <f t="shared" si="7"/>
        <v>11000</v>
      </c>
      <c r="M164" s="1010"/>
      <c r="N164" s="1004"/>
      <c r="O164" s="1005">
        <f t="shared" si="8"/>
        <v>11000</v>
      </c>
      <c r="P164" s="1006" t="str">
        <f t="shared" si="11"/>
        <v>OK!</v>
      </c>
    </row>
    <row r="165" spans="1:16" x14ac:dyDescent="0.2">
      <c r="A165" s="1036" t="s">
        <v>2340</v>
      </c>
      <c r="B165" s="1004" t="s">
        <v>2433</v>
      </c>
      <c r="C165" s="1004">
        <v>14000</v>
      </c>
      <c r="E165" s="1004"/>
      <c r="F165" s="1005">
        <f t="shared" si="5"/>
        <v>14000</v>
      </c>
      <c r="H165" s="1004"/>
      <c r="I165" s="1005">
        <f t="shared" si="6"/>
        <v>14000</v>
      </c>
      <c r="J165" s="1010"/>
      <c r="K165" s="1004"/>
      <c r="L165" s="1005">
        <f t="shared" si="7"/>
        <v>14000</v>
      </c>
      <c r="M165" s="1010"/>
      <c r="N165" s="1004"/>
      <c r="O165" s="1005">
        <f t="shared" si="8"/>
        <v>14000</v>
      </c>
      <c r="P165" s="1006" t="str">
        <f t="shared" si="11"/>
        <v>OK!</v>
      </c>
    </row>
    <row r="166" spans="1:16" x14ac:dyDescent="0.2">
      <c r="A166" s="1036" t="s">
        <v>2341</v>
      </c>
      <c r="B166" s="1004" t="s">
        <v>2434</v>
      </c>
      <c r="C166" s="1004">
        <v>48960</v>
      </c>
      <c r="E166" s="1004"/>
      <c r="F166" s="1005">
        <f t="shared" si="5"/>
        <v>48960</v>
      </c>
      <c r="H166" s="1004"/>
      <c r="I166" s="1005">
        <f t="shared" si="6"/>
        <v>48960</v>
      </c>
      <c r="J166" s="1010"/>
      <c r="K166" s="1004"/>
      <c r="L166" s="1005">
        <f t="shared" si="7"/>
        <v>48960</v>
      </c>
      <c r="M166" s="1010"/>
      <c r="N166" s="1004"/>
      <c r="O166" s="1005">
        <f t="shared" si="8"/>
        <v>48960</v>
      </c>
      <c r="P166" s="1006" t="str">
        <f t="shared" si="11"/>
        <v>OK!</v>
      </c>
    </row>
    <row r="167" spans="1:16" x14ac:dyDescent="0.2">
      <c r="A167" s="1036" t="s">
        <v>2341</v>
      </c>
      <c r="B167" s="1004" t="s">
        <v>1941</v>
      </c>
      <c r="C167" s="1004">
        <v>23244</v>
      </c>
      <c r="E167" s="1004"/>
      <c r="F167" s="1005">
        <f t="shared" si="5"/>
        <v>23244</v>
      </c>
      <c r="H167" s="1004"/>
      <c r="I167" s="1005">
        <f t="shared" si="6"/>
        <v>23244</v>
      </c>
      <c r="J167" s="1010"/>
      <c r="K167" s="1004"/>
      <c r="L167" s="1005">
        <f t="shared" si="7"/>
        <v>23244</v>
      </c>
      <c r="M167" s="1010"/>
      <c r="N167" s="1004"/>
      <c r="O167" s="1005">
        <f t="shared" si="8"/>
        <v>23244</v>
      </c>
      <c r="P167" s="1006" t="str">
        <f t="shared" si="11"/>
        <v>OK!</v>
      </c>
    </row>
    <row r="168" spans="1:16" x14ac:dyDescent="0.2">
      <c r="A168" s="1036" t="s">
        <v>2341</v>
      </c>
      <c r="B168" s="1004" t="s">
        <v>2435</v>
      </c>
      <c r="C168" s="1004">
        <v>74500</v>
      </c>
      <c r="E168" s="1004"/>
      <c r="F168" s="1005">
        <f t="shared" si="5"/>
        <v>74500</v>
      </c>
      <c r="H168" s="1004"/>
      <c r="I168" s="1005">
        <f t="shared" si="6"/>
        <v>74500</v>
      </c>
      <c r="J168" s="1010"/>
      <c r="K168" s="1004"/>
      <c r="L168" s="1005">
        <f t="shared" si="7"/>
        <v>74500</v>
      </c>
      <c r="M168" s="1010"/>
      <c r="N168" s="1004"/>
      <c r="O168" s="1005">
        <f t="shared" si="8"/>
        <v>74500</v>
      </c>
      <c r="P168" s="1006" t="str">
        <f t="shared" si="11"/>
        <v>OK!</v>
      </c>
    </row>
    <row r="169" spans="1:16" x14ac:dyDescent="0.2">
      <c r="A169" s="1036" t="s">
        <v>2342</v>
      </c>
      <c r="B169" s="1004" t="s">
        <v>2436</v>
      </c>
      <c r="C169" s="1004">
        <v>48000</v>
      </c>
      <c r="E169" s="1004"/>
      <c r="F169" s="1005">
        <f t="shared" si="5"/>
        <v>48000</v>
      </c>
      <c r="H169" s="1004"/>
      <c r="I169" s="1005">
        <f t="shared" si="6"/>
        <v>48000</v>
      </c>
      <c r="J169" s="1010"/>
      <c r="K169" s="1004"/>
      <c r="L169" s="1005">
        <f t="shared" si="7"/>
        <v>48000</v>
      </c>
      <c r="M169" s="1010"/>
      <c r="N169" s="1004"/>
      <c r="O169" s="1005">
        <f t="shared" si="8"/>
        <v>48000</v>
      </c>
      <c r="P169" s="1006" t="str">
        <f t="shared" si="11"/>
        <v>OK!</v>
      </c>
    </row>
    <row r="170" spans="1:16" x14ac:dyDescent="0.2">
      <c r="A170" s="1036" t="s">
        <v>2342</v>
      </c>
      <c r="B170" s="1004" t="s">
        <v>2437</v>
      </c>
      <c r="C170" s="1004">
        <v>48000</v>
      </c>
      <c r="E170" s="1004"/>
      <c r="F170" s="1005">
        <f t="shared" si="5"/>
        <v>48000</v>
      </c>
      <c r="H170" s="1004"/>
      <c r="I170" s="1005">
        <f t="shared" si="6"/>
        <v>48000</v>
      </c>
      <c r="J170" s="1010"/>
      <c r="K170" s="1004"/>
      <c r="L170" s="1005">
        <f t="shared" si="7"/>
        <v>48000</v>
      </c>
      <c r="M170" s="1010"/>
      <c r="N170" s="1004"/>
      <c r="O170" s="1005">
        <f t="shared" si="8"/>
        <v>48000</v>
      </c>
      <c r="P170" s="1006" t="str">
        <f t="shared" si="11"/>
        <v>OK!</v>
      </c>
    </row>
    <row r="171" spans="1:16" x14ac:dyDescent="0.2">
      <c r="A171" s="1036" t="s">
        <v>2342</v>
      </c>
      <c r="B171" s="1004" t="s">
        <v>2438</v>
      </c>
      <c r="C171" s="1004">
        <v>48000</v>
      </c>
      <c r="E171" s="1004"/>
      <c r="F171" s="1005">
        <f t="shared" si="5"/>
        <v>48000</v>
      </c>
      <c r="H171" s="1004"/>
      <c r="I171" s="1005">
        <f t="shared" si="6"/>
        <v>48000</v>
      </c>
      <c r="J171" s="1010"/>
      <c r="K171" s="1004"/>
      <c r="L171" s="1005">
        <f t="shared" si="7"/>
        <v>48000</v>
      </c>
      <c r="M171" s="1010"/>
      <c r="N171" s="1004"/>
      <c r="O171" s="1005">
        <f t="shared" si="8"/>
        <v>48000</v>
      </c>
      <c r="P171" s="1006" t="str">
        <f t="shared" si="11"/>
        <v>OK!</v>
      </c>
    </row>
    <row r="172" spans="1:16" x14ac:dyDescent="0.2">
      <c r="A172" s="1036" t="s">
        <v>2342</v>
      </c>
      <c r="B172" s="1004" t="s">
        <v>2439</v>
      </c>
      <c r="C172" s="1004">
        <v>48000</v>
      </c>
      <c r="E172" s="1004"/>
      <c r="F172" s="1005">
        <f t="shared" si="5"/>
        <v>48000</v>
      </c>
      <c r="H172" s="1004"/>
      <c r="I172" s="1005">
        <f t="shared" si="6"/>
        <v>48000</v>
      </c>
      <c r="J172" s="1010"/>
      <c r="K172" s="1004"/>
      <c r="L172" s="1005">
        <f t="shared" si="7"/>
        <v>48000</v>
      </c>
      <c r="M172" s="1010"/>
      <c r="N172" s="1004"/>
      <c r="O172" s="1005">
        <f t="shared" si="8"/>
        <v>48000</v>
      </c>
      <c r="P172" s="1006" t="str">
        <f t="shared" si="11"/>
        <v>OK!</v>
      </c>
    </row>
    <row r="173" spans="1:16" x14ac:dyDescent="0.2">
      <c r="A173" s="1036" t="s">
        <v>2342</v>
      </c>
      <c r="B173" s="1004" t="s">
        <v>2440</v>
      </c>
      <c r="C173" s="1004">
        <v>48000</v>
      </c>
      <c r="E173" s="1004"/>
      <c r="F173" s="1005">
        <f t="shared" si="5"/>
        <v>48000</v>
      </c>
      <c r="H173" s="1004"/>
      <c r="I173" s="1005">
        <f t="shared" si="6"/>
        <v>48000</v>
      </c>
      <c r="J173" s="1010"/>
      <c r="K173" s="1004"/>
      <c r="L173" s="1005">
        <f t="shared" si="7"/>
        <v>48000</v>
      </c>
      <c r="M173" s="1010"/>
      <c r="N173" s="1004"/>
      <c r="O173" s="1005">
        <f t="shared" si="8"/>
        <v>48000</v>
      </c>
      <c r="P173" s="1006" t="str">
        <f t="shared" si="11"/>
        <v>OK!</v>
      </c>
    </row>
    <row r="174" spans="1:16" x14ac:dyDescent="0.2">
      <c r="A174" s="1036" t="s">
        <v>2342</v>
      </c>
      <c r="B174" s="1004" t="s">
        <v>2441</v>
      </c>
      <c r="C174" s="1004">
        <v>48000</v>
      </c>
      <c r="E174" s="1004"/>
      <c r="F174" s="1005">
        <f t="shared" si="5"/>
        <v>48000</v>
      </c>
      <c r="H174" s="1004"/>
      <c r="I174" s="1005">
        <f t="shared" si="6"/>
        <v>48000</v>
      </c>
      <c r="J174" s="1010"/>
      <c r="K174" s="1004"/>
      <c r="L174" s="1005">
        <f t="shared" si="7"/>
        <v>48000</v>
      </c>
      <c r="M174" s="1010"/>
      <c r="N174" s="1004"/>
      <c r="O174" s="1005">
        <f t="shared" si="8"/>
        <v>48000</v>
      </c>
      <c r="P174" s="1006" t="str">
        <f t="shared" si="11"/>
        <v>OK!</v>
      </c>
    </row>
    <row r="175" spans="1:16" x14ac:dyDescent="0.2">
      <c r="A175" s="1036" t="s">
        <v>2342</v>
      </c>
      <c r="B175" s="1004" t="s">
        <v>2442</v>
      </c>
      <c r="C175" s="1004">
        <v>48000</v>
      </c>
      <c r="E175" s="1004"/>
      <c r="F175" s="1005">
        <f t="shared" si="5"/>
        <v>48000</v>
      </c>
      <c r="H175" s="1004"/>
      <c r="I175" s="1005">
        <f t="shared" si="6"/>
        <v>48000</v>
      </c>
      <c r="J175" s="1010"/>
      <c r="K175" s="1004"/>
      <c r="L175" s="1005">
        <f t="shared" si="7"/>
        <v>48000</v>
      </c>
      <c r="M175" s="1010"/>
      <c r="N175" s="1004"/>
      <c r="O175" s="1005">
        <f t="shared" si="8"/>
        <v>48000</v>
      </c>
      <c r="P175" s="1006" t="str">
        <f t="shared" si="11"/>
        <v>OK!</v>
      </c>
    </row>
    <row r="176" spans="1:16" x14ac:dyDescent="0.2">
      <c r="A176" s="1036" t="s">
        <v>2337</v>
      </c>
      <c r="B176" s="1004" t="s">
        <v>2443</v>
      </c>
      <c r="C176" s="1004">
        <v>51169</v>
      </c>
      <c r="E176" s="1004"/>
      <c r="F176" s="1005">
        <f t="shared" si="5"/>
        <v>51169</v>
      </c>
      <c r="H176" s="1004"/>
      <c r="I176" s="1005">
        <f t="shared" si="6"/>
        <v>51169</v>
      </c>
      <c r="J176" s="1010"/>
      <c r="K176" s="1004"/>
      <c r="L176" s="1005">
        <f t="shared" si="7"/>
        <v>51169</v>
      </c>
      <c r="M176" s="1010"/>
      <c r="N176" s="1004"/>
      <c r="O176" s="1005">
        <f t="shared" si="8"/>
        <v>51169</v>
      </c>
      <c r="P176" s="1006" t="str">
        <f t="shared" si="11"/>
        <v>OK!</v>
      </c>
    </row>
    <row r="177" spans="1:16" x14ac:dyDescent="0.2">
      <c r="A177" s="1036" t="s">
        <v>2337</v>
      </c>
      <c r="B177" s="1004" t="s">
        <v>2443</v>
      </c>
      <c r="C177" s="1004">
        <v>30960</v>
      </c>
      <c r="E177" s="1004"/>
      <c r="F177" s="1005">
        <f t="shared" si="5"/>
        <v>30960</v>
      </c>
      <c r="H177" s="1004"/>
      <c r="I177" s="1005">
        <f t="shared" si="6"/>
        <v>30960</v>
      </c>
      <c r="J177" s="1010"/>
      <c r="K177" s="1004"/>
      <c r="L177" s="1005">
        <f t="shared" si="7"/>
        <v>30960</v>
      </c>
      <c r="M177" s="1010"/>
      <c r="N177" s="1004"/>
      <c r="O177" s="1005">
        <f t="shared" si="8"/>
        <v>30960</v>
      </c>
      <c r="P177" s="1006" t="str">
        <f t="shared" si="11"/>
        <v>OK!</v>
      </c>
    </row>
    <row r="178" spans="1:16" x14ac:dyDescent="0.2">
      <c r="A178" s="1036" t="s">
        <v>2341</v>
      </c>
      <c r="B178" s="1004" t="s">
        <v>2444</v>
      </c>
      <c r="C178" s="1004">
        <v>54600</v>
      </c>
      <c r="E178" s="1004"/>
      <c r="F178" s="1005">
        <f t="shared" si="5"/>
        <v>54600</v>
      </c>
      <c r="H178" s="1004"/>
      <c r="I178" s="1005">
        <f t="shared" si="6"/>
        <v>54600</v>
      </c>
      <c r="J178" s="1010"/>
      <c r="K178" s="1004"/>
      <c r="L178" s="1005">
        <f t="shared" ref="L178:L232" si="12">I178-K178</f>
        <v>54600</v>
      </c>
      <c r="M178" s="1010"/>
      <c r="N178" s="1004"/>
      <c r="O178" s="1005">
        <f t="shared" si="8"/>
        <v>54600</v>
      </c>
      <c r="P178" s="1006" t="str">
        <f t="shared" si="11"/>
        <v>OK!</v>
      </c>
    </row>
    <row r="179" spans="1:16" x14ac:dyDescent="0.2">
      <c r="A179" s="1036" t="s">
        <v>2343</v>
      </c>
      <c r="B179" s="1004" t="s">
        <v>2445</v>
      </c>
      <c r="C179" s="1004">
        <v>13200</v>
      </c>
      <c r="E179" s="1004"/>
      <c r="F179" s="1005">
        <f t="shared" si="5"/>
        <v>13200</v>
      </c>
      <c r="H179" s="1004"/>
      <c r="I179" s="1005">
        <f t="shared" si="6"/>
        <v>13200</v>
      </c>
      <c r="J179" s="1010"/>
      <c r="K179" s="1004"/>
      <c r="L179" s="1005">
        <f t="shared" si="12"/>
        <v>13200</v>
      </c>
      <c r="M179" s="1010"/>
      <c r="N179" s="1004"/>
      <c r="O179" s="1005">
        <f t="shared" si="8"/>
        <v>13200</v>
      </c>
      <c r="P179" s="1006" t="str">
        <f t="shared" si="11"/>
        <v>OK!</v>
      </c>
    </row>
    <row r="180" spans="1:16" x14ac:dyDescent="0.2">
      <c r="A180" s="1036" t="s">
        <v>2344</v>
      </c>
      <c r="B180" s="1004" t="s">
        <v>2446</v>
      </c>
      <c r="C180" s="1004">
        <v>38400</v>
      </c>
      <c r="E180" s="1004"/>
      <c r="F180" s="1005">
        <f t="shared" si="5"/>
        <v>38400</v>
      </c>
      <c r="H180" s="1004"/>
      <c r="I180" s="1005">
        <f t="shared" ref="I180:I232" si="13">F180-H180</f>
        <v>38400</v>
      </c>
      <c r="J180" s="1010"/>
      <c r="K180" s="1004"/>
      <c r="L180" s="1005">
        <f t="shared" si="12"/>
        <v>38400</v>
      </c>
      <c r="M180" s="1010"/>
      <c r="N180" s="1004"/>
      <c r="O180" s="1005">
        <f t="shared" si="8"/>
        <v>38400</v>
      </c>
      <c r="P180" s="1006" t="str">
        <f t="shared" si="11"/>
        <v>OK!</v>
      </c>
    </row>
    <row r="181" spans="1:16" x14ac:dyDescent="0.2">
      <c r="A181" s="1036" t="s">
        <v>2345</v>
      </c>
      <c r="B181" s="1004" t="s">
        <v>2447</v>
      </c>
      <c r="C181" s="1004">
        <v>125160</v>
      </c>
      <c r="E181" s="1004"/>
      <c r="F181" s="1005">
        <f t="shared" si="5"/>
        <v>125160</v>
      </c>
      <c r="H181" s="1004"/>
      <c r="I181" s="1005">
        <f t="shared" si="13"/>
        <v>125160</v>
      </c>
      <c r="J181" s="1010"/>
      <c r="K181" s="1004"/>
      <c r="L181" s="1005">
        <f t="shared" si="12"/>
        <v>125160</v>
      </c>
      <c r="M181" s="1010"/>
      <c r="N181" s="1004"/>
      <c r="O181" s="1005">
        <f t="shared" si="8"/>
        <v>125160</v>
      </c>
      <c r="P181" s="1006" t="str">
        <f t="shared" si="11"/>
        <v>OK!</v>
      </c>
    </row>
    <row r="182" spans="1:16" x14ac:dyDescent="0.2">
      <c r="A182" s="1036" t="s">
        <v>2346</v>
      </c>
      <c r="B182" s="1004" t="s">
        <v>2448</v>
      </c>
      <c r="C182" s="1004">
        <v>319680</v>
      </c>
      <c r="E182" s="1004"/>
      <c r="F182" s="1005">
        <f t="shared" si="5"/>
        <v>319680</v>
      </c>
      <c r="H182" s="1004"/>
      <c r="I182" s="1005">
        <f t="shared" si="13"/>
        <v>319680</v>
      </c>
      <c r="J182" s="1010"/>
      <c r="K182" s="1004"/>
      <c r="L182" s="1005">
        <f t="shared" si="12"/>
        <v>319680</v>
      </c>
      <c r="M182" s="1010"/>
      <c r="N182" s="1004"/>
      <c r="O182" s="1005">
        <f t="shared" si="8"/>
        <v>319680</v>
      </c>
      <c r="P182" s="1006" t="str">
        <f t="shared" si="11"/>
        <v>OK!</v>
      </c>
    </row>
    <row r="183" spans="1:16" x14ac:dyDescent="0.2">
      <c r="A183" s="1036" t="s">
        <v>2347</v>
      </c>
      <c r="B183" s="1004" t="s">
        <v>1941</v>
      </c>
      <c r="C183" s="1004">
        <v>33600</v>
      </c>
      <c r="E183" s="1004"/>
      <c r="F183" s="1005">
        <f t="shared" si="5"/>
        <v>33600</v>
      </c>
      <c r="H183" s="1004"/>
      <c r="I183" s="1005">
        <f t="shared" si="13"/>
        <v>33600</v>
      </c>
      <c r="J183" s="1010"/>
      <c r="K183" s="1004"/>
      <c r="L183" s="1005">
        <f t="shared" si="12"/>
        <v>33600</v>
      </c>
      <c r="M183" s="1010"/>
      <c r="N183" s="1004"/>
      <c r="O183" s="1005">
        <f t="shared" si="8"/>
        <v>33600</v>
      </c>
      <c r="P183" s="1006" t="str">
        <f t="shared" si="11"/>
        <v>OK!</v>
      </c>
    </row>
    <row r="184" spans="1:16" x14ac:dyDescent="0.2">
      <c r="A184" s="1036" t="s">
        <v>2348</v>
      </c>
      <c r="B184" s="1004" t="s">
        <v>2449</v>
      </c>
      <c r="C184" s="1004">
        <v>177600</v>
      </c>
      <c r="E184" s="1004"/>
      <c r="F184" s="1005">
        <f t="shared" si="5"/>
        <v>177600</v>
      </c>
      <c r="H184" s="1004"/>
      <c r="I184" s="1005">
        <f t="shared" si="13"/>
        <v>177600</v>
      </c>
      <c r="J184" s="1010"/>
      <c r="K184" s="1004"/>
      <c r="L184" s="1005">
        <f t="shared" si="12"/>
        <v>177600</v>
      </c>
      <c r="M184" s="1010"/>
      <c r="N184" s="1004"/>
      <c r="O184" s="1005">
        <f t="shared" ref="O184:O247" si="14">L184-N184</f>
        <v>177600</v>
      </c>
      <c r="P184" s="1006" t="str">
        <f t="shared" si="11"/>
        <v>OK!</v>
      </c>
    </row>
    <row r="185" spans="1:16" x14ac:dyDescent="0.2">
      <c r="A185" s="1036" t="s">
        <v>2349</v>
      </c>
      <c r="B185" s="1004" t="s">
        <v>2450</v>
      </c>
      <c r="C185" s="1004">
        <v>196108</v>
      </c>
      <c r="E185" s="1004"/>
      <c r="F185" s="1005">
        <f t="shared" si="5"/>
        <v>196108</v>
      </c>
      <c r="H185" s="1004"/>
      <c r="I185" s="1005">
        <f t="shared" si="13"/>
        <v>196108</v>
      </c>
      <c r="J185" s="1010"/>
      <c r="K185" s="1004"/>
      <c r="L185" s="1005">
        <f t="shared" si="12"/>
        <v>196108</v>
      </c>
      <c r="M185" s="1010"/>
      <c r="N185" s="1004"/>
      <c r="O185" s="1005">
        <f t="shared" si="14"/>
        <v>196108</v>
      </c>
      <c r="P185" s="1006" t="str">
        <f t="shared" si="11"/>
        <v>OK!</v>
      </c>
    </row>
    <row r="186" spans="1:16" x14ac:dyDescent="0.2">
      <c r="A186" s="1036" t="s">
        <v>2350</v>
      </c>
      <c r="B186" s="1004" t="s">
        <v>1942</v>
      </c>
      <c r="C186" s="1004">
        <v>56040</v>
      </c>
      <c r="E186" s="1004"/>
      <c r="F186" s="1005">
        <f t="shared" si="5"/>
        <v>56040</v>
      </c>
      <c r="H186" s="1004"/>
      <c r="I186" s="1005">
        <f t="shared" si="13"/>
        <v>56040</v>
      </c>
      <c r="J186" s="1010"/>
      <c r="K186" s="1004"/>
      <c r="L186" s="1005">
        <f t="shared" si="12"/>
        <v>56040</v>
      </c>
      <c r="M186" s="1010"/>
      <c r="N186" s="1004"/>
      <c r="O186" s="1005">
        <f t="shared" si="14"/>
        <v>56040</v>
      </c>
      <c r="P186" s="1006" t="str">
        <f t="shared" si="11"/>
        <v>OK!</v>
      </c>
    </row>
    <row r="187" spans="1:16" x14ac:dyDescent="0.2">
      <c r="A187" s="1036" t="s">
        <v>2282</v>
      </c>
      <c r="B187" s="1004" t="s">
        <v>2412</v>
      </c>
      <c r="C187" s="1004">
        <v>69000</v>
      </c>
      <c r="E187" s="1004"/>
      <c r="F187" s="1005">
        <f t="shared" si="5"/>
        <v>69000</v>
      </c>
      <c r="H187" s="1004"/>
      <c r="I187" s="1005">
        <f t="shared" si="13"/>
        <v>69000</v>
      </c>
      <c r="J187" s="1010"/>
      <c r="K187" s="1004"/>
      <c r="L187" s="1005">
        <f t="shared" si="12"/>
        <v>69000</v>
      </c>
      <c r="M187" s="1010"/>
      <c r="N187" s="1004"/>
      <c r="O187" s="1005">
        <f t="shared" si="14"/>
        <v>69000</v>
      </c>
      <c r="P187" s="1006" t="str">
        <f t="shared" si="11"/>
        <v>OK!</v>
      </c>
    </row>
    <row r="188" spans="1:16" x14ac:dyDescent="0.2">
      <c r="A188" s="1036" t="s">
        <v>2351</v>
      </c>
      <c r="B188" s="1004" t="s">
        <v>2451</v>
      </c>
      <c r="C188" s="1004">
        <v>5000</v>
      </c>
      <c r="E188" s="1004"/>
      <c r="F188" s="1005">
        <f t="shared" si="5"/>
        <v>5000</v>
      </c>
      <c r="H188" s="1004"/>
      <c r="I188" s="1005">
        <f t="shared" si="13"/>
        <v>5000</v>
      </c>
      <c r="J188" s="1010"/>
      <c r="K188" s="1004"/>
      <c r="L188" s="1005">
        <f t="shared" si="12"/>
        <v>5000</v>
      </c>
      <c r="M188" s="1010"/>
      <c r="N188" s="1004"/>
      <c r="O188" s="1005">
        <f t="shared" si="14"/>
        <v>5000</v>
      </c>
      <c r="P188" s="1006" t="str">
        <f t="shared" si="11"/>
        <v>OK!</v>
      </c>
    </row>
    <row r="189" spans="1:16" x14ac:dyDescent="0.2">
      <c r="A189" s="1036" t="s">
        <v>2352</v>
      </c>
      <c r="B189" s="1004" t="s">
        <v>2452</v>
      </c>
      <c r="C189" s="1004">
        <v>199962</v>
      </c>
      <c r="E189" s="1004"/>
      <c r="F189" s="1005">
        <f t="shared" si="5"/>
        <v>199962</v>
      </c>
      <c r="H189" s="1004"/>
      <c r="I189" s="1005">
        <f t="shared" si="13"/>
        <v>199962</v>
      </c>
      <c r="J189" s="1010"/>
      <c r="K189" s="1004"/>
      <c r="L189" s="1005">
        <f t="shared" si="12"/>
        <v>199962</v>
      </c>
      <c r="M189" s="1010"/>
      <c r="N189" s="1004"/>
      <c r="O189" s="1005">
        <f t="shared" si="14"/>
        <v>199962</v>
      </c>
      <c r="P189" s="1006" t="str">
        <f t="shared" si="11"/>
        <v>OK!</v>
      </c>
    </row>
    <row r="190" spans="1:16" x14ac:dyDescent="0.2">
      <c r="A190" s="1036" t="s">
        <v>2353</v>
      </c>
      <c r="B190" s="1004" t="s">
        <v>2453</v>
      </c>
      <c r="C190" s="1004">
        <v>90000</v>
      </c>
      <c r="E190" s="1004"/>
      <c r="F190" s="1005">
        <f t="shared" si="5"/>
        <v>90000</v>
      </c>
      <c r="H190" s="1004"/>
      <c r="I190" s="1005">
        <f t="shared" si="13"/>
        <v>90000</v>
      </c>
      <c r="J190" s="1010"/>
      <c r="K190" s="1004"/>
      <c r="L190" s="1005">
        <f t="shared" si="12"/>
        <v>90000</v>
      </c>
      <c r="M190" s="1010"/>
      <c r="N190" s="1004"/>
      <c r="O190" s="1005">
        <f t="shared" si="14"/>
        <v>90000</v>
      </c>
      <c r="P190" s="1006" t="str">
        <f t="shared" si="11"/>
        <v>OK!</v>
      </c>
    </row>
    <row r="191" spans="1:16" x14ac:dyDescent="0.2">
      <c r="A191" s="1036" t="s">
        <v>2354</v>
      </c>
      <c r="B191" s="1004" t="s">
        <v>2454</v>
      </c>
      <c r="C191" s="1004">
        <v>318000</v>
      </c>
      <c r="E191" s="1004"/>
      <c r="F191" s="1005">
        <f t="shared" si="5"/>
        <v>318000</v>
      </c>
      <c r="H191" s="1004"/>
      <c r="I191" s="1005">
        <f t="shared" si="13"/>
        <v>318000</v>
      </c>
      <c r="J191" s="1010"/>
      <c r="K191" s="1004"/>
      <c r="L191" s="1005">
        <f t="shared" si="12"/>
        <v>318000</v>
      </c>
      <c r="M191" s="1010"/>
      <c r="N191" s="1004"/>
      <c r="O191" s="1005">
        <f t="shared" si="14"/>
        <v>318000</v>
      </c>
      <c r="P191" s="1006" t="str">
        <f t="shared" si="11"/>
        <v>OK!</v>
      </c>
    </row>
    <row r="192" spans="1:16" x14ac:dyDescent="0.2">
      <c r="A192" s="1036" t="s">
        <v>2355</v>
      </c>
      <c r="B192" s="1004" t="s">
        <v>2455</v>
      </c>
      <c r="C192" s="1004">
        <v>1094400</v>
      </c>
      <c r="E192" s="1004"/>
      <c r="F192" s="1005">
        <f t="shared" si="5"/>
        <v>1094400</v>
      </c>
      <c r="H192" s="1004"/>
      <c r="I192" s="1005">
        <f t="shared" si="13"/>
        <v>1094400</v>
      </c>
      <c r="J192" s="1010"/>
      <c r="K192" s="1004"/>
      <c r="L192" s="1005">
        <f t="shared" si="12"/>
        <v>1094400</v>
      </c>
      <c r="M192" s="1010"/>
      <c r="N192" s="1004">
        <v>1094400</v>
      </c>
      <c r="O192" s="1005">
        <f t="shared" si="14"/>
        <v>0</v>
      </c>
      <c r="P192" s="1006" t="str">
        <f t="shared" si="11"/>
        <v>OK!</v>
      </c>
    </row>
    <row r="193" spans="1:16" x14ac:dyDescent="0.2">
      <c r="A193" s="1036" t="s">
        <v>2355</v>
      </c>
      <c r="B193" s="1004" t="s">
        <v>2456</v>
      </c>
      <c r="C193" s="1004">
        <v>660018</v>
      </c>
      <c r="E193" s="1004"/>
      <c r="F193" s="1005">
        <f t="shared" si="5"/>
        <v>660018</v>
      </c>
      <c r="H193" s="1004"/>
      <c r="I193" s="1005">
        <f t="shared" si="13"/>
        <v>660018</v>
      </c>
      <c r="J193" s="1010"/>
      <c r="K193" s="1004"/>
      <c r="L193" s="1005">
        <f t="shared" si="12"/>
        <v>660018</v>
      </c>
      <c r="M193" s="1010"/>
      <c r="N193" s="1004">
        <v>660018</v>
      </c>
      <c r="O193" s="1005">
        <f t="shared" si="14"/>
        <v>0</v>
      </c>
      <c r="P193" s="1006" t="str">
        <f t="shared" si="11"/>
        <v>OK!</v>
      </c>
    </row>
    <row r="194" spans="1:16" x14ac:dyDescent="0.2">
      <c r="A194" s="1036" t="s">
        <v>2355</v>
      </c>
      <c r="B194" s="1004" t="s">
        <v>2457</v>
      </c>
      <c r="C194" s="1004">
        <v>198400</v>
      </c>
      <c r="E194" s="1004"/>
      <c r="F194" s="1005">
        <f t="shared" si="5"/>
        <v>198400</v>
      </c>
      <c r="H194" s="1004"/>
      <c r="I194" s="1005">
        <f t="shared" si="13"/>
        <v>198400</v>
      </c>
      <c r="J194" s="1010"/>
      <c r="K194" s="1004">
        <v>198400</v>
      </c>
      <c r="L194" s="1005">
        <f t="shared" si="12"/>
        <v>0</v>
      </c>
      <c r="M194" s="1010"/>
      <c r="N194" s="1004"/>
      <c r="O194" s="1005">
        <f t="shared" si="14"/>
        <v>0</v>
      </c>
      <c r="P194" s="1006" t="str">
        <f t="shared" si="11"/>
        <v>OK!</v>
      </c>
    </row>
    <row r="195" spans="1:16" x14ac:dyDescent="0.2">
      <c r="A195" s="1036" t="s">
        <v>2356</v>
      </c>
      <c r="B195" s="1004" t="s">
        <v>2458</v>
      </c>
      <c r="C195" s="1004">
        <v>5000</v>
      </c>
      <c r="E195" s="1004"/>
      <c r="F195" s="1005">
        <f t="shared" si="5"/>
        <v>5000</v>
      </c>
      <c r="H195" s="1004"/>
      <c r="I195" s="1005">
        <f t="shared" si="13"/>
        <v>5000</v>
      </c>
      <c r="J195" s="1010"/>
      <c r="K195" s="1004">
        <v>5000</v>
      </c>
      <c r="L195" s="1005">
        <f t="shared" si="12"/>
        <v>0</v>
      </c>
      <c r="M195" s="1010"/>
      <c r="N195" s="1004"/>
      <c r="O195" s="1005">
        <f t="shared" si="14"/>
        <v>0</v>
      </c>
      <c r="P195" s="1006" t="str">
        <f t="shared" si="11"/>
        <v>OK!</v>
      </c>
    </row>
    <row r="196" spans="1:16" x14ac:dyDescent="0.2">
      <c r="A196" s="1036" t="s">
        <v>2357</v>
      </c>
      <c r="B196" s="1004" t="s">
        <v>2459</v>
      </c>
      <c r="C196" s="1004">
        <v>72000</v>
      </c>
      <c r="E196" s="1004"/>
      <c r="F196" s="1005">
        <f t="shared" si="5"/>
        <v>72000</v>
      </c>
      <c r="H196" s="1004"/>
      <c r="I196" s="1005">
        <f t="shared" si="13"/>
        <v>72000</v>
      </c>
      <c r="J196" s="1010"/>
      <c r="K196" s="1004">
        <v>72000</v>
      </c>
      <c r="L196" s="1005">
        <f t="shared" si="12"/>
        <v>0</v>
      </c>
      <c r="M196" s="1010"/>
      <c r="N196" s="1004"/>
      <c r="O196" s="1005">
        <f t="shared" si="14"/>
        <v>0</v>
      </c>
      <c r="P196" s="1006" t="str">
        <f t="shared" si="11"/>
        <v>OK!</v>
      </c>
    </row>
    <row r="197" spans="1:16" x14ac:dyDescent="0.2">
      <c r="A197" s="1036" t="s">
        <v>2358</v>
      </c>
      <c r="B197" s="1004" t="s">
        <v>2460</v>
      </c>
      <c r="C197" s="1004">
        <v>45000</v>
      </c>
      <c r="E197" s="1004"/>
      <c r="F197" s="1005">
        <f t="shared" si="5"/>
        <v>45000</v>
      </c>
      <c r="H197" s="1004"/>
      <c r="I197" s="1005">
        <f t="shared" si="13"/>
        <v>45000</v>
      </c>
      <c r="J197" s="1010"/>
      <c r="K197" s="1004"/>
      <c r="L197" s="1005">
        <f t="shared" si="12"/>
        <v>45000</v>
      </c>
      <c r="M197" s="1010"/>
      <c r="N197" s="1004"/>
      <c r="O197" s="1005">
        <f t="shared" si="14"/>
        <v>45000</v>
      </c>
      <c r="P197" s="1006" t="str">
        <f t="shared" si="11"/>
        <v>OK!</v>
      </c>
    </row>
    <row r="198" spans="1:16" x14ac:dyDescent="0.2">
      <c r="A198" s="1036" t="s">
        <v>2297</v>
      </c>
      <c r="B198" s="1004" t="s">
        <v>2461</v>
      </c>
      <c r="C198" s="1004">
        <v>544800</v>
      </c>
      <c r="E198" s="1004"/>
      <c r="F198" s="1005">
        <f t="shared" si="5"/>
        <v>544800</v>
      </c>
      <c r="H198" s="1004"/>
      <c r="I198" s="1005">
        <f t="shared" si="13"/>
        <v>544800</v>
      </c>
      <c r="J198" s="1010"/>
      <c r="K198" s="1004"/>
      <c r="L198" s="1005">
        <f t="shared" si="12"/>
        <v>544800</v>
      </c>
      <c r="M198" s="1010"/>
      <c r="N198" s="1004"/>
      <c r="O198" s="1005">
        <f t="shared" si="14"/>
        <v>544800</v>
      </c>
      <c r="P198" s="1006" t="str">
        <f t="shared" si="11"/>
        <v>OK!</v>
      </c>
    </row>
    <row r="199" spans="1:16" x14ac:dyDescent="0.2">
      <c r="A199" s="1036" t="s">
        <v>2359</v>
      </c>
      <c r="B199" s="1004" t="s">
        <v>2462</v>
      </c>
      <c r="C199" s="1004">
        <v>50000</v>
      </c>
      <c r="E199" s="1004"/>
      <c r="F199" s="1005">
        <f t="shared" si="5"/>
        <v>50000</v>
      </c>
      <c r="H199" s="1004"/>
      <c r="I199" s="1005">
        <f t="shared" si="13"/>
        <v>50000</v>
      </c>
      <c r="J199" s="1010"/>
      <c r="K199" s="1004"/>
      <c r="L199" s="1005">
        <f t="shared" si="12"/>
        <v>50000</v>
      </c>
      <c r="M199" s="1010"/>
      <c r="N199" s="1004"/>
      <c r="O199" s="1005">
        <f t="shared" si="14"/>
        <v>50000</v>
      </c>
      <c r="P199" s="1006" t="str">
        <f t="shared" si="11"/>
        <v>OK!</v>
      </c>
    </row>
    <row r="200" spans="1:16" x14ac:dyDescent="0.2">
      <c r="A200" s="1036" t="s">
        <v>2360</v>
      </c>
      <c r="B200" s="1004" t="s">
        <v>2463</v>
      </c>
      <c r="C200" s="1004">
        <v>114805</v>
      </c>
      <c r="E200" s="1004"/>
      <c r="F200" s="1005">
        <f t="shared" si="5"/>
        <v>114805</v>
      </c>
      <c r="H200" s="1004"/>
      <c r="I200" s="1005">
        <f t="shared" si="13"/>
        <v>114805</v>
      </c>
      <c r="J200" s="1010"/>
      <c r="K200" s="1004"/>
      <c r="L200" s="1005">
        <f t="shared" si="12"/>
        <v>114805</v>
      </c>
      <c r="M200" s="1010"/>
      <c r="N200" s="1004"/>
      <c r="O200" s="1005">
        <f t="shared" si="14"/>
        <v>114805</v>
      </c>
      <c r="P200" s="1006" t="str">
        <f t="shared" si="11"/>
        <v>OK!</v>
      </c>
    </row>
    <row r="201" spans="1:16" x14ac:dyDescent="0.2">
      <c r="A201" s="1036" t="s">
        <v>2361</v>
      </c>
      <c r="B201" s="1004" t="s">
        <v>2464</v>
      </c>
      <c r="C201" s="1004">
        <v>236040</v>
      </c>
      <c r="E201" s="1004"/>
      <c r="F201" s="1005">
        <f t="shared" si="5"/>
        <v>236040</v>
      </c>
      <c r="H201" s="1004"/>
      <c r="I201" s="1005">
        <f t="shared" si="13"/>
        <v>236040</v>
      </c>
      <c r="J201" s="1010"/>
      <c r="K201" s="1004"/>
      <c r="L201" s="1005">
        <f t="shared" si="12"/>
        <v>236040</v>
      </c>
      <c r="M201" s="1010"/>
      <c r="N201" s="1004"/>
      <c r="O201" s="1005">
        <f t="shared" si="14"/>
        <v>236040</v>
      </c>
      <c r="P201" s="1006" t="str">
        <f t="shared" si="11"/>
        <v>OK!</v>
      </c>
    </row>
    <row r="202" spans="1:16" x14ac:dyDescent="0.2">
      <c r="A202" s="1036" t="s">
        <v>2362</v>
      </c>
      <c r="B202" s="1004" t="s">
        <v>2465</v>
      </c>
      <c r="C202" s="1004">
        <v>8500</v>
      </c>
      <c r="E202" s="1004"/>
      <c r="F202" s="1005">
        <f t="shared" si="5"/>
        <v>8500</v>
      </c>
      <c r="H202" s="1004"/>
      <c r="I202" s="1005">
        <f t="shared" si="13"/>
        <v>8500</v>
      </c>
      <c r="J202" s="1010"/>
      <c r="K202" s="1004"/>
      <c r="L202" s="1005">
        <f t="shared" si="12"/>
        <v>8500</v>
      </c>
      <c r="M202" s="1010"/>
      <c r="N202" s="1004"/>
      <c r="O202" s="1005">
        <f t="shared" si="14"/>
        <v>8500</v>
      </c>
      <c r="P202" s="1006" t="str">
        <f t="shared" si="11"/>
        <v>OK!</v>
      </c>
    </row>
    <row r="203" spans="1:16" x14ac:dyDescent="0.2">
      <c r="A203" s="1036" t="s">
        <v>2363</v>
      </c>
      <c r="B203" s="1004" t="s">
        <v>2466</v>
      </c>
      <c r="C203" s="1004">
        <v>18000</v>
      </c>
      <c r="E203" s="1004"/>
      <c r="F203" s="1005">
        <f t="shared" si="5"/>
        <v>18000</v>
      </c>
      <c r="H203" s="1004"/>
      <c r="I203" s="1005">
        <f t="shared" si="13"/>
        <v>18000</v>
      </c>
      <c r="J203" s="1010"/>
      <c r="K203" s="1004"/>
      <c r="L203" s="1005">
        <f t="shared" si="12"/>
        <v>18000</v>
      </c>
      <c r="M203" s="1010"/>
      <c r="N203" s="1004"/>
      <c r="O203" s="1005">
        <f t="shared" si="14"/>
        <v>18000</v>
      </c>
      <c r="P203" s="1006" t="str">
        <f t="shared" si="11"/>
        <v>OK!</v>
      </c>
    </row>
    <row r="204" spans="1:16" x14ac:dyDescent="0.2">
      <c r="A204" s="1036" t="s">
        <v>2364</v>
      </c>
      <c r="B204" s="1004" t="s">
        <v>2467</v>
      </c>
      <c r="C204" s="1004">
        <v>6350</v>
      </c>
      <c r="E204" s="1004"/>
      <c r="F204" s="1005">
        <f t="shared" si="5"/>
        <v>6350</v>
      </c>
      <c r="H204" s="1004"/>
      <c r="I204" s="1005">
        <f t="shared" si="13"/>
        <v>6350</v>
      </c>
      <c r="J204" s="1010"/>
      <c r="K204" s="1004"/>
      <c r="L204" s="1005">
        <f t="shared" si="12"/>
        <v>6350</v>
      </c>
      <c r="M204" s="1010"/>
      <c r="N204" s="1004"/>
      <c r="O204" s="1005">
        <f t="shared" si="14"/>
        <v>6350</v>
      </c>
      <c r="P204" s="1006" t="str">
        <f t="shared" si="11"/>
        <v>OK!</v>
      </c>
    </row>
    <row r="205" spans="1:16" x14ac:dyDescent="0.2">
      <c r="A205" s="1036" t="s">
        <v>2365</v>
      </c>
      <c r="B205" s="1004" t="s">
        <v>2468</v>
      </c>
      <c r="C205" s="1004">
        <v>13980</v>
      </c>
      <c r="E205" s="1004"/>
      <c r="F205" s="1005">
        <f t="shared" si="5"/>
        <v>13980</v>
      </c>
      <c r="H205" s="1004"/>
      <c r="I205" s="1005">
        <f t="shared" si="13"/>
        <v>13980</v>
      </c>
      <c r="J205" s="1010"/>
      <c r="K205" s="1004"/>
      <c r="L205" s="1005">
        <f t="shared" si="12"/>
        <v>13980</v>
      </c>
      <c r="M205" s="1010"/>
      <c r="N205" s="1004"/>
      <c r="O205" s="1005">
        <f t="shared" si="14"/>
        <v>13980</v>
      </c>
      <c r="P205" s="1006" t="str">
        <f t="shared" si="11"/>
        <v>OK!</v>
      </c>
    </row>
    <row r="206" spans="1:16" x14ac:dyDescent="0.2">
      <c r="A206" s="1036" t="s">
        <v>2366</v>
      </c>
      <c r="B206" s="1004" t="s">
        <v>2469</v>
      </c>
      <c r="C206" s="1004">
        <v>15388</v>
      </c>
      <c r="E206" s="1004"/>
      <c r="F206" s="1005">
        <f t="shared" si="5"/>
        <v>15388</v>
      </c>
      <c r="H206" s="1004"/>
      <c r="I206" s="1005">
        <f t="shared" si="13"/>
        <v>15388</v>
      </c>
      <c r="J206" s="1010"/>
      <c r="K206" s="1004"/>
      <c r="L206" s="1005">
        <f t="shared" si="12"/>
        <v>15388</v>
      </c>
      <c r="M206" s="1010"/>
      <c r="N206" s="1004"/>
      <c r="O206" s="1005">
        <f t="shared" si="14"/>
        <v>15388</v>
      </c>
      <c r="P206" s="1006" t="str">
        <f t="shared" si="11"/>
        <v>OK!</v>
      </c>
    </row>
    <row r="207" spans="1:16" x14ac:dyDescent="0.2">
      <c r="A207" s="1036" t="s">
        <v>2367</v>
      </c>
      <c r="B207" s="1004" t="s">
        <v>2470</v>
      </c>
      <c r="C207" s="1004">
        <v>32014</v>
      </c>
      <c r="E207" s="1004"/>
      <c r="F207" s="1005">
        <f t="shared" si="5"/>
        <v>32014</v>
      </c>
      <c r="H207" s="1004"/>
      <c r="I207" s="1005">
        <f t="shared" si="13"/>
        <v>32014</v>
      </c>
      <c r="J207" s="1010"/>
      <c r="K207" s="1004"/>
      <c r="L207" s="1005">
        <f t="shared" si="12"/>
        <v>32014</v>
      </c>
      <c r="M207" s="1010"/>
      <c r="N207" s="1004"/>
      <c r="O207" s="1005">
        <f t="shared" si="14"/>
        <v>32014</v>
      </c>
      <c r="P207" s="1006" t="str">
        <f t="shared" si="11"/>
        <v>OK!</v>
      </c>
    </row>
    <row r="208" spans="1:16" x14ac:dyDescent="0.2">
      <c r="A208" s="1036" t="s">
        <v>2367</v>
      </c>
      <c r="B208" s="1004" t="s">
        <v>2471</v>
      </c>
      <c r="C208" s="1004">
        <v>9450</v>
      </c>
      <c r="E208" s="1004"/>
      <c r="F208" s="1005">
        <f t="shared" si="5"/>
        <v>9450</v>
      </c>
      <c r="H208" s="1004"/>
      <c r="I208" s="1005">
        <f t="shared" si="13"/>
        <v>9450</v>
      </c>
      <c r="J208" s="1010"/>
      <c r="K208" s="1004"/>
      <c r="L208" s="1005">
        <f t="shared" si="12"/>
        <v>9450</v>
      </c>
      <c r="M208" s="1010"/>
      <c r="N208" s="1004"/>
      <c r="O208" s="1005">
        <f t="shared" si="14"/>
        <v>9450</v>
      </c>
      <c r="P208" s="1006" t="str">
        <f t="shared" si="11"/>
        <v>OK!</v>
      </c>
    </row>
    <row r="209" spans="1:17" x14ac:dyDescent="0.2">
      <c r="A209" s="1036" t="s">
        <v>2367</v>
      </c>
      <c r="B209" s="1004" t="s">
        <v>2472</v>
      </c>
      <c r="C209" s="1004">
        <v>28100</v>
      </c>
      <c r="E209" s="1004"/>
      <c r="F209" s="1005">
        <f t="shared" si="5"/>
        <v>28100</v>
      </c>
      <c r="H209" s="1004"/>
      <c r="I209" s="1005">
        <f t="shared" si="13"/>
        <v>28100</v>
      </c>
      <c r="J209" s="1010"/>
      <c r="K209" s="1004"/>
      <c r="L209" s="1005">
        <f t="shared" si="12"/>
        <v>28100</v>
      </c>
      <c r="M209" s="1010"/>
      <c r="N209" s="1004"/>
      <c r="O209" s="1005">
        <f t="shared" si="14"/>
        <v>28100</v>
      </c>
      <c r="P209" s="1006" t="str">
        <f t="shared" si="11"/>
        <v>OK!</v>
      </c>
    </row>
    <row r="210" spans="1:17" x14ac:dyDescent="0.2">
      <c r="A210" s="1036" t="s">
        <v>2368</v>
      </c>
      <c r="B210" s="1004" t="s">
        <v>2473</v>
      </c>
      <c r="C210" s="1004">
        <v>81000</v>
      </c>
      <c r="E210" s="1004"/>
      <c r="F210" s="1005">
        <f t="shared" si="5"/>
        <v>81000</v>
      </c>
      <c r="H210" s="1004"/>
      <c r="I210" s="1005">
        <f t="shared" si="13"/>
        <v>81000</v>
      </c>
      <c r="J210" s="1010"/>
      <c r="K210" s="1004"/>
      <c r="L210" s="1005">
        <f t="shared" si="12"/>
        <v>81000</v>
      </c>
      <c r="M210" s="1010"/>
      <c r="N210" s="1004"/>
      <c r="O210" s="1005">
        <f t="shared" si="14"/>
        <v>81000</v>
      </c>
      <c r="P210" s="1006" t="str">
        <f t="shared" si="11"/>
        <v>OK!</v>
      </c>
    </row>
    <row r="211" spans="1:17" x14ac:dyDescent="0.2">
      <c r="A211" s="1036" t="s">
        <v>2369</v>
      </c>
      <c r="B211" s="1004" t="s">
        <v>2474</v>
      </c>
      <c r="C211" s="1004">
        <v>120000</v>
      </c>
      <c r="E211" s="1004"/>
      <c r="F211" s="1005">
        <f t="shared" si="5"/>
        <v>120000</v>
      </c>
      <c r="H211" s="1004"/>
      <c r="I211" s="1005">
        <f t="shared" si="13"/>
        <v>120000</v>
      </c>
      <c r="J211" s="1010"/>
      <c r="K211" s="1004"/>
      <c r="L211" s="1005">
        <f t="shared" si="12"/>
        <v>120000</v>
      </c>
      <c r="M211" s="1010"/>
      <c r="N211" s="1004"/>
      <c r="O211" s="1005">
        <f t="shared" si="14"/>
        <v>120000</v>
      </c>
      <c r="P211" s="1006" t="str">
        <f t="shared" si="11"/>
        <v>OK!</v>
      </c>
    </row>
    <row r="212" spans="1:17" x14ac:dyDescent="0.2">
      <c r="A212" s="1036" t="s">
        <v>2370</v>
      </c>
      <c r="B212" s="1004" t="s">
        <v>2475</v>
      </c>
      <c r="C212" s="1004">
        <v>75000</v>
      </c>
      <c r="E212" s="1004"/>
      <c r="F212" s="1005">
        <f t="shared" si="5"/>
        <v>75000</v>
      </c>
      <c r="H212" s="1004"/>
      <c r="I212" s="1005">
        <f t="shared" si="13"/>
        <v>75000</v>
      </c>
      <c r="J212" s="1010"/>
      <c r="K212" s="1004"/>
      <c r="L212" s="1005">
        <f t="shared" si="12"/>
        <v>75000</v>
      </c>
      <c r="M212" s="1010"/>
      <c r="N212" s="1004"/>
      <c r="O212" s="1005">
        <f t="shared" si="14"/>
        <v>75000</v>
      </c>
      <c r="P212" s="1006" t="str">
        <f t="shared" si="11"/>
        <v>OK!</v>
      </c>
    </row>
    <row r="213" spans="1:17" x14ac:dyDescent="0.2">
      <c r="A213" s="1036" t="s">
        <v>2371</v>
      </c>
      <c r="B213" s="1004"/>
      <c r="C213" s="1004">
        <v>1000</v>
      </c>
      <c r="E213" s="1004"/>
      <c r="F213" s="1005">
        <f t="shared" si="5"/>
        <v>1000</v>
      </c>
      <c r="H213" s="1004"/>
      <c r="I213" s="1005">
        <f t="shared" si="13"/>
        <v>1000</v>
      </c>
      <c r="J213" s="1010"/>
      <c r="K213" s="1004"/>
      <c r="L213" s="1005">
        <f t="shared" si="12"/>
        <v>1000</v>
      </c>
      <c r="M213" s="1010"/>
      <c r="N213" s="1004"/>
      <c r="O213" s="1005">
        <f t="shared" si="14"/>
        <v>1000</v>
      </c>
      <c r="P213" s="1006" t="str">
        <f t="shared" si="11"/>
        <v>OK!</v>
      </c>
    </row>
    <row r="214" spans="1:17" x14ac:dyDescent="0.2">
      <c r="A214" s="1036" t="s">
        <v>2372</v>
      </c>
      <c r="B214" s="1004" t="s">
        <v>2476</v>
      </c>
      <c r="C214" s="1004">
        <v>90000</v>
      </c>
      <c r="E214" s="1004"/>
      <c r="F214" s="1005">
        <f t="shared" si="5"/>
        <v>90000</v>
      </c>
      <c r="H214" s="1004"/>
      <c r="I214" s="1005">
        <f t="shared" si="13"/>
        <v>90000</v>
      </c>
      <c r="J214" s="1010"/>
      <c r="K214" s="1004"/>
      <c r="L214" s="1005">
        <f t="shared" si="12"/>
        <v>90000</v>
      </c>
      <c r="M214" s="1010"/>
      <c r="N214" s="1004"/>
      <c r="O214" s="1005">
        <f t="shared" si="14"/>
        <v>90000</v>
      </c>
      <c r="P214" s="1006" t="str">
        <f t="shared" si="11"/>
        <v>OK!</v>
      </c>
    </row>
    <row r="215" spans="1:17" x14ac:dyDescent="0.2">
      <c r="A215" s="1036" t="s">
        <v>2373</v>
      </c>
      <c r="B215" s="1004" t="s">
        <v>2477</v>
      </c>
      <c r="C215" s="1004">
        <v>1800</v>
      </c>
      <c r="E215" s="1004"/>
      <c r="F215" s="1005">
        <f t="shared" si="5"/>
        <v>1800</v>
      </c>
      <c r="H215" s="1004"/>
      <c r="I215" s="1005">
        <f t="shared" si="13"/>
        <v>1800</v>
      </c>
      <c r="J215" s="1010"/>
      <c r="K215" s="1004"/>
      <c r="L215" s="1005">
        <f t="shared" si="12"/>
        <v>1800</v>
      </c>
      <c r="M215" s="1010"/>
      <c r="N215" s="1004"/>
      <c r="O215" s="1005">
        <f t="shared" si="14"/>
        <v>1800</v>
      </c>
      <c r="P215" s="1006" t="str">
        <f t="shared" si="11"/>
        <v>OK!</v>
      </c>
    </row>
    <row r="216" spans="1:17" x14ac:dyDescent="0.2">
      <c r="A216" s="1036" t="s">
        <v>2374</v>
      </c>
      <c r="B216" s="1004" t="s">
        <v>2478</v>
      </c>
      <c r="C216" s="1004">
        <v>5400</v>
      </c>
      <c r="E216" s="1004"/>
      <c r="F216" s="1005">
        <f t="shared" si="5"/>
        <v>5400</v>
      </c>
      <c r="H216" s="1004"/>
      <c r="I216" s="1005">
        <f t="shared" si="13"/>
        <v>5400</v>
      </c>
      <c r="J216" s="1010"/>
      <c r="K216" s="1004"/>
      <c r="L216" s="1005">
        <f t="shared" si="12"/>
        <v>5400</v>
      </c>
      <c r="M216" s="1010"/>
      <c r="N216" s="1004"/>
      <c r="O216" s="1005">
        <f t="shared" si="14"/>
        <v>5400</v>
      </c>
      <c r="P216" s="1006" t="str">
        <f t="shared" si="11"/>
        <v>OK!</v>
      </c>
    </row>
    <row r="217" spans="1:17" x14ac:dyDescent="0.2">
      <c r="A217" s="1036" t="s">
        <v>2375</v>
      </c>
      <c r="B217" s="1004" t="s">
        <v>2479</v>
      </c>
      <c r="C217" s="1004">
        <v>213240</v>
      </c>
      <c r="E217" s="1004"/>
      <c r="F217" s="1005">
        <f t="shared" si="5"/>
        <v>213240</v>
      </c>
      <c r="H217" s="1004"/>
      <c r="I217" s="1005">
        <f t="shared" si="13"/>
        <v>213240</v>
      </c>
      <c r="J217" s="1010"/>
      <c r="K217" s="1004"/>
      <c r="L217" s="1005">
        <f t="shared" si="12"/>
        <v>213240</v>
      </c>
      <c r="M217" s="1010"/>
      <c r="N217" s="1004"/>
      <c r="O217" s="1005">
        <f t="shared" si="14"/>
        <v>213240</v>
      </c>
      <c r="P217" s="1006" t="str">
        <f t="shared" si="11"/>
        <v>OK!</v>
      </c>
    </row>
    <row r="218" spans="1:17" x14ac:dyDescent="0.2">
      <c r="A218" s="1036" t="s">
        <v>2376</v>
      </c>
      <c r="B218" s="1004" t="s">
        <v>2480</v>
      </c>
      <c r="C218" s="1004">
        <v>24000</v>
      </c>
      <c r="E218" s="1004"/>
      <c r="F218" s="1005">
        <f t="shared" si="5"/>
        <v>24000</v>
      </c>
      <c r="H218" s="1004"/>
      <c r="I218" s="1005">
        <f t="shared" si="13"/>
        <v>24000</v>
      </c>
      <c r="J218" s="1010"/>
      <c r="K218" s="1004"/>
      <c r="L218" s="1005">
        <f t="shared" si="12"/>
        <v>24000</v>
      </c>
      <c r="M218" s="1010"/>
      <c r="N218" s="1004"/>
      <c r="O218" s="1005">
        <f t="shared" si="14"/>
        <v>24000</v>
      </c>
      <c r="P218" s="1006" t="str">
        <f t="shared" si="11"/>
        <v>OK!</v>
      </c>
      <c r="Q218" s="1007">
        <v>9393842</v>
      </c>
    </row>
    <row r="219" spans="1:17" x14ac:dyDescent="0.2">
      <c r="A219" s="1036" t="s">
        <v>2355</v>
      </c>
      <c r="B219" s="1004" t="s">
        <v>2006</v>
      </c>
      <c r="C219" s="1004">
        <v>388800</v>
      </c>
      <c r="E219" s="1004"/>
      <c r="F219" s="1005">
        <f t="shared" si="5"/>
        <v>388800</v>
      </c>
      <c r="H219" s="1004"/>
      <c r="I219" s="1005">
        <f t="shared" si="13"/>
        <v>388800</v>
      </c>
      <c r="J219" s="1010"/>
      <c r="K219" s="1004"/>
      <c r="L219" s="1005">
        <f t="shared" si="12"/>
        <v>388800</v>
      </c>
      <c r="M219" s="1010"/>
      <c r="N219" s="1004"/>
      <c r="O219" s="1005">
        <f t="shared" si="14"/>
        <v>388800</v>
      </c>
      <c r="P219" s="1006" t="str">
        <f t="shared" si="11"/>
        <v>OK!</v>
      </c>
    </row>
    <row r="220" spans="1:17" x14ac:dyDescent="0.2">
      <c r="A220" s="1036" t="s">
        <v>2481</v>
      </c>
      <c r="B220" s="1004" t="s">
        <v>2007</v>
      </c>
      <c r="C220" s="1004">
        <v>122330</v>
      </c>
      <c r="E220" s="1004"/>
      <c r="F220" s="1005">
        <f t="shared" si="5"/>
        <v>122330</v>
      </c>
      <c r="H220" s="1004"/>
      <c r="I220" s="1005">
        <f t="shared" si="13"/>
        <v>122330</v>
      </c>
      <c r="J220" s="1010"/>
      <c r="K220" s="1004"/>
      <c r="L220" s="1005">
        <f t="shared" si="12"/>
        <v>122330</v>
      </c>
      <c r="M220" s="1010"/>
      <c r="N220" s="1004"/>
      <c r="O220" s="1005">
        <f t="shared" si="14"/>
        <v>122330</v>
      </c>
      <c r="P220" s="1006" t="str">
        <f t="shared" ref="P220:P393" si="15">IF(L220&lt;0,"INCORRECT ENTRY!","OK!")</f>
        <v>OK!</v>
      </c>
    </row>
    <row r="221" spans="1:17" x14ac:dyDescent="0.2">
      <c r="A221" s="1036" t="s">
        <v>2482</v>
      </c>
      <c r="B221" s="1004" t="s">
        <v>2008</v>
      </c>
      <c r="C221" s="1004">
        <v>90399</v>
      </c>
      <c r="E221" s="1004"/>
      <c r="F221" s="1005">
        <f t="shared" si="5"/>
        <v>90399</v>
      </c>
      <c r="H221" s="1004"/>
      <c r="I221" s="1005">
        <f t="shared" si="13"/>
        <v>90399</v>
      </c>
      <c r="J221" s="1010"/>
      <c r="K221" s="1004"/>
      <c r="L221" s="1005">
        <f t="shared" si="12"/>
        <v>90399</v>
      </c>
      <c r="M221" s="1010"/>
      <c r="N221" s="1004"/>
      <c r="O221" s="1005">
        <f t="shared" si="14"/>
        <v>90399</v>
      </c>
      <c r="P221" s="1006" t="str">
        <f t="shared" si="15"/>
        <v>OK!</v>
      </c>
      <c r="Q221" s="1007">
        <v>601529</v>
      </c>
    </row>
    <row r="222" spans="1:17" x14ac:dyDescent="0.2">
      <c r="A222" s="1036" t="s">
        <v>2483</v>
      </c>
      <c r="B222" s="1004" t="s">
        <v>2601</v>
      </c>
      <c r="C222" s="1004">
        <v>94659</v>
      </c>
      <c r="E222" s="1004"/>
      <c r="F222" s="1005">
        <f t="shared" si="5"/>
        <v>94659</v>
      </c>
      <c r="H222" s="1004"/>
      <c r="I222" s="1005">
        <f t="shared" si="13"/>
        <v>94659</v>
      </c>
      <c r="J222" s="1010"/>
      <c r="K222" s="1004"/>
      <c r="L222" s="1005">
        <f t="shared" si="12"/>
        <v>94659</v>
      </c>
      <c r="M222" s="1010"/>
      <c r="N222" s="1004"/>
      <c r="O222" s="1005">
        <f t="shared" si="14"/>
        <v>94659</v>
      </c>
      <c r="P222" s="1006" t="str">
        <f t="shared" si="15"/>
        <v>OK!</v>
      </c>
    </row>
    <row r="223" spans="1:17" x14ac:dyDescent="0.2">
      <c r="A223" s="1036" t="s">
        <v>2484</v>
      </c>
      <c r="B223" s="1004" t="s">
        <v>2602</v>
      </c>
      <c r="C223" s="1004">
        <v>3365</v>
      </c>
      <c r="E223" s="1004"/>
      <c r="F223" s="1005">
        <f t="shared" si="5"/>
        <v>3365</v>
      </c>
      <c r="H223" s="1004"/>
      <c r="I223" s="1005">
        <f t="shared" si="13"/>
        <v>3365</v>
      </c>
      <c r="J223" s="1010"/>
      <c r="K223" s="1004"/>
      <c r="L223" s="1005">
        <f t="shared" si="12"/>
        <v>3365</v>
      </c>
      <c r="M223" s="1010"/>
      <c r="N223" s="1004"/>
      <c r="O223" s="1005">
        <f t="shared" si="14"/>
        <v>3365</v>
      </c>
      <c r="P223" s="1006" t="str">
        <f t="shared" si="15"/>
        <v>OK!</v>
      </c>
    </row>
    <row r="224" spans="1:17" x14ac:dyDescent="0.2">
      <c r="A224" s="1036" t="s">
        <v>2485</v>
      </c>
      <c r="B224" s="1004" t="s">
        <v>2603</v>
      </c>
      <c r="C224" s="1004">
        <v>3000</v>
      </c>
      <c r="E224" s="1004"/>
      <c r="F224" s="1005">
        <f t="shared" si="5"/>
        <v>3000</v>
      </c>
      <c r="H224" s="1004"/>
      <c r="I224" s="1005">
        <f t="shared" si="13"/>
        <v>3000</v>
      </c>
      <c r="J224" s="1010"/>
      <c r="K224" s="1004"/>
      <c r="L224" s="1005">
        <f t="shared" si="12"/>
        <v>3000</v>
      </c>
      <c r="M224" s="1010"/>
      <c r="N224" s="1004"/>
      <c r="O224" s="1005">
        <f t="shared" si="14"/>
        <v>3000</v>
      </c>
      <c r="P224" s="1006" t="str">
        <f t="shared" si="15"/>
        <v>OK!</v>
      </c>
    </row>
    <row r="225" spans="1:16" x14ac:dyDescent="0.2">
      <c r="A225" s="1036" t="s">
        <v>2485</v>
      </c>
      <c r="B225" s="1004" t="s">
        <v>2604</v>
      </c>
      <c r="C225" s="1004">
        <v>900</v>
      </c>
      <c r="E225" s="1004"/>
      <c r="F225" s="1005">
        <f t="shared" si="5"/>
        <v>900</v>
      </c>
      <c r="H225" s="1004"/>
      <c r="I225" s="1005">
        <f t="shared" si="13"/>
        <v>900</v>
      </c>
      <c r="J225" s="1010"/>
      <c r="K225" s="1004"/>
      <c r="L225" s="1005">
        <f t="shared" si="12"/>
        <v>900</v>
      </c>
      <c r="M225" s="1010"/>
      <c r="N225" s="1004"/>
      <c r="O225" s="1005">
        <f t="shared" si="14"/>
        <v>900</v>
      </c>
      <c r="P225" s="1006" t="str">
        <f t="shared" si="15"/>
        <v>OK!</v>
      </c>
    </row>
    <row r="226" spans="1:16" x14ac:dyDescent="0.2">
      <c r="A226" s="1036" t="s">
        <v>1944</v>
      </c>
      <c r="B226" s="1004" t="s">
        <v>2605</v>
      </c>
      <c r="C226" s="1004">
        <v>1080</v>
      </c>
      <c r="E226" s="1004"/>
      <c r="F226" s="1005">
        <f t="shared" si="5"/>
        <v>1080</v>
      </c>
      <c r="H226" s="1004"/>
      <c r="I226" s="1005">
        <f t="shared" si="13"/>
        <v>1080</v>
      </c>
      <c r="J226" s="1010"/>
      <c r="K226" s="1004"/>
      <c r="L226" s="1005">
        <f t="shared" si="12"/>
        <v>1080</v>
      </c>
      <c r="M226" s="1010"/>
      <c r="N226" s="1004"/>
      <c r="O226" s="1005">
        <f t="shared" si="14"/>
        <v>1080</v>
      </c>
      <c r="P226" s="1006" t="str">
        <f t="shared" si="15"/>
        <v>OK!</v>
      </c>
    </row>
    <row r="227" spans="1:16" x14ac:dyDescent="0.2">
      <c r="A227" s="1036" t="s">
        <v>1944</v>
      </c>
      <c r="B227" s="1004" t="s">
        <v>2606</v>
      </c>
      <c r="C227" s="1004">
        <v>920</v>
      </c>
      <c r="E227" s="1004"/>
      <c r="F227" s="1005">
        <f t="shared" si="5"/>
        <v>920</v>
      </c>
      <c r="H227" s="1004"/>
      <c r="I227" s="1005">
        <f t="shared" si="13"/>
        <v>920</v>
      </c>
      <c r="J227" s="1010"/>
      <c r="K227" s="1004"/>
      <c r="L227" s="1005">
        <f t="shared" si="12"/>
        <v>920</v>
      </c>
      <c r="M227" s="1010"/>
      <c r="N227" s="1004"/>
      <c r="O227" s="1005">
        <f t="shared" si="14"/>
        <v>920</v>
      </c>
      <c r="P227" s="1006" t="str">
        <f t="shared" si="15"/>
        <v>OK!</v>
      </c>
    </row>
    <row r="228" spans="1:16" x14ac:dyDescent="0.2">
      <c r="A228" s="1036" t="s">
        <v>2483</v>
      </c>
      <c r="B228" s="1004" t="s">
        <v>2607</v>
      </c>
      <c r="C228" s="1004">
        <v>11760</v>
      </c>
      <c r="E228" s="1004"/>
      <c r="F228" s="1005">
        <f t="shared" si="5"/>
        <v>11760</v>
      </c>
      <c r="H228" s="1004"/>
      <c r="I228" s="1005">
        <f t="shared" si="13"/>
        <v>11760</v>
      </c>
      <c r="J228" s="1010"/>
      <c r="K228" s="1004"/>
      <c r="L228" s="1005">
        <f t="shared" si="12"/>
        <v>11760</v>
      </c>
      <c r="M228" s="1010"/>
      <c r="N228" s="1004"/>
      <c r="O228" s="1005">
        <f t="shared" si="14"/>
        <v>11760</v>
      </c>
      <c r="P228" s="1006" t="str">
        <f t="shared" si="15"/>
        <v>OK!</v>
      </c>
    </row>
    <row r="229" spans="1:16" x14ac:dyDescent="0.2">
      <c r="A229" s="1036" t="s">
        <v>2486</v>
      </c>
      <c r="B229" s="1004" t="s">
        <v>2608</v>
      </c>
      <c r="C229" s="1004">
        <v>69830</v>
      </c>
      <c r="E229" s="1004"/>
      <c r="F229" s="1005">
        <f t="shared" si="5"/>
        <v>69830</v>
      </c>
      <c r="H229" s="1004"/>
      <c r="I229" s="1005">
        <f t="shared" si="13"/>
        <v>69830</v>
      </c>
      <c r="J229" s="1010"/>
      <c r="K229" s="1004"/>
      <c r="L229" s="1005">
        <f t="shared" si="12"/>
        <v>69830</v>
      </c>
      <c r="M229" s="1010"/>
      <c r="N229" s="1004"/>
      <c r="O229" s="1005">
        <f t="shared" si="14"/>
        <v>69830</v>
      </c>
      <c r="P229" s="1006" t="str">
        <f t="shared" si="15"/>
        <v>OK!</v>
      </c>
    </row>
    <row r="230" spans="1:16" x14ac:dyDescent="0.2">
      <c r="A230" s="1036" t="s">
        <v>2487</v>
      </c>
      <c r="B230" s="1004" t="s">
        <v>2609</v>
      </c>
      <c r="C230" s="1004">
        <v>28800</v>
      </c>
      <c r="E230" s="1004"/>
      <c r="F230" s="1005">
        <f t="shared" si="5"/>
        <v>28800</v>
      </c>
      <c r="H230" s="1004"/>
      <c r="I230" s="1005">
        <f t="shared" si="13"/>
        <v>28800</v>
      </c>
      <c r="J230" s="1010"/>
      <c r="K230" s="1004"/>
      <c r="L230" s="1005">
        <f t="shared" si="12"/>
        <v>28800</v>
      </c>
      <c r="M230" s="1010"/>
      <c r="N230" s="1004"/>
      <c r="O230" s="1005">
        <f t="shared" si="14"/>
        <v>28800</v>
      </c>
      <c r="P230" s="1006" t="str">
        <f t="shared" si="15"/>
        <v>OK!</v>
      </c>
    </row>
    <row r="231" spans="1:16" x14ac:dyDescent="0.2">
      <c r="A231" s="1036" t="s">
        <v>2488</v>
      </c>
      <c r="B231" s="1004" t="s">
        <v>2385</v>
      </c>
      <c r="C231" s="1004">
        <v>6249326</v>
      </c>
      <c r="E231" s="1004"/>
      <c r="F231" s="1005">
        <f t="shared" si="5"/>
        <v>6249326</v>
      </c>
      <c r="H231" s="1004">
        <v>6249326</v>
      </c>
      <c r="I231" s="1005">
        <f t="shared" si="13"/>
        <v>0</v>
      </c>
      <c r="J231" s="1010"/>
      <c r="K231" s="1004"/>
      <c r="L231" s="1005">
        <f t="shared" si="12"/>
        <v>0</v>
      </c>
      <c r="M231" s="1010"/>
      <c r="N231" s="1004"/>
      <c r="O231" s="1005">
        <f t="shared" si="14"/>
        <v>0</v>
      </c>
      <c r="P231" s="1006" t="str">
        <f t="shared" si="15"/>
        <v>OK!</v>
      </c>
    </row>
    <row r="232" spans="1:16" x14ac:dyDescent="0.2">
      <c r="A232" s="1036" t="s">
        <v>2488</v>
      </c>
      <c r="B232" s="1004" t="s">
        <v>2610</v>
      </c>
      <c r="C232" s="1004">
        <v>3166114</v>
      </c>
      <c r="E232" s="1004"/>
      <c r="F232" s="1005">
        <f t="shared" si="5"/>
        <v>3166114</v>
      </c>
      <c r="H232" s="1004">
        <v>3166114</v>
      </c>
      <c r="I232" s="1005">
        <f t="shared" si="13"/>
        <v>0</v>
      </c>
      <c r="J232" s="1010"/>
      <c r="K232" s="1004"/>
      <c r="L232" s="1005">
        <f t="shared" si="12"/>
        <v>0</v>
      </c>
      <c r="M232" s="1010"/>
      <c r="N232" s="1004"/>
      <c r="O232" s="1005">
        <f t="shared" si="14"/>
        <v>0</v>
      </c>
      <c r="P232" s="1006" t="str">
        <f t="shared" si="15"/>
        <v>OK!</v>
      </c>
    </row>
    <row r="233" spans="1:16" x14ac:dyDescent="0.2">
      <c r="A233" s="1036" t="s">
        <v>2488</v>
      </c>
      <c r="B233" s="1004" t="s">
        <v>2611</v>
      </c>
      <c r="C233" s="1004">
        <v>9074433</v>
      </c>
      <c r="E233" s="1004"/>
      <c r="F233" s="1005">
        <f t="shared" si="5"/>
        <v>9074433</v>
      </c>
      <c r="H233" s="1004"/>
      <c r="I233" s="1005">
        <f t="shared" si="6"/>
        <v>9074433</v>
      </c>
      <c r="J233" s="1010"/>
      <c r="K233" s="1004">
        <v>9074433</v>
      </c>
      <c r="L233" s="1005">
        <f t="shared" si="7"/>
        <v>0</v>
      </c>
      <c r="M233" s="1010"/>
      <c r="N233" s="1004"/>
      <c r="O233" s="1005">
        <f t="shared" si="14"/>
        <v>0</v>
      </c>
      <c r="P233" s="1006" t="str">
        <f t="shared" si="15"/>
        <v>OK!</v>
      </c>
    </row>
    <row r="234" spans="1:16" x14ac:dyDescent="0.2">
      <c r="A234" s="1036" t="s">
        <v>2489</v>
      </c>
      <c r="B234" s="1004" t="s">
        <v>2612</v>
      </c>
      <c r="C234" s="1004">
        <v>7320000</v>
      </c>
      <c r="E234" s="1004"/>
      <c r="F234" s="1005">
        <f t="shared" si="5"/>
        <v>7320000</v>
      </c>
      <c r="H234" s="1004"/>
      <c r="I234" s="1005">
        <f t="shared" si="6"/>
        <v>7320000</v>
      </c>
      <c r="J234" s="1010"/>
      <c r="K234" s="1004">
        <v>4320000</v>
      </c>
      <c r="L234" s="1005">
        <f t="shared" si="7"/>
        <v>3000000</v>
      </c>
      <c r="M234" s="1010"/>
      <c r="N234" s="1004">
        <v>3000000</v>
      </c>
      <c r="O234" s="1005">
        <f t="shared" si="14"/>
        <v>0</v>
      </c>
      <c r="P234" s="1006" t="str">
        <f t="shared" si="15"/>
        <v>OK!</v>
      </c>
    </row>
    <row r="235" spans="1:16" x14ac:dyDescent="0.2">
      <c r="A235" s="1036" t="s">
        <v>2489</v>
      </c>
      <c r="B235" s="1004" t="s">
        <v>2613</v>
      </c>
      <c r="C235" s="1004">
        <v>3113460</v>
      </c>
      <c r="E235" s="1004"/>
      <c r="F235" s="1005">
        <f t="shared" si="5"/>
        <v>3113460</v>
      </c>
      <c r="H235" s="1004"/>
      <c r="I235" s="1005">
        <f t="shared" si="6"/>
        <v>3113460</v>
      </c>
      <c r="J235" s="1010"/>
      <c r="K235" s="1004">
        <v>3113460</v>
      </c>
      <c r="L235" s="1005">
        <f t="shared" si="7"/>
        <v>0</v>
      </c>
      <c r="M235" s="1010"/>
      <c r="N235" s="1004"/>
      <c r="O235" s="1005">
        <f t="shared" si="14"/>
        <v>0</v>
      </c>
      <c r="P235" s="1006" t="str">
        <f t="shared" si="15"/>
        <v>OK!</v>
      </c>
    </row>
    <row r="236" spans="1:16" x14ac:dyDescent="0.2">
      <c r="A236" s="1036" t="s">
        <v>2489</v>
      </c>
      <c r="B236" s="1004" t="s">
        <v>2614</v>
      </c>
      <c r="C236" s="1004">
        <v>2400000</v>
      </c>
      <c r="E236" s="1004"/>
      <c r="F236" s="1005">
        <f t="shared" si="5"/>
        <v>2400000</v>
      </c>
      <c r="H236" s="1004"/>
      <c r="I236" s="1005">
        <f t="shared" si="6"/>
        <v>2400000</v>
      </c>
      <c r="J236" s="1010"/>
      <c r="K236" s="1004">
        <v>2400000</v>
      </c>
      <c r="L236" s="1005">
        <f t="shared" si="7"/>
        <v>0</v>
      </c>
      <c r="M236" s="1010"/>
      <c r="N236" s="1004"/>
      <c r="O236" s="1005">
        <f t="shared" si="14"/>
        <v>0</v>
      </c>
      <c r="P236" s="1006" t="str">
        <f t="shared" si="15"/>
        <v>OK!</v>
      </c>
    </row>
    <row r="237" spans="1:16" x14ac:dyDescent="0.2">
      <c r="A237" s="1036" t="s">
        <v>2490</v>
      </c>
      <c r="B237" s="1004" t="s">
        <v>2615</v>
      </c>
      <c r="C237" s="1004">
        <v>150000</v>
      </c>
      <c r="E237" s="1004"/>
      <c r="F237" s="1005">
        <f t="shared" si="5"/>
        <v>150000</v>
      </c>
      <c r="H237" s="1004"/>
      <c r="I237" s="1005">
        <f t="shared" si="6"/>
        <v>150000</v>
      </c>
      <c r="J237" s="1010"/>
      <c r="K237" s="1004"/>
      <c r="L237" s="1005">
        <f t="shared" si="7"/>
        <v>150000</v>
      </c>
      <c r="M237" s="1010"/>
      <c r="N237" s="1004"/>
      <c r="O237" s="1005">
        <f t="shared" si="14"/>
        <v>150000</v>
      </c>
      <c r="P237" s="1006" t="str">
        <f t="shared" si="15"/>
        <v>OK!</v>
      </c>
    </row>
    <row r="238" spans="1:16" x14ac:dyDescent="0.2">
      <c r="A238" s="1036" t="s">
        <v>2491</v>
      </c>
      <c r="B238" s="1004" t="s">
        <v>2616</v>
      </c>
      <c r="C238" s="1004">
        <v>5035830</v>
      </c>
      <c r="E238" s="1004"/>
      <c r="F238" s="1005">
        <f t="shared" ref="F238:F301" si="16">C238-E238</f>
        <v>5035830</v>
      </c>
      <c r="H238" s="1004"/>
      <c r="I238" s="1005">
        <f t="shared" ref="I238:I301" si="17">F238-H238</f>
        <v>5035830</v>
      </c>
      <c r="J238" s="1010"/>
      <c r="K238" s="1004"/>
      <c r="L238" s="1005">
        <f t="shared" ref="L238:L301" si="18">I238-K238</f>
        <v>5035830</v>
      </c>
      <c r="M238" s="1010"/>
      <c r="N238" s="1004"/>
      <c r="O238" s="1005">
        <f t="shared" si="14"/>
        <v>5035830</v>
      </c>
      <c r="P238" s="1006" t="str">
        <f t="shared" si="15"/>
        <v>OK!</v>
      </c>
    </row>
    <row r="239" spans="1:16" x14ac:dyDescent="0.2">
      <c r="A239" s="1036" t="s">
        <v>2491</v>
      </c>
      <c r="B239" s="1004" t="s">
        <v>2617</v>
      </c>
      <c r="C239" s="1004">
        <v>5085300</v>
      </c>
      <c r="E239" s="1004"/>
      <c r="F239" s="1005">
        <f t="shared" si="16"/>
        <v>5085300</v>
      </c>
      <c r="H239" s="1004"/>
      <c r="I239" s="1005">
        <f t="shared" si="17"/>
        <v>5085300</v>
      </c>
      <c r="J239" s="1010"/>
      <c r="K239" s="1004"/>
      <c r="L239" s="1005">
        <f t="shared" si="18"/>
        <v>5085300</v>
      </c>
      <c r="M239" s="1010"/>
      <c r="N239" s="1004">
        <v>5085300</v>
      </c>
      <c r="O239" s="1005">
        <f t="shared" si="14"/>
        <v>0</v>
      </c>
      <c r="P239" s="1006" t="str">
        <f t="shared" si="15"/>
        <v>OK!</v>
      </c>
    </row>
    <row r="240" spans="1:16" x14ac:dyDescent="0.2">
      <c r="A240" s="1036" t="s">
        <v>2492</v>
      </c>
      <c r="B240" s="1004" t="s">
        <v>2618</v>
      </c>
      <c r="C240" s="1004">
        <v>4669476</v>
      </c>
      <c r="E240" s="1004"/>
      <c r="F240" s="1005">
        <f t="shared" si="16"/>
        <v>4669476</v>
      </c>
      <c r="H240" s="1004"/>
      <c r="I240" s="1005">
        <f t="shared" si="17"/>
        <v>4669476</v>
      </c>
      <c r="J240" s="1010"/>
      <c r="K240" s="1004"/>
      <c r="L240" s="1005">
        <f t="shared" si="18"/>
        <v>4669476</v>
      </c>
      <c r="M240" s="1010"/>
      <c r="N240" s="1004"/>
      <c r="O240" s="1005">
        <f t="shared" si="14"/>
        <v>4669476</v>
      </c>
      <c r="P240" s="1006" t="str">
        <f t="shared" si="15"/>
        <v>OK!</v>
      </c>
    </row>
    <row r="241" spans="1:16" x14ac:dyDescent="0.2">
      <c r="A241" s="1036" t="s">
        <v>2493</v>
      </c>
      <c r="B241" s="1004" t="s">
        <v>2619</v>
      </c>
      <c r="C241" s="1004">
        <v>1680480</v>
      </c>
      <c r="E241" s="1004"/>
      <c r="F241" s="1005">
        <f t="shared" si="16"/>
        <v>1680480</v>
      </c>
      <c r="H241" s="1004"/>
      <c r="I241" s="1005">
        <f t="shared" si="17"/>
        <v>1680480</v>
      </c>
      <c r="J241" s="1010"/>
      <c r="K241" s="1004"/>
      <c r="L241" s="1005">
        <f t="shared" si="18"/>
        <v>1680480</v>
      </c>
      <c r="M241" s="1010"/>
      <c r="N241" s="1004"/>
      <c r="O241" s="1005">
        <f t="shared" si="14"/>
        <v>1680480</v>
      </c>
      <c r="P241" s="1006" t="str">
        <f t="shared" si="15"/>
        <v>OK!</v>
      </c>
    </row>
    <row r="242" spans="1:16" x14ac:dyDescent="0.2">
      <c r="A242" s="1036" t="s">
        <v>2494</v>
      </c>
      <c r="B242" s="1004" t="s">
        <v>2620</v>
      </c>
      <c r="C242" s="1004">
        <v>173836</v>
      </c>
      <c r="E242" s="1004"/>
      <c r="F242" s="1005">
        <f t="shared" si="16"/>
        <v>173836</v>
      </c>
      <c r="H242" s="1004"/>
      <c r="I242" s="1005">
        <f t="shared" si="17"/>
        <v>173836</v>
      </c>
      <c r="J242" s="1010"/>
      <c r="K242" s="1004"/>
      <c r="L242" s="1005">
        <f t="shared" si="18"/>
        <v>173836</v>
      </c>
      <c r="M242" s="1010"/>
      <c r="N242" s="1004"/>
      <c r="O242" s="1005">
        <f t="shared" si="14"/>
        <v>173836</v>
      </c>
      <c r="P242" s="1006" t="str">
        <f t="shared" si="15"/>
        <v>OK!</v>
      </c>
    </row>
    <row r="243" spans="1:16" x14ac:dyDescent="0.2">
      <c r="A243" s="1036" t="s">
        <v>2495</v>
      </c>
      <c r="B243" s="1004" t="s">
        <v>2621</v>
      </c>
      <c r="C243" s="1004">
        <v>91000</v>
      </c>
      <c r="E243" s="1004"/>
      <c r="F243" s="1005">
        <f t="shared" si="16"/>
        <v>91000</v>
      </c>
      <c r="H243" s="1004"/>
      <c r="I243" s="1005">
        <f t="shared" si="17"/>
        <v>91000</v>
      </c>
      <c r="J243" s="1010"/>
      <c r="K243" s="1004"/>
      <c r="L243" s="1005">
        <f t="shared" si="18"/>
        <v>91000</v>
      </c>
      <c r="M243" s="1010"/>
      <c r="N243" s="1004"/>
      <c r="O243" s="1005">
        <f t="shared" si="14"/>
        <v>91000</v>
      </c>
      <c r="P243" s="1006" t="str">
        <f t="shared" si="15"/>
        <v>OK!</v>
      </c>
    </row>
    <row r="244" spans="1:16" x14ac:dyDescent="0.2">
      <c r="A244" s="1036" t="s">
        <v>2496</v>
      </c>
      <c r="B244" s="1004" t="s">
        <v>2622</v>
      </c>
      <c r="C244" s="1004">
        <v>360000</v>
      </c>
      <c r="E244" s="1004"/>
      <c r="F244" s="1005">
        <f t="shared" si="16"/>
        <v>360000</v>
      </c>
      <c r="H244" s="1004"/>
      <c r="I244" s="1005">
        <f t="shared" si="17"/>
        <v>360000</v>
      </c>
      <c r="J244" s="1010"/>
      <c r="K244" s="1004"/>
      <c r="L244" s="1005">
        <f t="shared" si="18"/>
        <v>360000</v>
      </c>
      <c r="M244" s="1010"/>
      <c r="N244" s="1004"/>
      <c r="O244" s="1005">
        <f t="shared" si="14"/>
        <v>360000</v>
      </c>
      <c r="P244" s="1006" t="str">
        <f t="shared" si="15"/>
        <v>OK!</v>
      </c>
    </row>
    <row r="245" spans="1:16" x14ac:dyDescent="0.2">
      <c r="A245" s="1036" t="s">
        <v>2496</v>
      </c>
      <c r="B245" s="1004" t="s">
        <v>2622</v>
      </c>
      <c r="C245" s="1004">
        <v>300000</v>
      </c>
      <c r="E245" s="1004"/>
      <c r="F245" s="1005">
        <f t="shared" si="16"/>
        <v>300000</v>
      </c>
      <c r="H245" s="1004"/>
      <c r="I245" s="1005">
        <f t="shared" si="17"/>
        <v>300000</v>
      </c>
      <c r="J245" s="1010"/>
      <c r="K245" s="1004"/>
      <c r="L245" s="1005">
        <f t="shared" si="18"/>
        <v>300000</v>
      </c>
      <c r="M245" s="1010"/>
      <c r="N245" s="1004"/>
      <c r="O245" s="1005">
        <f t="shared" si="14"/>
        <v>300000</v>
      </c>
      <c r="P245" s="1006" t="str">
        <f t="shared" si="15"/>
        <v>OK!</v>
      </c>
    </row>
    <row r="246" spans="1:16" x14ac:dyDescent="0.2">
      <c r="A246" s="1036" t="s">
        <v>2496</v>
      </c>
      <c r="B246" s="1004" t="s">
        <v>2622</v>
      </c>
      <c r="C246" s="1004">
        <v>110000</v>
      </c>
      <c r="E246" s="1004"/>
      <c r="F246" s="1005">
        <f t="shared" si="16"/>
        <v>110000</v>
      </c>
      <c r="H246" s="1004"/>
      <c r="I246" s="1005">
        <f t="shared" si="17"/>
        <v>110000</v>
      </c>
      <c r="J246" s="1010"/>
      <c r="K246" s="1004"/>
      <c r="L246" s="1005">
        <f t="shared" si="18"/>
        <v>110000</v>
      </c>
      <c r="M246" s="1010"/>
      <c r="N246" s="1004"/>
      <c r="O246" s="1005">
        <f t="shared" si="14"/>
        <v>110000</v>
      </c>
      <c r="P246" s="1006" t="str">
        <f t="shared" si="15"/>
        <v>OK!</v>
      </c>
    </row>
    <row r="247" spans="1:16" x14ac:dyDescent="0.2">
      <c r="A247" s="1036" t="s">
        <v>2496</v>
      </c>
      <c r="B247" s="1004" t="s">
        <v>2622</v>
      </c>
      <c r="C247" s="1004">
        <v>280000</v>
      </c>
      <c r="E247" s="1004"/>
      <c r="F247" s="1005">
        <f t="shared" si="16"/>
        <v>280000</v>
      </c>
      <c r="H247" s="1004"/>
      <c r="I247" s="1005">
        <f t="shared" si="17"/>
        <v>280000</v>
      </c>
      <c r="J247" s="1010"/>
      <c r="K247" s="1004"/>
      <c r="L247" s="1005">
        <f t="shared" si="18"/>
        <v>280000</v>
      </c>
      <c r="M247" s="1010"/>
      <c r="N247" s="1004"/>
      <c r="O247" s="1005">
        <f t="shared" si="14"/>
        <v>280000</v>
      </c>
      <c r="P247" s="1006" t="str">
        <f t="shared" si="15"/>
        <v>OK!</v>
      </c>
    </row>
    <row r="248" spans="1:16" x14ac:dyDescent="0.2">
      <c r="A248" s="1036" t="s">
        <v>2496</v>
      </c>
      <c r="B248" s="1004" t="s">
        <v>2622</v>
      </c>
      <c r="C248" s="1004">
        <v>50000</v>
      </c>
      <c r="E248" s="1004"/>
      <c r="F248" s="1005">
        <f t="shared" si="16"/>
        <v>50000</v>
      </c>
      <c r="H248" s="1004"/>
      <c r="I248" s="1005">
        <f t="shared" si="17"/>
        <v>50000</v>
      </c>
      <c r="J248" s="1010"/>
      <c r="K248" s="1004"/>
      <c r="L248" s="1005">
        <f t="shared" si="18"/>
        <v>50000</v>
      </c>
      <c r="M248" s="1010"/>
      <c r="N248" s="1004"/>
      <c r="O248" s="1005">
        <f t="shared" ref="O248:O311" si="19">L248-N248</f>
        <v>50000</v>
      </c>
      <c r="P248" s="1006" t="str">
        <f t="shared" si="15"/>
        <v>OK!</v>
      </c>
    </row>
    <row r="249" spans="1:16" x14ac:dyDescent="0.2">
      <c r="A249" s="1036" t="s">
        <v>2496</v>
      </c>
      <c r="B249" s="1004" t="s">
        <v>2622</v>
      </c>
      <c r="C249" s="1004">
        <v>100000</v>
      </c>
      <c r="E249" s="1004"/>
      <c r="F249" s="1005">
        <f t="shared" si="16"/>
        <v>100000</v>
      </c>
      <c r="H249" s="1004"/>
      <c r="I249" s="1005">
        <f t="shared" si="17"/>
        <v>100000</v>
      </c>
      <c r="J249" s="1010"/>
      <c r="K249" s="1004"/>
      <c r="L249" s="1005">
        <f t="shared" si="18"/>
        <v>100000</v>
      </c>
      <c r="M249" s="1010"/>
      <c r="N249" s="1004"/>
      <c r="O249" s="1005">
        <f t="shared" si="19"/>
        <v>100000</v>
      </c>
      <c r="P249" s="1006" t="str">
        <f t="shared" si="15"/>
        <v>OK!</v>
      </c>
    </row>
    <row r="250" spans="1:16" x14ac:dyDescent="0.2">
      <c r="A250" s="1036" t="s">
        <v>2497</v>
      </c>
      <c r="B250" s="1004" t="s">
        <v>2623</v>
      </c>
      <c r="C250" s="1004">
        <v>198720</v>
      </c>
      <c r="E250" s="1004"/>
      <c r="F250" s="1005">
        <f t="shared" si="16"/>
        <v>198720</v>
      </c>
      <c r="H250" s="1004"/>
      <c r="I250" s="1005">
        <f t="shared" si="17"/>
        <v>198720</v>
      </c>
      <c r="J250" s="1010"/>
      <c r="K250" s="1004"/>
      <c r="L250" s="1005">
        <f t="shared" si="18"/>
        <v>198720</v>
      </c>
      <c r="M250" s="1010"/>
      <c r="N250" s="1004">
        <v>198720</v>
      </c>
      <c r="O250" s="1005">
        <f t="shared" si="19"/>
        <v>0</v>
      </c>
      <c r="P250" s="1006" t="str">
        <f t="shared" si="15"/>
        <v>OK!</v>
      </c>
    </row>
    <row r="251" spans="1:16" x14ac:dyDescent="0.2">
      <c r="A251" s="1036" t="s">
        <v>2297</v>
      </c>
      <c r="B251" s="1004" t="s">
        <v>2624</v>
      </c>
      <c r="C251" s="1004">
        <v>218400</v>
      </c>
      <c r="E251" s="1004"/>
      <c r="F251" s="1005">
        <f t="shared" si="16"/>
        <v>218400</v>
      </c>
      <c r="H251" s="1004"/>
      <c r="I251" s="1005">
        <f t="shared" si="17"/>
        <v>218400</v>
      </c>
      <c r="J251" s="1010"/>
      <c r="K251" s="1004"/>
      <c r="L251" s="1005">
        <f t="shared" si="18"/>
        <v>218400</v>
      </c>
      <c r="M251" s="1010"/>
      <c r="N251" s="1004">
        <v>218400</v>
      </c>
      <c r="O251" s="1005">
        <f t="shared" si="19"/>
        <v>0</v>
      </c>
      <c r="P251" s="1006" t="str">
        <f t="shared" si="15"/>
        <v>OK!</v>
      </c>
    </row>
    <row r="252" spans="1:16" x14ac:dyDescent="0.2">
      <c r="A252" s="1036" t="s">
        <v>2297</v>
      </c>
      <c r="B252" s="1004" t="s">
        <v>2620</v>
      </c>
      <c r="C252" s="1004">
        <v>445950</v>
      </c>
      <c r="E252" s="1004"/>
      <c r="F252" s="1005">
        <f t="shared" si="16"/>
        <v>445950</v>
      </c>
      <c r="H252" s="1004"/>
      <c r="I252" s="1005">
        <f t="shared" si="17"/>
        <v>445950</v>
      </c>
      <c r="J252" s="1010"/>
      <c r="K252" s="1004"/>
      <c r="L252" s="1005">
        <f t="shared" si="18"/>
        <v>445950</v>
      </c>
      <c r="M252" s="1010"/>
      <c r="N252" s="1004">
        <v>445950</v>
      </c>
      <c r="O252" s="1005">
        <f t="shared" si="19"/>
        <v>0</v>
      </c>
      <c r="P252" s="1006" t="str">
        <f t="shared" si="15"/>
        <v>OK!</v>
      </c>
    </row>
    <row r="253" spans="1:16" x14ac:dyDescent="0.2">
      <c r="A253" s="1036" t="s">
        <v>2498</v>
      </c>
      <c r="B253" s="1004" t="s">
        <v>2625</v>
      </c>
      <c r="C253" s="1004">
        <v>294000</v>
      </c>
      <c r="E253" s="1004"/>
      <c r="F253" s="1005">
        <f t="shared" si="16"/>
        <v>294000</v>
      </c>
      <c r="H253" s="1004"/>
      <c r="I253" s="1005">
        <f t="shared" si="17"/>
        <v>294000</v>
      </c>
      <c r="J253" s="1010"/>
      <c r="K253" s="1004"/>
      <c r="L253" s="1005">
        <f t="shared" si="18"/>
        <v>294000</v>
      </c>
      <c r="M253" s="1010"/>
      <c r="N253" s="1004">
        <v>294000</v>
      </c>
      <c r="O253" s="1005">
        <f t="shared" si="19"/>
        <v>0</v>
      </c>
      <c r="P253" s="1006" t="str">
        <f t="shared" si="15"/>
        <v>OK!</v>
      </c>
    </row>
    <row r="254" spans="1:16" x14ac:dyDescent="0.2">
      <c r="A254" s="1036" t="s">
        <v>2499</v>
      </c>
      <c r="B254" s="1004" t="s">
        <v>2626</v>
      </c>
      <c r="C254" s="1004">
        <v>480000</v>
      </c>
      <c r="E254" s="1004"/>
      <c r="F254" s="1005">
        <f t="shared" si="16"/>
        <v>480000</v>
      </c>
      <c r="H254" s="1004"/>
      <c r="I254" s="1005">
        <f t="shared" si="17"/>
        <v>480000</v>
      </c>
      <c r="J254" s="1010"/>
      <c r="K254" s="1004"/>
      <c r="L254" s="1005">
        <f t="shared" si="18"/>
        <v>480000</v>
      </c>
      <c r="M254" s="1010"/>
      <c r="N254" s="1004">
        <v>480000</v>
      </c>
      <c r="O254" s="1005">
        <f t="shared" si="19"/>
        <v>0</v>
      </c>
      <c r="P254" s="1006" t="str">
        <f t="shared" si="15"/>
        <v>OK!</v>
      </c>
    </row>
    <row r="255" spans="1:16" x14ac:dyDescent="0.2">
      <c r="A255" s="1036" t="s">
        <v>2499</v>
      </c>
      <c r="B255" s="1004" t="s">
        <v>2626</v>
      </c>
      <c r="C255" s="1004">
        <v>480000</v>
      </c>
      <c r="E255" s="1004"/>
      <c r="F255" s="1005">
        <f t="shared" si="16"/>
        <v>480000</v>
      </c>
      <c r="H255" s="1004"/>
      <c r="I255" s="1005">
        <f t="shared" si="17"/>
        <v>480000</v>
      </c>
      <c r="J255" s="1010"/>
      <c r="K255" s="1004"/>
      <c r="L255" s="1005">
        <f t="shared" si="18"/>
        <v>480000</v>
      </c>
      <c r="M255" s="1010"/>
      <c r="N255" s="1004">
        <v>480000</v>
      </c>
      <c r="O255" s="1005">
        <f t="shared" si="19"/>
        <v>0</v>
      </c>
      <c r="P255" s="1006" t="str">
        <f t="shared" si="15"/>
        <v>OK!</v>
      </c>
    </row>
    <row r="256" spans="1:16" x14ac:dyDescent="0.2">
      <c r="A256" s="1036" t="s">
        <v>2499</v>
      </c>
      <c r="B256" s="1004" t="s">
        <v>2626</v>
      </c>
      <c r="C256" s="1004">
        <v>474000</v>
      </c>
      <c r="E256" s="1004"/>
      <c r="F256" s="1005">
        <f t="shared" si="16"/>
        <v>474000</v>
      </c>
      <c r="H256" s="1004"/>
      <c r="I256" s="1005">
        <f t="shared" si="17"/>
        <v>474000</v>
      </c>
      <c r="J256" s="1010"/>
      <c r="K256" s="1004"/>
      <c r="L256" s="1005">
        <f t="shared" si="18"/>
        <v>474000</v>
      </c>
      <c r="M256" s="1010"/>
      <c r="N256" s="1004">
        <v>474000</v>
      </c>
      <c r="O256" s="1005">
        <f t="shared" si="19"/>
        <v>0</v>
      </c>
      <c r="P256" s="1006" t="str">
        <f t="shared" si="15"/>
        <v>OK!</v>
      </c>
    </row>
    <row r="257" spans="1:16" x14ac:dyDescent="0.2">
      <c r="A257" s="1036" t="s">
        <v>2499</v>
      </c>
      <c r="B257" s="1004" t="s">
        <v>2626</v>
      </c>
      <c r="C257" s="1004">
        <v>480000</v>
      </c>
      <c r="E257" s="1004"/>
      <c r="F257" s="1005">
        <f t="shared" si="16"/>
        <v>480000</v>
      </c>
      <c r="H257" s="1004"/>
      <c r="I257" s="1005">
        <f t="shared" si="17"/>
        <v>480000</v>
      </c>
      <c r="J257" s="1010"/>
      <c r="K257" s="1004"/>
      <c r="L257" s="1005">
        <f t="shared" si="18"/>
        <v>480000</v>
      </c>
      <c r="M257" s="1010"/>
      <c r="N257" s="1004">
        <v>480000</v>
      </c>
      <c r="O257" s="1005">
        <f t="shared" si="19"/>
        <v>0</v>
      </c>
      <c r="P257" s="1006" t="str">
        <f t="shared" si="15"/>
        <v>OK!</v>
      </c>
    </row>
    <row r="258" spans="1:16" x14ac:dyDescent="0.2">
      <c r="A258" s="1036" t="s">
        <v>2499</v>
      </c>
      <c r="B258" s="1004" t="s">
        <v>2626</v>
      </c>
      <c r="C258" s="1004">
        <v>432000</v>
      </c>
      <c r="E258" s="1004"/>
      <c r="F258" s="1005">
        <f t="shared" si="16"/>
        <v>432000</v>
      </c>
      <c r="H258" s="1004"/>
      <c r="I258" s="1005">
        <f t="shared" si="17"/>
        <v>432000</v>
      </c>
      <c r="J258" s="1010"/>
      <c r="K258" s="1004"/>
      <c r="L258" s="1005">
        <f t="shared" si="18"/>
        <v>432000</v>
      </c>
      <c r="M258" s="1010"/>
      <c r="N258" s="1004">
        <v>432000</v>
      </c>
      <c r="O258" s="1005">
        <f t="shared" si="19"/>
        <v>0</v>
      </c>
      <c r="P258" s="1006" t="str">
        <f t="shared" si="15"/>
        <v>OK!</v>
      </c>
    </row>
    <row r="259" spans="1:16" x14ac:dyDescent="0.2">
      <c r="A259" s="1036" t="s">
        <v>2499</v>
      </c>
      <c r="B259" s="1004" t="s">
        <v>2627</v>
      </c>
      <c r="C259" s="1004">
        <v>474000</v>
      </c>
      <c r="E259" s="1004"/>
      <c r="F259" s="1005">
        <f t="shared" si="16"/>
        <v>474000</v>
      </c>
      <c r="H259" s="1004"/>
      <c r="I259" s="1005">
        <f t="shared" si="17"/>
        <v>474000</v>
      </c>
      <c r="J259" s="1010"/>
      <c r="K259" s="1004"/>
      <c r="L259" s="1005">
        <f t="shared" si="18"/>
        <v>474000</v>
      </c>
      <c r="M259" s="1010"/>
      <c r="N259" s="1004">
        <v>474000</v>
      </c>
      <c r="O259" s="1005">
        <f t="shared" si="19"/>
        <v>0</v>
      </c>
      <c r="P259" s="1006" t="str">
        <f t="shared" si="15"/>
        <v>OK!</v>
      </c>
    </row>
    <row r="260" spans="1:16" x14ac:dyDescent="0.2">
      <c r="A260" s="1036" t="s">
        <v>2499</v>
      </c>
      <c r="B260" s="1004" t="s">
        <v>2628</v>
      </c>
      <c r="C260" s="1004">
        <v>420000</v>
      </c>
      <c r="E260" s="1004"/>
      <c r="F260" s="1005">
        <f t="shared" si="16"/>
        <v>420000</v>
      </c>
      <c r="H260" s="1004"/>
      <c r="I260" s="1005">
        <f t="shared" si="17"/>
        <v>420000</v>
      </c>
      <c r="J260" s="1010"/>
      <c r="K260" s="1004"/>
      <c r="L260" s="1005">
        <f t="shared" si="18"/>
        <v>420000</v>
      </c>
      <c r="M260" s="1010"/>
      <c r="N260" s="1004">
        <v>420000</v>
      </c>
      <c r="O260" s="1005">
        <f t="shared" si="19"/>
        <v>0</v>
      </c>
      <c r="P260" s="1006" t="str">
        <f t="shared" si="15"/>
        <v>OK!</v>
      </c>
    </row>
    <row r="261" spans="1:16" x14ac:dyDescent="0.2">
      <c r="A261" s="1036" t="s">
        <v>2500</v>
      </c>
      <c r="B261" s="1004" t="s">
        <v>2629</v>
      </c>
      <c r="C261" s="1004">
        <v>1482052</v>
      </c>
      <c r="E261" s="1004"/>
      <c r="F261" s="1005">
        <f t="shared" si="16"/>
        <v>1482052</v>
      </c>
      <c r="H261" s="1004"/>
      <c r="I261" s="1005">
        <f t="shared" si="17"/>
        <v>1482052</v>
      </c>
      <c r="J261" s="1010"/>
      <c r="K261" s="1004"/>
      <c r="L261" s="1005">
        <f t="shared" si="18"/>
        <v>1482052</v>
      </c>
      <c r="M261" s="1010"/>
      <c r="N261" s="1004"/>
      <c r="O261" s="1005">
        <f t="shared" si="19"/>
        <v>1482052</v>
      </c>
      <c r="P261" s="1006" t="str">
        <f t="shared" si="15"/>
        <v>OK!</v>
      </c>
    </row>
    <row r="262" spans="1:16" x14ac:dyDescent="0.2">
      <c r="A262" s="1036" t="s">
        <v>2501</v>
      </c>
      <c r="B262" s="1004" t="s">
        <v>2616</v>
      </c>
      <c r="C262" s="1004">
        <v>120000</v>
      </c>
      <c r="E262" s="1004"/>
      <c r="F262" s="1005">
        <f t="shared" si="16"/>
        <v>120000</v>
      </c>
      <c r="H262" s="1004"/>
      <c r="I262" s="1005">
        <f t="shared" si="17"/>
        <v>120000</v>
      </c>
      <c r="J262" s="1010"/>
      <c r="K262" s="1004"/>
      <c r="L262" s="1005">
        <f t="shared" si="18"/>
        <v>120000</v>
      </c>
      <c r="M262" s="1010"/>
      <c r="N262" s="1004"/>
      <c r="O262" s="1005">
        <f t="shared" si="19"/>
        <v>120000</v>
      </c>
      <c r="P262" s="1006" t="str">
        <f t="shared" si="15"/>
        <v>OK!</v>
      </c>
    </row>
    <row r="263" spans="1:16" x14ac:dyDescent="0.2">
      <c r="A263" s="1036" t="s">
        <v>2501</v>
      </c>
      <c r="B263" s="1004" t="s">
        <v>2616</v>
      </c>
      <c r="C263" s="1004">
        <v>120000</v>
      </c>
      <c r="E263" s="1004"/>
      <c r="F263" s="1005">
        <f t="shared" si="16"/>
        <v>120000</v>
      </c>
      <c r="H263" s="1004"/>
      <c r="I263" s="1005">
        <f t="shared" si="17"/>
        <v>120000</v>
      </c>
      <c r="J263" s="1010"/>
      <c r="K263" s="1004"/>
      <c r="L263" s="1005">
        <f t="shared" si="18"/>
        <v>120000</v>
      </c>
      <c r="M263" s="1010"/>
      <c r="N263" s="1004"/>
      <c r="O263" s="1005">
        <f t="shared" si="19"/>
        <v>120000</v>
      </c>
      <c r="P263" s="1006" t="str">
        <f t="shared" si="15"/>
        <v>OK!</v>
      </c>
    </row>
    <row r="264" spans="1:16" x14ac:dyDescent="0.2">
      <c r="A264" s="1036" t="s">
        <v>2501</v>
      </c>
      <c r="B264" s="1004" t="s">
        <v>2616</v>
      </c>
      <c r="C264" s="1004">
        <v>120000</v>
      </c>
      <c r="E264" s="1004"/>
      <c r="F264" s="1005">
        <f t="shared" si="16"/>
        <v>120000</v>
      </c>
      <c r="H264" s="1004"/>
      <c r="I264" s="1005">
        <f t="shared" si="17"/>
        <v>120000</v>
      </c>
      <c r="J264" s="1010"/>
      <c r="K264" s="1004"/>
      <c r="L264" s="1005">
        <f t="shared" si="18"/>
        <v>120000</v>
      </c>
      <c r="M264" s="1010"/>
      <c r="N264" s="1004"/>
      <c r="O264" s="1005">
        <f t="shared" si="19"/>
        <v>120000</v>
      </c>
      <c r="P264" s="1006" t="str">
        <f t="shared" si="15"/>
        <v>OK!</v>
      </c>
    </row>
    <row r="265" spans="1:16" x14ac:dyDescent="0.2">
      <c r="A265" s="1036" t="s">
        <v>2501</v>
      </c>
      <c r="B265" s="1004" t="s">
        <v>2619</v>
      </c>
      <c r="C265" s="1004">
        <v>468000</v>
      </c>
      <c r="E265" s="1004"/>
      <c r="F265" s="1005">
        <f t="shared" si="16"/>
        <v>468000</v>
      </c>
      <c r="H265" s="1004"/>
      <c r="I265" s="1005">
        <f t="shared" si="17"/>
        <v>468000</v>
      </c>
      <c r="J265" s="1010"/>
      <c r="K265" s="1004"/>
      <c r="L265" s="1005">
        <f t="shared" si="18"/>
        <v>468000</v>
      </c>
      <c r="M265" s="1010"/>
      <c r="N265" s="1004"/>
      <c r="O265" s="1005">
        <f t="shared" si="19"/>
        <v>468000</v>
      </c>
      <c r="P265" s="1006" t="str">
        <f t="shared" si="15"/>
        <v>OK!</v>
      </c>
    </row>
    <row r="266" spans="1:16" x14ac:dyDescent="0.2">
      <c r="A266" s="1036" t="s">
        <v>2501</v>
      </c>
      <c r="B266" s="1004" t="s">
        <v>2562</v>
      </c>
      <c r="C266" s="1004">
        <v>464786</v>
      </c>
      <c r="E266" s="1004"/>
      <c r="F266" s="1005">
        <f t="shared" si="16"/>
        <v>464786</v>
      </c>
      <c r="H266" s="1004"/>
      <c r="I266" s="1005">
        <f t="shared" si="17"/>
        <v>464786</v>
      </c>
      <c r="J266" s="1010"/>
      <c r="K266" s="1004"/>
      <c r="L266" s="1005">
        <f t="shared" si="18"/>
        <v>464786</v>
      </c>
      <c r="M266" s="1010"/>
      <c r="N266" s="1004"/>
      <c r="O266" s="1005">
        <f t="shared" si="19"/>
        <v>464786</v>
      </c>
      <c r="P266" s="1006" t="str">
        <f t="shared" si="15"/>
        <v>OK!</v>
      </c>
    </row>
    <row r="267" spans="1:16" x14ac:dyDescent="0.2">
      <c r="A267" s="1036" t="s">
        <v>2501</v>
      </c>
      <c r="B267" s="1004" t="s">
        <v>2630</v>
      </c>
      <c r="C267" s="1004">
        <v>450000</v>
      </c>
      <c r="E267" s="1004"/>
      <c r="F267" s="1005">
        <f t="shared" si="16"/>
        <v>450000</v>
      </c>
      <c r="H267" s="1004"/>
      <c r="I267" s="1005">
        <f t="shared" si="17"/>
        <v>450000</v>
      </c>
      <c r="J267" s="1010"/>
      <c r="K267" s="1004"/>
      <c r="L267" s="1005">
        <f t="shared" si="18"/>
        <v>450000</v>
      </c>
      <c r="M267" s="1010"/>
      <c r="N267" s="1004"/>
      <c r="O267" s="1005">
        <f t="shared" si="19"/>
        <v>450000</v>
      </c>
      <c r="P267" s="1006" t="str">
        <f t="shared" si="15"/>
        <v>OK!</v>
      </c>
    </row>
    <row r="268" spans="1:16" x14ac:dyDescent="0.2">
      <c r="A268" s="1036" t="s">
        <v>2501</v>
      </c>
      <c r="B268" s="1004" t="s">
        <v>2631</v>
      </c>
      <c r="C268" s="1004">
        <v>1124760</v>
      </c>
      <c r="E268" s="1004"/>
      <c r="F268" s="1005">
        <f t="shared" si="16"/>
        <v>1124760</v>
      </c>
      <c r="H268" s="1004"/>
      <c r="I268" s="1005">
        <f t="shared" si="17"/>
        <v>1124760</v>
      </c>
      <c r="J268" s="1010"/>
      <c r="K268" s="1004"/>
      <c r="L268" s="1005">
        <f t="shared" si="18"/>
        <v>1124760</v>
      </c>
      <c r="M268" s="1010"/>
      <c r="N268" s="1004"/>
      <c r="O268" s="1005">
        <f t="shared" si="19"/>
        <v>1124760</v>
      </c>
      <c r="P268" s="1006" t="str">
        <f t="shared" si="15"/>
        <v>OK!</v>
      </c>
    </row>
    <row r="269" spans="1:16" x14ac:dyDescent="0.2">
      <c r="A269" s="1036" t="s">
        <v>2502</v>
      </c>
      <c r="B269" s="1004" t="s">
        <v>2632</v>
      </c>
      <c r="C269" s="1004">
        <v>300000</v>
      </c>
      <c r="E269" s="1004"/>
      <c r="F269" s="1005">
        <f t="shared" si="16"/>
        <v>300000</v>
      </c>
      <c r="H269" s="1004"/>
      <c r="I269" s="1005">
        <f t="shared" si="17"/>
        <v>300000</v>
      </c>
      <c r="J269" s="1010"/>
      <c r="K269" s="1004"/>
      <c r="L269" s="1005">
        <f t="shared" si="18"/>
        <v>300000</v>
      </c>
      <c r="M269" s="1010"/>
      <c r="N269" s="1004"/>
      <c r="O269" s="1005">
        <f t="shared" si="19"/>
        <v>300000</v>
      </c>
      <c r="P269" s="1006" t="str">
        <f t="shared" si="15"/>
        <v>OK!</v>
      </c>
    </row>
    <row r="270" spans="1:16" x14ac:dyDescent="0.2">
      <c r="A270" s="1036" t="s">
        <v>2502</v>
      </c>
      <c r="B270" s="1004" t="s">
        <v>2633</v>
      </c>
      <c r="C270" s="1004">
        <v>240000</v>
      </c>
      <c r="E270" s="1004"/>
      <c r="F270" s="1005">
        <f t="shared" si="16"/>
        <v>240000</v>
      </c>
      <c r="H270" s="1004"/>
      <c r="I270" s="1005">
        <f t="shared" si="17"/>
        <v>240000</v>
      </c>
      <c r="J270" s="1010"/>
      <c r="K270" s="1004"/>
      <c r="L270" s="1005">
        <f t="shared" si="18"/>
        <v>240000</v>
      </c>
      <c r="M270" s="1010"/>
      <c r="N270" s="1004"/>
      <c r="O270" s="1005">
        <f t="shared" si="19"/>
        <v>240000</v>
      </c>
      <c r="P270" s="1006" t="str">
        <f t="shared" si="15"/>
        <v>OK!</v>
      </c>
    </row>
    <row r="271" spans="1:16" x14ac:dyDescent="0.2">
      <c r="A271" s="1036" t="s">
        <v>2502</v>
      </c>
      <c r="B271" s="1004" t="s">
        <v>2634</v>
      </c>
      <c r="C271" s="1004">
        <v>120000</v>
      </c>
      <c r="E271" s="1004"/>
      <c r="F271" s="1005">
        <f t="shared" si="16"/>
        <v>120000</v>
      </c>
      <c r="H271" s="1004"/>
      <c r="I271" s="1005">
        <f t="shared" si="17"/>
        <v>120000</v>
      </c>
      <c r="J271" s="1010"/>
      <c r="K271" s="1004"/>
      <c r="L271" s="1005">
        <f t="shared" si="18"/>
        <v>120000</v>
      </c>
      <c r="M271" s="1010"/>
      <c r="N271" s="1004"/>
      <c r="O271" s="1005">
        <f t="shared" si="19"/>
        <v>120000</v>
      </c>
      <c r="P271" s="1006" t="str">
        <f t="shared" si="15"/>
        <v>OK!</v>
      </c>
    </row>
    <row r="272" spans="1:16" x14ac:dyDescent="0.2">
      <c r="A272" s="1036" t="s">
        <v>2502</v>
      </c>
      <c r="B272" s="1004" t="s">
        <v>2635</v>
      </c>
      <c r="C272" s="1004">
        <v>96000</v>
      </c>
      <c r="E272" s="1004"/>
      <c r="F272" s="1005">
        <f t="shared" si="16"/>
        <v>96000</v>
      </c>
      <c r="H272" s="1004"/>
      <c r="I272" s="1005">
        <f t="shared" si="17"/>
        <v>96000</v>
      </c>
      <c r="J272" s="1010"/>
      <c r="K272" s="1004"/>
      <c r="L272" s="1005">
        <f t="shared" si="18"/>
        <v>96000</v>
      </c>
      <c r="M272" s="1010"/>
      <c r="N272" s="1004"/>
      <c r="O272" s="1005">
        <f t="shared" si="19"/>
        <v>96000</v>
      </c>
      <c r="P272" s="1006" t="str">
        <f t="shared" si="15"/>
        <v>OK!</v>
      </c>
    </row>
    <row r="273" spans="1:16" x14ac:dyDescent="0.2">
      <c r="A273" s="1036" t="s">
        <v>2355</v>
      </c>
      <c r="B273" s="1004" t="s">
        <v>2636</v>
      </c>
      <c r="C273" s="1004">
        <v>2497800</v>
      </c>
      <c r="E273" s="1004">
        <v>2497800</v>
      </c>
      <c r="F273" s="1005">
        <f t="shared" si="16"/>
        <v>0</v>
      </c>
      <c r="H273" s="1004"/>
      <c r="I273" s="1005">
        <f t="shared" si="17"/>
        <v>0</v>
      </c>
      <c r="J273" s="1010"/>
      <c r="K273" s="1004"/>
      <c r="L273" s="1005">
        <f t="shared" si="18"/>
        <v>0</v>
      </c>
      <c r="M273" s="1010"/>
      <c r="N273" s="1004"/>
      <c r="O273" s="1005">
        <f t="shared" si="19"/>
        <v>0</v>
      </c>
      <c r="P273" s="1006" t="str">
        <f t="shared" si="15"/>
        <v>OK!</v>
      </c>
    </row>
    <row r="274" spans="1:16" x14ac:dyDescent="0.2">
      <c r="A274" s="1036" t="s">
        <v>2355</v>
      </c>
      <c r="B274" s="1004" t="s">
        <v>2630</v>
      </c>
      <c r="C274" s="1004">
        <v>2703360</v>
      </c>
      <c r="E274" s="1004">
        <v>2703360</v>
      </c>
      <c r="F274" s="1005">
        <f t="shared" si="16"/>
        <v>0</v>
      </c>
      <c r="H274" s="1004"/>
      <c r="I274" s="1005">
        <f t="shared" si="17"/>
        <v>0</v>
      </c>
      <c r="J274" s="1010"/>
      <c r="K274" s="1004"/>
      <c r="L274" s="1005">
        <f t="shared" si="18"/>
        <v>0</v>
      </c>
      <c r="M274" s="1010"/>
      <c r="N274" s="1004"/>
      <c r="O274" s="1005">
        <f t="shared" si="19"/>
        <v>0</v>
      </c>
      <c r="P274" s="1006" t="str">
        <f t="shared" si="15"/>
        <v>OK!</v>
      </c>
    </row>
    <row r="275" spans="1:16" x14ac:dyDescent="0.2">
      <c r="A275" s="1036" t="s">
        <v>2355</v>
      </c>
      <c r="B275" s="1004" t="s">
        <v>2637</v>
      </c>
      <c r="C275" s="1004">
        <v>2184504</v>
      </c>
      <c r="E275" s="1004">
        <v>2184504</v>
      </c>
      <c r="F275" s="1005">
        <f t="shared" si="16"/>
        <v>0</v>
      </c>
      <c r="H275" s="1004"/>
      <c r="I275" s="1005">
        <f t="shared" si="17"/>
        <v>0</v>
      </c>
      <c r="J275" s="1010"/>
      <c r="K275" s="1004"/>
      <c r="L275" s="1005">
        <f t="shared" si="18"/>
        <v>0</v>
      </c>
      <c r="M275" s="1010"/>
      <c r="N275" s="1004"/>
      <c r="O275" s="1005">
        <f t="shared" si="19"/>
        <v>0</v>
      </c>
      <c r="P275" s="1006" t="str">
        <f t="shared" si="15"/>
        <v>OK!</v>
      </c>
    </row>
    <row r="276" spans="1:16" x14ac:dyDescent="0.2">
      <c r="A276" s="1036" t="s">
        <v>2355</v>
      </c>
      <c r="B276" s="1004" t="s">
        <v>2637</v>
      </c>
      <c r="C276" s="1004">
        <v>3271440</v>
      </c>
      <c r="E276" s="1004"/>
      <c r="F276" s="1005">
        <f t="shared" si="16"/>
        <v>3271440</v>
      </c>
      <c r="H276" s="1004">
        <v>3271440</v>
      </c>
      <c r="I276" s="1005">
        <f t="shared" si="17"/>
        <v>0</v>
      </c>
      <c r="J276" s="1010"/>
      <c r="K276" s="1004"/>
      <c r="L276" s="1005">
        <f t="shared" si="18"/>
        <v>0</v>
      </c>
      <c r="M276" s="1010"/>
      <c r="N276" s="1004"/>
      <c r="O276" s="1005">
        <f t="shared" si="19"/>
        <v>0</v>
      </c>
      <c r="P276" s="1006" t="str">
        <f t="shared" si="15"/>
        <v>OK!</v>
      </c>
    </row>
    <row r="277" spans="1:16" x14ac:dyDescent="0.2">
      <c r="A277" s="1036" t="s">
        <v>2355</v>
      </c>
      <c r="B277" s="1004" t="s">
        <v>2638</v>
      </c>
      <c r="C277" s="1004">
        <v>322003</v>
      </c>
      <c r="E277" s="1004"/>
      <c r="F277" s="1005">
        <f t="shared" si="16"/>
        <v>322003</v>
      </c>
      <c r="H277" s="1004">
        <v>322003</v>
      </c>
      <c r="I277" s="1005">
        <f t="shared" si="17"/>
        <v>0</v>
      </c>
      <c r="J277" s="1010"/>
      <c r="K277" s="1004"/>
      <c r="L277" s="1005">
        <f t="shared" si="18"/>
        <v>0</v>
      </c>
      <c r="M277" s="1010"/>
      <c r="N277" s="1004"/>
      <c r="O277" s="1005">
        <f t="shared" si="19"/>
        <v>0</v>
      </c>
      <c r="P277" s="1006" t="str">
        <f t="shared" si="15"/>
        <v>OK!</v>
      </c>
    </row>
    <row r="278" spans="1:16" x14ac:dyDescent="0.2">
      <c r="A278" s="1036" t="s">
        <v>2499</v>
      </c>
      <c r="B278" s="1004" t="s">
        <v>2639</v>
      </c>
      <c r="C278" s="1004">
        <v>239337</v>
      </c>
      <c r="E278" s="1004"/>
      <c r="F278" s="1005">
        <f t="shared" si="16"/>
        <v>239337</v>
      </c>
      <c r="H278" s="1004">
        <v>239337</v>
      </c>
      <c r="I278" s="1005">
        <f t="shared" si="17"/>
        <v>0</v>
      </c>
      <c r="J278" s="1010"/>
      <c r="K278" s="1004"/>
      <c r="L278" s="1005">
        <f t="shared" si="18"/>
        <v>0</v>
      </c>
      <c r="M278" s="1010"/>
      <c r="N278" s="1004"/>
      <c r="O278" s="1005">
        <f t="shared" si="19"/>
        <v>0</v>
      </c>
      <c r="P278" s="1006" t="str">
        <f t="shared" si="15"/>
        <v>OK!</v>
      </c>
    </row>
    <row r="279" spans="1:16" x14ac:dyDescent="0.2">
      <c r="A279" s="1036" t="s">
        <v>2503</v>
      </c>
      <c r="B279" s="1004" t="s">
        <v>2640</v>
      </c>
      <c r="C279" s="1004">
        <v>100000</v>
      </c>
      <c r="E279" s="1004"/>
      <c r="F279" s="1005">
        <f t="shared" si="16"/>
        <v>100000</v>
      </c>
      <c r="H279" s="1004">
        <v>100000</v>
      </c>
      <c r="I279" s="1005">
        <f t="shared" si="17"/>
        <v>0</v>
      </c>
      <c r="J279" s="1010"/>
      <c r="K279" s="1004"/>
      <c r="L279" s="1005">
        <f t="shared" si="18"/>
        <v>0</v>
      </c>
      <c r="M279" s="1010"/>
      <c r="N279" s="1004"/>
      <c r="O279" s="1005">
        <f t="shared" si="19"/>
        <v>0</v>
      </c>
      <c r="P279" s="1006" t="str">
        <f t="shared" si="15"/>
        <v>OK!</v>
      </c>
    </row>
    <row r="280" spans="1:16" x14ac:dyDescent="0.2">
      <c r="A280" s="1036" t="s">
        <v>2504</v>
      </c>
      <c r="B280" s="1004" t="s">
        <v>2641</v>
      </c>
      <c r="C280" s="1004">
        <v>290298</v>
      </c>
      <c r="E280" s="1004"/>
      <c r="F280" s="1005">
        <f t="shared" si="16"/>
        <v>290298</v>
      </c>
      <c r="H280" s="1004"/>
      <c r="I280" s="1005">
        <f t="shared" si="17"/>
        <v>290298</v>
      </c>
      <c r="J280" s="1010"/>
      <c r="K280" s="1004"/>
      <c r="L280" s="1005">
        <f t="shared" si="18"/>
        <v>290298</v>
      </c>
      <c r="M280" s="1010"/>
      <c r="N280" s="1004"/>
      <c r="O280" s="1005">
        <f t="shared" si="19"/>
        <v>290298</v>
      </c>
      <c r="P280" s="1006" t="str">
        <f t="shared" si="15"/>
        <v>OK!</v>
      </c>
    </row>
    <row r="281" spans="1:16" x14ac:dyDescent="0.2">
      <c r="A281" s="1036" t="s">
        <v>2504</v>
      </c>
      <c r="B281" s="1004" t="s">
        <v>2632</v>
      </c>
      <c r="C281" s="1004">
        <v>25471</v>
      </c>
      <c r="E281" s="1004"/>
      <c r="F281" s="1005">
        <f t="shared" si="16"/>
        <v>25471</v>
      </c>
      <c r="H281" s="1004"/>
      <c r="I281" s="1005">
        <f t="shared" si="17"/>
        <v>25471</v>
      </c>
      <c r="J281" s="1010"/>
      <c r="K281" s="1004"/>
      <c r="L281" s="1005">
        <f t="shared" si="18"/>
        <v>25471</v>
      </c>
      <c r="M281" s="1010"/>
      <c r="N281" s="1004"/>
      <c r="O281" s="1005">
        <f t="shared" si="19"/>
        <v>25471</v>
      </c>
      <c r="P281" s="1006" t="str">
        <f t="shared" si="15"/>
        <v>OK!</v>
      </c>
    </row>
    <row r="282" spans="1:16" x14ac:dyDescent="0.2">
      <c r="A282" s="1036" t="s">
        <v>2504</v>
      </c>
      <c r="B282" s="1004" t="s">
        <v>2642</v>
      </c>
      <c r="C282" s="1004">
        <v>19990</v>
      </c>
      <c r="E282" s="1004"/>
      <c r="F282" s="1005">
        <f t="shared" si="16"/>
        <v>19990</v>
      </c>
      <c r="H282" s="1004"/>
      <c r="I282" s="1005">
        <f t="shared" si="17"/>
        <v>19990</v>
      </c>
      <c r="J282" s="1010"/>
      <c r="K282" s="1004"/>
      <c r="L282" s="1005">
        <f t="shared" si="18"/>
        <v>19990</v>
      </c>
      <c r="M282" s="1010"/>
      <c r="N282" s="1004"/>
      <c r="O282" s="1005">
        <f t="shared" si="19"/>
        <v>19990</v>
      </c>
      <c r="P282" s="1006" t="str">
        <f t="shared" si="15"/>
        <v>OK!</v>
      </c>
    </row>
    <row r="283" spans="1:16" x14ac:dyDescent="0.2">
      <c r="A283" s="1036" t="s">
        <v>2504</v>
      </c>
      <c r="B283" s="1004" t="s">
        <v>2643</v>
      </c>
      <c r="C283" s="1004">
        <v>241399</v>
      </c>
      <c r="E283" s="1004"/>
      <c r="F283" s="1005">
        <f t="shared" si="16"/>
        <v>241399</v>
      </c>
      <c r="H283" s="1004"/>
      <c r="I283" s="1005">
        <f t="shared" si="17"/>
        <v>241399</v>
      </c>
      <c r="J283" s="1010"/>
      <c r="K283" s="1004"/>
      <c r="L283" s="1005">
        <f t="shared" si="18"/>
        <v>241399</v>
      </c>
      <c r="M283" s="1010"/>
      <c r="N283" s="1004"/>
      <c r="O283" s="1005">
        <f t="shared" si="19"/>
        <v>241399</v>
      </c>
      <c r="P283" s="1006" t="str">
        <f t="shared" si="15"/>
        <v>OK!</v>
      </c>
    </row>
    <row r="284" spans="1:16" x14ac:dyDescent="0.2">
      <c r="A284" s="1036" t="s">
        <v>2504</v>
      </c>
      <c r="B284" s="1004" t="s">
        <v>2644</v>
      </c>
      <c r="C284" s="1004">
        <v>313440</v>
      </c>
      <c r="E284" s="1004"/>
      <c r="F284" s="1005">
        <f t="shared" si="16"/>
        <v>313440</v>
      </c>
      <c r="H284" s="1004"/>
      <c r="I284" s="1005">
        <f t="shared" si="17"/>
        <v>313440</v>
      </c>
      <c r="J284" s="1010"/>
      <c r="K284" s="1004"/>
      <c r="L284" s="1005">
        <f t="shared" si="18"/>
        <v>313440</v>
      </c>
      <c r="M284" s="1010"/>
      <c r="N284" s="1004"/>
      <c r="O284" s="1005">
        <f t="shared" si="19"/>
        <v>313440</v>
      </c>
      <c r="P284" s="1006" t="str">
        <f t="shared" si="15"/>
        <v>OK!</v>
      </c>
    </row>
    <row r="285" spans="1:16" x14ac:dyDescent="0.2">
      <c r="A285" s="1036" t="s">
        <v>2504</v>
      </c>
      <c r="B285" s="1004" t="s">
        <v>2645</v>
      </c>
      <c r="C285" s="1004">
        <v>425612</v>
      </c>
      <c r="E285" s="1004"/>
      <c r="F285" s="1005">
        <f t="shared" si="16"/>
        <v>425612</v>
      </c>
      <c r="H285" s="1004"/>
      <c r="I285" s="1005">
        <f t="shared" si="17"/>
        <v>425612</v>
      </c>
      <c r="J285" s="1010"/>
      <c r="K285" s="1004"/>
      <c r="L285" s="1005">
        <f t="shared" si="18"/>
        <v>425612</v>
      </c>
      <c r="M285" s="1010"/>
      <c r="N285" s="1004"/>
      <c r="O285" s="1005">
        <f t="shared" si="19"/>
        <v>425612</v>
      </c>
      <c r="P285" s="1006" t="str">
        <f t="shared" si="15"/>
        <v>OK!</v>
      </c>
    </row>
    <row r="286" spans="1:16" x14ac:dyDescent="0.2">
      <c r="A286" s="1036" t="s">
        <v>2504</v>
      </c>
      <c r="B286" s="1004" t="s">
        <v>2646</v>
      </c>
      <c r="C286" s="1004">
        <v>98536</v>
      </c>
      <c r="E286" s="1004"/>
      <c r="F286" s="1005">
        <f t="shared" si="16"/>
        <v>98536</v>
      </c>
      <c r="H286" s="1004"/>
      <c r="I286" s="1005">
        <f t="shared" si="17"/>
        <v>98536</v>
      </c>
      <c r="J286" s="1010"/>
      <c r="K286" s="1004"/>
      <c r="L286" s="1005">
        <f t="shared" si="18"/>
        <v>98536</v>
      </c>
      <c r="M286" s="1010"/>
      <c r="N286" s="1004"/>
      <c r="O286" s="1005">
        <f t="shared" si="19"/>
        <v>98536</v>
      </c>
      <c r="P286" s="1006" t="str">
        <f t="shared" si="15"/>
        <v>OK!</v>
      </c>
    </row>
    <row r="287" spans="1:16" x14ac:dyDescent="0.2">
      <c r="A287" s="1036" t="s">
        <v>2505</v>
      </c>
      <c r="B287" s="1004" t="s">
        <v>2647</v>
      </c>
      <c r="C287" s="1004">
        <v>115837</v>
      </c>
      <c r="E287" s="1004"/>
      <c r="F287" s="1005">
        <f t="shared" si="16"/>
        <v>115837</v>
      </c>
      <c r="H287" s="1004"/>
      <c r="I287" s="1005">
        <f t="shared" si="17"/>
        <v>115837</v>
      </c>
      <c r="J287" s="1010"/>
      <c r="K287" s="1004"/>
      <c r="L287" s="1005">
        <f t="shared" si="18"/>
        <v>115837</v>
      </c>
      <c r="M287" s="1010"/>
      <c r="N287" s="1004"/>
      <c r="O287" s="1005">
        <f t="shared" si="19"/>
        <v>115837</v>
      </c>
      <c r="P287" s="1006" t="str">
        <f t="shared" si="15"/>
        <v>OK!</v>
      </c>
    </row>
    <row r="288" spans="1:16" x14ac:dyDescent="0.2">
      <c r="A288" s="1036" t="s">
        <v>2506</v>
      </c>
      <c r="B288" s="1004" t="s">
        <v>2648</v>
      </c>
      <c r="C288" s="1004">
        <v>400000</v>
      </c>
      <c r="E288" s="1004"/>
      <c r="F288" s="1005">
        <f t="shared" si="16"/>
        <v>400000</v>
      </c>
      <c r="H288" s="1004">
        <v>400000</v>
      </c>
      <c r="I288" s="1005">
        <f t="shared" si="17"/>
        <v>0</v>
      </c>
      <c r="J288" s="1010"/>
      <c r="K288" s="1004"/>
      <c r="L288" s="1005">
        <f t="shared" si="18"/>
        <v>0</v>
      </c>
      <c r="M288" s="1010"/>
      <c r="N288" s="1004"/>
      <c r="O288" s="1005">
        <f t="shared" si="19"/>
        <v>0</v>
      </c>
      <c r="P288" s="1006" t="str">
        <f t="shared" si="15"/>
        <v>OK!</v>
      </c>
    </row>
    <row r="289" spans="1:17" x14ac:dyDescent="0.2">
      <c r="A289" s="1036" t="s">
        <v>2506</v>
      </c>
      <c r="B289" s="1004" t="s">
        <v>2649</v>
      </c>
      <c r="C289" s="1004">
        <v>400000</v>
      </c>
      <c r="E289" s="1004"/>
      <c r="F289" s="1005">
        <f t="shared" si="16"/>
        <v>400000</v>
      </c>
      <c r="H289" s="1004">
        <v>400000</v>
      </c>
      <c r="I289" s="1005">
        <f t="shared" si="17"/>
        <v>0</v>
      </c>
      <c r="J289" s="1010"/>
      <c r="K289" s="1004"/>
      <c r="L289" s="1005">
        <f t="shared" si="18"/>
        <v>0</v>
      </c>
      <c r="M289" s="1010"/>
      <c r="N289" s="1004"/>
      <c r="O289" s="1005">
        <f t="shared" si="19"/>
        <v>0</v>
      </c>
      <c r="P289" s="1006" t="str">
        <f t="shared" si="15"/>
        <v>OK!</v>
      </c>
    </row>
    <row r="290" spans="1:17" x14ac:dyDescent="0.2">
      <c r="A290" s="1036" t="s">
        <v>2506</v>
      </c>
      <c r="B290" s="1004" t="s">
        <v>2650</v>
      </c>
      <c r="C290" s="1004">
        <v>400000</v>
      </c>
      <c r="E290" s="1004"/>
      <c r="F290" s="1005">
        <f t="shared" si="16"/>
        <v>400000</v>
      </c>
      <c r="H290" s="1004">
        <v>400000</v>
      </c>
      <c r="I290" s="1005">
        <f t="shared" si="17"/>
        <v>0</v>
      </c>
      <c r="J290" s="1010"/>
      <c r="K290" s="1004"/>
      <c r="L290" s="1005">
        <f t="shared" si="18"/>
        <v>0</v>
      </c>
      <c r="M290" s="1010"/>
      <c r="N290" s="1004"/>
      <c r="O290" s="1005">
        <f t="shared" si="19"/>
        <v>0</v>
      </c>
      <c r="P290" s="1006" t="str">
        <f t="shared" si="15"/>
        <v>OK!</v>
      </c>
    </row>
    <row r="291" spans="1:17" x14ac:dyDescent="0.2">
      <c r="A291" s="1036" t="s">
        <v>2506</v>
      </c>
      <c r="B291" s="1004" t="s">
        <v>2565</v>
      </c>
      <c r="C291" s="1004">
        <v>400000</v>
      </c>
      <c r="E291" s="1004"/>
      <c r="F291" s="1005">
        <f t="shared" si="16"/>
        <v>400000</v>
      </c>
      <c r="H291" s="1004">
        <v>400000</v>
      </c>
      <c r="I291" s="1005">
        <f t="shared" si="17"/>
        <v>0</v>
      </c>
      <c r="J291" s="1010"/>
      <c r="K291" s="1004"/>
      <c r="L291" s="1005">
        <f t="shared" si="18"/>
        <v>0</v>
      </c>
      <c r="M291" s="1010"/>
      <c r="N291" s="1004"/>
      <c r="O291" s="1005">
        <f t="shared" si="19"/>
        <v>0</v>
      </c>
      <c r="P291" s="1006" t="str">
        <f t="shared" si="15"/>
        <v>OK!</v>
      </c>
    </row>
    <row r="292" spans="1:17" x14ac:dyDescent="0.2">
      <c r="A292" s="1036" t="s">
        <v>2506</v>
      </c>
      <c r="B292" s="1004" t="s">
        <v>2651</v>
      </c>
      <c r="C292" s="1004">
        <v>400000</v>
      </c>
      <c r="E292" s="1004">
        <v>400000</v>
      </c>
      <c r="F292" s="1005">
        <f t="shared" si="16"/>
        <v>0</v>
      </c>
      <c r="H292" s="1004"/>
      <c r="I292" s="1005">
        <f t="shared" si="17"/>
        <v>0</v>
      </c>
      <c r="J292" s="1010"/>
      <c r="K292" s="1004"/>
      <c r="L292" s="1005">
        <f t="shared" si="18"/>
        <v>0</v>
      </c>
      <c r="M292" s="1010"/>
      <c r="N292" s="1004"/>
      <c r="O292" s="1005">
        <f t="shared" si="19"/>
        <v>0</v>
      </c>
      <c r="P292" s="1006" t="str">
        <f t="shared" si="15"/>
        <v>OK!</v>
      </c>
    </row>
    <row r="293" spans="1:17" x14ac:dyDescent="0.2">
      <c r="A293" s="1036" t="s">
        <v>2507</v>
      </c>
      <c r="B293" s="1004" t="s">
        <v>2652</v>
      </c>
      <c r="C293" s="1004">
        <v>480000</v>
      </c>
      <c r="E293" s="1004"/>
      <c r="F293" s="1005">
        <f t="shared" si="16"/>
        <v>480000</v>
      </c>
      <c r="H293" s="1004"/>
      <c r="I293" s="1005">
        <f t="shared" si="17"/>
        <v>480000</v>
      </c>
      <c r="J293" s="1010"/>
      <c r="K293" s="1004"/>
      <c r="L293" s="1005">
        <f t="shared" si="18"/>
        <v>480000</v>
      </c>
      <c r="M293" s="1010"/>
      <c r="N293" s="1004"/>
      <c r="O293" s="1005">
        <f t="shared" si="19"/>
        <v>480000</v>
      </c>
      <c r="P293" s="1006" t="str">
        <f t="shared" si="15"/>
        <v>OK!</v>
      </c>
    </row>
    <row r="294" spans="1:17" x14ac:dyDescent="0.2">
      <c r="A294" s="1036" t="s">
        <v>2508</v>
      </c>
      <c r="B294" s="1004" t="s">
        <v>2653</v>
      </c>
      <c r="C294" s="1004">
        <v>20400</v>
      </c>
      <c r="E294" s="1004"/>
      <c r="F294" s="1005">
        <f t="shared" si="16"/>
        <v>20400</v>
      </c>
      <c r="H294" s="1004"/>
      <c r="I294" s="1005">
        <f t="shared" si="17"/>
        <v>20400</v>
      </c>
      <c r="J294" s="1010"/>
      <c r="K294" s="1004"/>
      <c r="L294" s="1005">
        <f t="shared" si="18"/>
        <v>20400</v>
      </c>
      <c r="M294" s="1010"/>
      <c r="N294" s="1004"/>
      <c r="O294" s="1005">
        <f t="shared" si="19"/>
        <v>20400</v>
      </c>
      <c r="P294" s="1006" t="str">
        <f t="shared" si="15"/>
        <v>OK!</v>
      </c>
    </row>
    <row r="295" spans="1:17" x14ac:dyDescent="0.2">
      <c r="A295" s="1036" t="s">
        <v>2509</v>
      </c>
      <c r="B295" s="1004" t="s">
        <v>2654</v>
      </c>
      <c r="C295" s="1004">
        <v>728052</v>
      </c>
      <c r="E295" s="1004"/>
      <c r="F295" s="1005">
        <f t="shared" si="16"/>
        <v>728052</v>
      </c>
      <c r="H295" s="1004"/>
      <c r="I295" s="1005">
        <f t="shared" si="17"/>
        <v>728052</v>
      </c>
      <c r="J295" s="1010"/>
      <c r="K295" s="1004"/>
      <c r="L295" s="1005">
        <f t="shared" si="18"/>
        <v>728052</v>
      </c>
      <c r="M295" s="1010"/>
      <c r="N295" s="1004"/>
      <c r="O295" s="1005">
        <f t="shared" si="19"/>
        <v>728052</v>
      </c>
      <c r="P295" s="1006" t="str">
        <f t="shared" si="15"/>
        <v>OK!</v>
      </c>
    </row>
    <row r="296" spans="1:17" x14ac:dyDescent="0.2">
      <c r="A296" s="1036" t="s">
        <v>2510</v>
      </c>
      <c r="B296" s="1004" t="s">
        <v>2655</v>
      </c>
      <c r="C296" s="1004">
        <v>60000</v>
      </c>
      <c r="E296" s="1004"/>
      <c r="F296" s="1005">
        <f t="shared" si="16"/>
        <v>60000</v>
      </c>
      <c r="H296" s="1004"/>
      <c r="I296" s="1005">
        <f t="shared" si="17"/>
        <v>60000</v>
      </c>
      <c r="J296" s="1010"/>
      <c r="K296" s="1004"/>
      <c r="L296" s="1005">
        <f t="shared" si="18"/>
        <v>60000</v>
      </c>
      <c r="M296" s="1010"/>
      <c r="N296" s="1004"/>
      <c r="O296" s="1005">
        <f t="shared" si="19"/>
        <v>60000</v>
      </c>
      <c r="P296" s="1006" t="str">
        <f t="shared" si="15"/>
        <v>OK!</v>
      </c>
    </row>
    <row r="297" spans="1:17" x14ac:dyDescent="0.2">
      <c r="A297" s="1036" t="s">
        <v>2511</v>
      </c>
      <c r="B297" s="1004" t="s">
        <v>2656</v>
      </c>
      <c r="C297" s="1004">
        <v>9900</v>
      </c>
      <c r="E297" s="1004"/>
      <c r="F297" s="1005">
        <f t="shared" si="16"/>
        <v>9900</v>
      </c>
      <c r="H297" s="1004"/>
      <c r="I297" s="1005">
        <f t="shared" si="17"/>
        <v>9900</v>
      </c>
      <c r="J297" s="1010"/>
      <c r="K297" s="1004"/>
      <c r="L297" s="1005">
        <f t="shared" si="18"/>
        <v>9900</v>
      </c>
      <c r="M297" s="1010"/>
      <c r="N297" s="1004"/>
      <c r="O297" s="1005">
        <f t="shared" si="19"/>
        <v>9900</v>
      </c>
      <c r="P297" s="1006" t="str">
        <f t="shared" si="15"/>
        <v>OK!</v>
      </c>
    </row>
    <row r="298" spans="1:17" x14ac:dyDescent="0.2">
      <c r="A298" s="1036" t="s">
        <v>2512</v>
      </c>
      <c r="B298" s="1004" t="s">
        <v>2657</v>
      </c>
      <c r="C298" s="1004">
        <v>4032</v>
      </c>
      <c r="E298" s="1004"/>
      <c r="F298" s="1005">
        <f t="shared" si="16"/>
        <v>4032</v>
      </c>
      <c r="H298" s="1004"/>
      <c r="I298" s="1005">
        <f t="shared" si="17"/>
        <v>4032</v>
      </c>
      <c r="J298" s="1010"/>
      <c r="K298" s="1004"/>
      <c r="L298" s="1005">
        <f t="shared" si="18"/>
        <v>4032</v>
      </c>
      <c r="M298" s="1010"/>
      <c r="N298" s="1004"/>
      <c r="O298" s="1005">
        <f t="shared" si="19"/>
        <v>4032</v>
      </c>
      <c r="P298" s="1006" t="str">
        <f t="shared" si="15"/>
        <v>OK!</v>
      </c>
    </row>
    <row r="299" spans="1:17" x14ac:dyDescent="0.2">
      <c r="A299" s="1036" t="s">
        <v>2513</v>
      </c>
      <c r="B299" s="1004" t="s">
        <v>2658</v>
      </c>
      <c r="C299" s="1004">
        <v>36436</v>
      </c>
      <c r="E299" s="1004"/>
      <c r="F299" s="1005">
        <f t="shared" si="16"/>
        <v>36436</v>
      </c>
      <c r="H299" s="1004"/>
      <c r="I299" s="1005">
        <f t="shared" si="17"/>
        <v>36436</v>
      </c>
      <c r="J299" s="1010"/>
      <c r="K299" s="1004"/>
      <c r="L299" s="1005">
        <f t="shared" si="18"/>
        <v>36436</v>
      </c>
      <c r="M299" s="1010"/>
      <c r="N299" s="1004"/>
      <c r="O299" s="1005">
        <f t="shared" si="19"/>
        <v>36436</v>
      </c>
      <c r="P299" s="1006" t="str">
        <f t="shared" si="15"/>
        <v>OK!</v>
      </c>
    </row>
    <row r="300" spans="1:17" x14ac:dyDescent="0.2">
      <c r="A300" s="1036" t="s">
        <v>2514</v>
      </c>
      <c r="B300" s="1004" t="s">
        <v>2659</v>
      </c>
      <c r="C300" s="1004">
        <v>17520</v>
      </c>
      <c r="E300" s="1004"/>
      <c r="F300" s="1005">
        <f t="shared" si="16"/>
        <v>17520</v>
      </c>
      <c r="H300" s="1004"/>
      <c r="I300" s="1005">
        <f t="shared" si="17"/>
        <v>17520</v>
      </c>
      <c r="J300" s="1010"/>
      <c r="K300" s="1004"/>
      <c r="L300" s="1005">
        <f t="shared" si="18"/>
        <v>17520</v>
      </c>
      <c r="M300" s="1010"/>
      <c r="N300" s="1004"/>
      <c r="O300" s="1005">
        <f t="shared" si="19"/>
        <v>17520</v>
      </c>
      <c r="P300" s="1006" t="str">
        <f t="shared" si="15"/>
        <v>OK!</v>
      </c>
    </row>
    <row r="301" spans="1:17" x14ac:dyDescent="0.2">
      <c r="A301" s="1036" t="s">
        <v>2514</v>
      </c>
      <c r="B301" s="1004" t="s">
        <v>2659</v>
      </c>
      <c r="C301" s="1004">
        <v>12000</v>
      </c>
      <c r="E301" s="1004"/>
      <c r="F301" s="1005">
        <f t="shared" si="16"/>
        <v>12000</v>
      </c>
      <c r="H301" s="1004"/>
      <c r="I301" s="1005">
        <f t="shared" si="17"/>
        <v>12000</v>
      </c>
      <c r="J301" s="1010"/>
      <c r="K301" s="1004"/>
      <c r="L301" s="1005">
        <f t="shared" si="18"/>
        <v>12000</v>
      </c>
      <c r="M301" s="1010"/>
      <c r="N301" s="1004"/>
      <c r="O301" s="1005">
        <f t="shared" si="19"/>
        <v>12000</v>
      </c>
      <c r="P301" s="1006" t="str">
        <f t="shared" si="15"/>
        <v>OK!</v>
      </c>
    </row>
    <row r="302" spans="1:17" x14ac:dyDescent="0.2">
      <c r="A302" s="1036" t="s">
        <v>2515</v>
      </c>
      <c r="B302" s="1004" t="s">
        <v>2660</v>
      </c>
      <c r="C302" s="1004">
        <v>202252</v>
      </c>
      <c r="E302" s="1004"/>
      <c r="F302" s="1005">
        <f t="shared" ref="F302:F333" si="20">C302-E302</f>
        <v>202252</v>
      </c>
      <c r="H302" s="1004"/>
      <c r="I302" s="1005">
        <f t="shared" ref="I302:I334" si="21">F302-H302</f>
        <v>202252</v>
      </c>
      <c r="J302" s="1010"/>
      <c r="K302" s="1004"/>
      <c r="L302" s="1005">
        <f t="shared" ref="L302:L334" si="22">I302-K302</f>
        <v>202252</v>
      </c>
      <c r="M302" s="1010"/>
      <c r="N302" s="1004"/>
      <c r="O302" s="1005">
        <f t="shared" si="19"/>
        <v>202252</v>
      </c>
      <c r="P302" s="1006" t="str">
        <f t="shared" si="15"/>
        <v>OK!</v>
      </c>
      <c r="Q302" s="1007">
        <v>75545856</v>
      </c>
    </row>
    <row r="303" spans="1:17" x14ac:dyDescent="0.2">
      <c r="A303" s="1036" t="s">
        <v>2516</v>
      </c>
      <c r="B303" s="1004" t="s">
        <v>2550</v>
      </c>
      <c r="C303" s="1004">
        <v>1096322</v>
      </c>
      <c r="E303" s="1004"/>
      <c r="F303" s="1005">
        <f t="shared" si="20"/>
        <v>1096322</v>
      </c>
      <c r="H303" s="1004"/>
      <c r="I303" s="1005">
        <f t="shared" si="21"/>
        <v>1096322</v>
      </c>
      <c r="J303" s="1010"/>
      <c r="K303" s="1004"/>
      <c r="L303" s="1005">
        <f t="shared" si="22"/>
        <v>1096322</v>
      </c>
      <c r="M303" s="1010"/>
      <c r="N303" s="1004"/>
      <c r="O303" s="1005">
        <f t="shared" si="19"/>
        <v>1096322</v>
      </c>
      <c r="P303" s="1006" t="str">
        <f t="shared" si="15"/>
        <v>OK!</v>
      </c>
    </row>
    <row r="304" spans="1:17" x14ac:dyDescent="0.2">
      <c r="A304" s="1036" t="s">
        <v>2517</v>
      </c>
      <c r="B304" s="1004" t="s">
        <v>2551</v>
      </c>
      <c r="C304" s="1004">
        <v>305700</v>
      </c>
      <c r="E304" s="1004"/>
      <c r="F304" s="1005">
        <f t="shared" si="20"/>
        <v>305700</v>
      </c>
      <c r="H304" s="1004"/>
      <c r="I304" s="1005">
        <f t="shared" si="21"/>
        <v>305700</v>
      </c>
      <c r="J304" s="1010"/>
      <c r="K304" s="1004"/>
      <c r="L304" s="1005">
        <f t="shared" si="22"/>
        <v>305700</v>
      </c>
      <c r="M304" s="1010"/>
      <c r="N304" s="1004"/>
      <c r="O304" s="1005">
        <f t="shared" si="19"/>
        <v>305700</v>
      </c>
      <c r="P304" s="1006" t="str">
        <f t="shared" si="15"/>
        <v>OK!</v>
      </c>
    </row>
    <row r="305" spans="1:16" x14ac:dyDescent="0.2">
      <c r="A305" s="1036" t="s">
        <v>2517</v>
      </c>
      <c r="B305" s="1004" t="s">
        <v>2552</v>
      </c>
      <c r="C305" s="1004">
        <v>3787770</v>
      </c>
      <c r="E305" s="1004"/>
      <c r="F305" s="1005">
        <f t="shared" si="20"/>
        <v>3787770</v>
      </c>
      <c r="H305" s="1004"/>
      <c r="I305" s="1005">
        <f t="shared" si="21"/>
        <v>3787770</v>
      </c>
      <c r="J305" s="1010"/>
      <c r="K305" s="1004"/>
      <c r="L305" s="1005">
        <f t="shared" si="22"/>
        <v>3787770</v>
      </c>
      <c r="M305" s="1010"/>
      <c r="N305" s="1004"/>
      <c r="O305" s="1005">
        <f t="shared" si="19"/>
        <v>3787770</v>
      </c>
      <c r="P305" s="1006" t="str">
        <f t="shared" si="15"/>
        <v>OK!</v>
      </c>
    </row>
    <row r="306" spans="1:16" x14ac:dyDescent="0.2">
      <c r="A306" s="1036" t="s">
        <v>2518</v>
      </c>
      <c r="B306" s="1004" t="s">
        <v>2553</v>
      </c>
      <c r="C306" s="1004">
        <v>33600</v>
      </c>
      <c r="E306" s="1004"/>
      <c r="F306" s="1005">
        <f t="shared" si="20"/>
        <v>33600</v>
      </c>
      <c r="H306" s="1004"/>
      <c r="I306" s="1005">
        <f t="shared" si="21"/>
        <v>33600</v>
      </c>
      <c r="J306" s="1010"/>
      <c r="K306" s="1004"/>
      <c r="L306" s="1005">
        <f t="shared" si="22"/>
        <v>33600</v>
      </c>
      <c r="M306" s="1010"/>
      <c r="N306" s="1004"/>
      <c r="O306" s="1005">
        <f t="shared" si="19"/>
        <v>33600</v>
      </c>
      <c r="P306" s="1006" t="str">
        <f t="shared" si="15"/>
        <v>OK!</v>
      </c>
    </row>
    <row r="307" spans="1:16" x14ac:dyDescent="0.2">
      <c r="A307" s="1036" t="s">
        <v>2518</v>
      </c>
      <c r="B307" s="1004" t="s">
        <v>2554</v>
      </c>
      <c r="C307" s="1004">
        <v>255758</v>
      </c>
      <c r="E307" s="1004"/>
      <c r="F307" s="1005">
        <f t="shared" si="20"/>
        <v>255758</v>
      </c>
      <c r="H307" s="1004"/>
      <c r="I307" s="1005">
        <f t="shared" si="21"/>
        <v>255758</v>
      </c>
      <c r="J307" s="1010"/>
      <c r="K307" s="1004"/>
      <c r="L307" s="1005">
        <f t="shared" si="22"/>
        <v>255758</v>
      </c>
      <c r="M307" s="1010"/>
      <c r="N307" s="1004"/>
      <c r="O307" s="1005">
        <f t="shared" si="19"/>
        <v>255758</v>
      </c>
      <c r="P307" s="1006" t="str">
        <f t="shared" si="15"/>
        <v>OK!</v>
      </c>
    </row>
    <row r="308" spans="1:16" x14ac:dyDescent="0.2">
      <c r="A308" s="1036" t="s">
        <v>2519</v>
      </c>
      <c r="B308" s="1004" t="s">
        <v>2554</v>
      </c>
      <c r="C308" s="1004">
        <v>492849</v>
      </c>
      <c r="E308" s="1004"/>
      <c r="F308" s="1005">
        <f t="shared" si="20"/>
        <v>492849</v>
      </c>
      <c r="H308" s="1004"/>
      <c r="I308" s="1005">
        <f t="shared" si="21"/>
        <v>492849</v>
      </c>
      <c r="J308" s="1010"/>
      <c r="K308" s="1004"/>
      <c r="L308" s="1005">
        <f t="shared" si="22"/>
        <v>492849</v>
      </c>
      <c r="M308" s="1010"/>
      <c r="N308" s="1004"/>
      <c r="O308" s="1005">
        <f t="shared" si="19"/>
        <v>492849</v>
      </c>
      <c r="P308" s="1006" t="str">
        <f t="shared" si="15"/>
        <v>OK!</v>
      </c>
    </row>
    <row r="309" spans="1:16" x14ac:dyDescent="0.2">
      <c r="A309" s="1036" t="s">
        <v>2520</v>
      </c>
      <c r="B309" s="1004">
        <v>2013</v>
      </c>
      <c r="C309" s="1004">
        <v>173432</v>
      </c>
      <c r="E309" s="1004"/>
      <c r="F309" s="1005">
        <f t="shared" si="20"/>
        <v>173432</v>
      </c>
      <c r="H309" s="1004"/>
      <c r="I309" s="1005">
        <f t="shared" si="21"/>
        <v>173432</v>
      </c>
      <c r="J309" s="1010"/>
      <c r="K309" s="1004"/>
      <c r="L309" s="1005">
        <f t="shared" si="22"/>
        <v>173432</v>
      </c>
      <c r="M309" s="1010"/>
      <c r="N309" s="1004"/>
      <c r="O309" s="1005">
        <f t="shared" si="19"/>
        <v>173432</v>
      </c>
      <c r="P309" s="1006" t="str">
        <f t="shared" si="15"/>
        <v>OK!</v>
      </c>
    </row>
    <row r="310" spans="1:16" x14ac:dyDescent="0.2">
      <c r="A310" s="1036" t="s">
        <v>2521</v>
      </c>
      <c r="B310" s="1004" t="s">
        <v>2555</v>
      </c>
      <c r="C310" s="1004">
        <v>36640</v>
      </c>
      <c r="E310" s="1004"/>
      <c r="F310" s="1005">
        <f t="shared" si="20"/>
        <v>36640</v>
      </c>
      <c r="H310" s="1004"/>
      <c r="I310" s="1005">
        <f t="shared" si="21"/>
        <v>36640</v>
      </c>
      <c r="J310" s="1010"/>
      <c r="K310" s="1004"/>
      <c r="L310" s="1005">
        <f t="shared" si="22"/>
        <v>36640</v>
      </c>
      <c r="M310" s="1010"/>
      <c r="N310" s="1004"/>
      <c r="O310" s="1005">
        <f t="shared" si="19"/>
        <v>36640</v>
      </c>
      <c r="P310" s="1006" t="str">
        <f t="shared" si="15"/>
        <v>OK!</v>
      </c>
    </row>
    <row r="311" spans="1:16" x14ac:dyDescent="0.2">
      <c r="A311" s="1036" t="s">
        <v>2522</v>
      </c>
      <c r="B311" s="1004" t="s">
        <v>2556</v>
      </c>
      <c r="C311" s="1004">
        <v>162000</v>
      </c>
      <c r="E311" s="1004"/>
      <c r="F311" s="1005">
        <f t="shared" si="20"/>
        <v>162000</v>
      </c>
      <c r="H311" s="1004"/>
      <c r="I311" s="1005">
        <f t="shared" si="21"/>
        <v>162000</v>
      </c>
      <c r="J311" s="1010"/>
      <c r="K311" s="1004"/>
      <c r="L311" s="1005">
        <f t="shared" si="22"/>
        <v>162000</v>
      </c>
      <c r="M311" s="1010"/>
      <c r="N311" s="1004"/>
      <c r="O311" s="1005">
        <f t="shared" si="19"/>
        <v>162000</v>
      </c>
      <c r="P311" s="1006" t="str">
        <f t="shared" si="15"/>
        <v>OK!</v>
      </c>
    </row>
    <row r="312" spans="1:16" x14ac:dyDescent="0.2">
      <c r="A312" s="1036" t="s">
        <v>2567</v>
      </c>
      <c r="B312" s="1004"/>
      <c r="C312" s="1004">
        <v>100000</v>
      </c>
      <c r="E312" s="1004"/>
      <c r="F312" s="1005">
        <f t="shared" si="20"/>
        <v>100000</v>
      </c>
      <c r="H312" s="1004"/>
      <c r="I312" s="1005">
        <f t="shared" si="21"/>
        <v>100000</v>
      </c>
      <c r="J312" s="1010"/>
      <c r="K312" s="1004"/>
      <c r="L312" s="1005">
        <f t="shared" si="22"/>
        <v>100000</v>
      </c>
      <c r="M312" s="1010"/>
      <c r="N312" s="1004"/>
      <c r="O312" s="1005">
        <f t="shared" ref="O312:O330" si="23">L312-N312</f>
        <v>100000</v>
      </c>
      <c r="P312" s="1006" t="str">
        <f t="shared" si="15"/>
        <v>OK!</v>
      </c>
    </row>
    <row r="313" spans="1:16" x14ac:dyDescent="0.2">
      <c r="A313" s="1036" t="s">
        <v>2523</v>
      </c>
      <c r="B313" s="1004" t="s">
        <v>2557</v>
      </c>
      <c r="C313" s="1004">
        <v>20000</v>
      </c>
      <c r="E313" s="1004"/>
      <c r="F313" s="1005">
        <f t="shared" si="20"/>
        <v>20000</v>
      </c>
      <c r="H313" s="1004"/>
      <c r="I313" s="1005">
        <f t="shared" si="21"/>
        <v>20000</v>
      </c>
      <c r="J313" s="1010"/>
      <c r="K313" s="1004"/>
      <c r="L313" s="1005">
        <f t="shared" si="22"/>
        <v>20000</v>
      </c>
      <c r="M313" s="1010"/>
      <c r="N313" s="1004"/>
      <c r="O313" s="1005">
        <f t="shared" si="23"/>
        <v>20000</v>
      </c>
      <c r="P313" s="1006" t="str">
        <f t="shared" si="15"/>
        <v>OK!</v>
      </c>
    </row>
    <row r="314" spans="1:16" x14ac:dyDescent="0.2">
      <c r="A314" s="1036" t="s">
        <v>2524</v>
      </c>
      <c r="B314" s="1004">
        <v>2014</v>
      </c>
      <c r="C314" s="1004">
        <v>9835</v>
      </c>
      <c r="E314" s="1004"/>
      <c r="F314" s="1005">
        <f t="shared" si="20"/>
        <v>9835</v>
      </c>
      <c r="H314" s="1004"/>
      <c r="I314" s="1005">
        <f t="shared" si="21"/>
        <v>9835</v>
      </c>
      <c r="J314" s="1010"/>
      <c r="K314" s="1004"/>
      <c r="L314" s="1005">
        <f t="shared" si="22"/>
        <v>9835</v>
      </c>
      <c r="M314" s="1010"/>
      <c r="N314" s="1004"/>
      <c r="O314" s="1005">
        <f t="shared" si="23"/>
        <v>9835</v>
      </c>
      <c r="P314" s="1006" t="str">
        <f t="shared" si="15"/>
        <v>OK!</v>
      </c>
    </row>
    <row r="315" spans="1:16" x14ac:dyDescent="0.2">
      <c r="A315" s="1036" t="s">
        <v>2525</v>
      </c>
      <c r="B315" s="1004">
        <v>2014</v>
      </c>
      <c r="C315" s="1004">
        <v>17326</v>
      </c>
      <c r="E315" s="1004"/>
      <c r="F315" s="1005">
        <f t="shared" si="20"/>
        <v>17326</v>
      </c>
      <c r="H315" s="1004"/>
      <c r="I315" s="1005">
        <f t="shared" si="21"/>
        <v>17326</v>
      </c>
      <c r="J315" s="1010"/>
      <c r="K315" s="1004"/>
      <c r="L315" s="1005">
        <f t="shared" si="22"/>
        <v>17326</v>
      </c>
      <c r="M315" s="1010"/>
      <c r="N315" s="1004"/>
      <c r="O315" s="1005">
        <f t="shared" si="23"/>
        <v>17326</v>
      </c>
      <c r="P315" s="1006" t="str">
        <f t="shared" si="15"/>
        <v>OK!</v>
      </c>
    </row>
    <row r="316" spans="1:16" x14ac:dyDescent="0.2">
      <c r="A316" s="1036" t="s">
        <v>2526</v>
      </c>
      <c r="B316" s="1004">
        <v>2014</v>
      </c>
      <c r="C316" s="1004">
        <v>284599</v>
      </c>
      <c r="E316" s="1004"/>
      <c r="F316" s="1005">
        <f t="shared" si="20"/>
        <v>284599</v>
      </c>
      <c r="H316" s="1004"/>
      <c r="I316" s="1005">
        <f t="shared" si="21"/>
        <v>284599</v>
      </c>
      <c r="J316" s="1010"/>
      <c r="K316" s="1004"/>
      <c r="L316" s="1005">
        <f t="shared" si="22"/>
        <v>284599</v>
      </c>
      <c r="M316" s="1010"/>
      <c r="N316" s="1004"/>
      <c r="O316" s="1005">
        <f t="shared" si="23"/>
        <v>284599</v>
      </c>
      <c r="P316" s="1006" t="str">
        <f t="shared" si="15"/>
        <v>OK!</v>
      </c>
    </row>
    <row r="317" spans="1:16" x14ac:dyDescent="0.2">
      <c r="A317" s="1036" t="s">
        <v>2527</v>
      </c>
      <c r="B317" s="1004">
        <v>2014</v>
      </c>
      <c r="C317" s="1004">
        <v>1403034</v>
      </c>
      <c r="E317" s="1004"/>
      <c r="F317" s="1005">
        <f t="shared" si="20"/>
        <v>1403034</v>
      </c>
      <c r="H317" s="1004"/>
      <c r="I317" s="1005">
        <f t="shared" si="21"/>
        <v>1403034</v>
      </c>
      <c r="J317" s="1010"/>
      <c r="K317" s="1004"/>
      <c r="L317" s="1005">
        <f t="shared" si="22"/>
        <v>1403034</v>
      </c>
      <c r="M317" s="1010"/>
      <c r="N317" s="1004"/>
      <c r="O317" s="1005">
        <f t="shared" si="23"/>
        <v>1403034</v>
      </c>
      <c r="P317" s="1006" t="str">
        <f t="shared" si="15"/>
        <v>OK!</v>
      </c>
    </row>
    <row r="318" spans="1:16" x14ac:dyDescent="0.2">
      <c r="A318" s="1036" t="s">
        <v>2528</v>
      </c>
      <c r="B318" s="1004">
        <v>2014</v>
      </c>
      <c r="C318" s="1004">
        <v>86773</v>
      </c>
      <c r="E318" s="1004"/>
      <c r="F318" s="1005">
        <f t="shared" si="20"/>
        <v>86773</v>
      </c>
      <c r="H318" s="1004"/>
      <c r="I318" s="1005">
        <f t="shared" si="21"/>
        <v>86773</v>
      </c>
      <c r="J318" s="1010"/>
      <c r="K318" s="1004"/>
      <c r="L318" s="1005">
        <f t="shared" si="22"/>
        <v>86773</v>
      </c>
      <c r="M318" s="1010"/>
      <c r="N318" s="1004"/>
      <c r="O318" s="1005">
        <f t="shared" si="23"/>
        <v>86773</v>
      </c>
      <c r="P318" s="1006" t="str">
        <f t="shared" si="15"/>
        <v>OK!</v>
      </c>
    </row>
    <row r="319" spans="1:16" x14ac:dyDescent="0.2">
      <c r="A319" s="1036" t="s">
        <v>2529</v>
      </c>
      <c r="B319" s="1004" t="s">
        <v>2558</v>
      </c>
      <c r="C319" s="1004">
        <v>355311</v>
      </c>
      <c r="E319" s="1004"/>
      <c r="F319" s="1005">
        <f t="shared" si="20"/>
        <v>355311</v>
      </c>
      <c r="H319" s="1004"/>
      <c r="I319" s="1005">
        <f t="shared" si="21"/>
        <v>355311</v>
      </c>
      <c r="J319" s="1010"/>
      <c r="K319" s="1004"/>
      <c r="L319" s="1005">
        <f t="shared" si="22"/>
        <v>355311</v>
      </c>
      <c r="M319" s="1010"/>
      <c r="N319" s="1004"/>
      <c r="O319" s="1005">
        <f t="shared" si="23"/>
        <v>355311</v>
      </c>
      <c r="P319" s="1006" t="str">
        <f t="shared" si="15"/>
        <v>OK!</v>
      </c>
    </row>
    <row r="320" spans="1:16" x14ac:dyDescent="0.2">
      <c r="A320" s="1036" t="s">
        <v>2530</v>
      </c>
      <c r="B320" s="1004" t="s">
        <v>2558</v>
      </c>
      <c r="C320" s="1004">
        <v>378130</v>
      </c>
      <c r="E320" s="1004"/>
      <c r="F320" s="1005">
        <f t="shared" si="20"/>
        <v>378130</v>
      </c>
      <c r="H320" s="1004"/>
      <c r="I320" s="1005">
        <f t="shared" si="21"/>
        <v>378130</v>
      </c>
      <c r="J320" s="1010"/>
      <c r="K320" s="1004"/>
      <c r="L320" s="1005">
        <f t="shared" si="22"/>
        <v>378130</v>
      </c>
      <c r="M320" s="1010"/>
      <c r="N320" s="1004"/>
      <c r="O320" s="1005">
        <f t="shared" si="23"/>
        <v>378130</v>
      </c>
      <c r="P320" s="1006" t="str">
        <f t="shared" si="15"/>
        <v>OK!</v>
      </c>
    </row>
    <row r="321" spans="1:16" x14ac:dyDescent="0.2">
      <c r="A321" s="1036" t="s">
        <v>2531</v>
      </c>
      <c r="B321" s="1004" t="s">
        <v>2559</v>
      </c>
      <c r="C321" s="1004">
        <v>162918</v>
      </c>
      <c r="E321" s="1004"/>
      <c r="F321" s="1005">
        <f t="shared" si="20"/>
        <v>162918</v>
      </c>
      <c r="H321" s="1004"/>
      <c r="I321" s="1005">
        <f t="shared" si="21"/>
        <v>162918</v>
      </c>
      <c r="J321" s="1010"/>
      <c r="K321" s="1004"/>
      <c r="L321" s="1005">
        <f t="shared" si="22"/>
        <v>162918</v>
      </c>
      <c r="M321" s="1010"/>
      <c r="N321" s="1004"/>
      <c r="O321" s="1005">
        <f t="shared" si="23"/>
        <v>162918</v>
      </c>
      <c r="P321" s="1006" t="str">
        <f t="shared" si="15"/>
        <v>OK!</v>
      </c>
    </row>
    <row r="322" spans="1:16" x14ac:dyDescent="0.2">
      <c r="A322" s="1036" t="s">
        <v>2532</v>
      </c>
      <c r="B322" s="1004"/>
      <c r="C322" s="1004">
        <v>404090</v>
      </c>
      <c r="E322" s="1004"/>
      <c r="F322" s="1005">
        <f t="shared" si="20"/>
        <v>404090</v>
      </c>
      <c r="H322" s="1004"/>
      <c r="I322" s="1005">
        <f t="shared" si="21"/>
        <v>404090</v>
      </c>
      <c r="J322" s="1010"/>
      <c r="K322" s="1004"/>
      <c r="L322" s="1005">
        <f t="shared" si="22"/>
        <v>404090</v>
      </c>
      <c r="M322" s="1010"/>
      <c r="N322" s="1004"/>
      <c r="O322" s="1005">
        <f t="shared" si="23"/>
        <v>404090</v>
      </c>
      <c r="P322" s="1006" t="str">
        <f t="shared" si="15"/>
        <v>OK!</v>
      </c>
    </row>
    <row r="323" spans="1:16" x14ac:dyDescent="0.2">
      <c r="A323" s="1036" t="s">
        <v>2533</v>
      </c>
      <c r="B323" s="1004"/>
      <c r="C323" s="1004">
        <v>451239</v>
      </c>
      <c r="E323" s="1004"/>
      <c r="F323" s="1005">
        <f t="shared" si="20"/>
        <v>451239</v>
      </c>
      <c r="H323" s="1004"/>
      <c r="I323" s="1005">
        <f t="shared" si="21"/>
        <v>451239</v>
      </c>
      <c r="J323" s="1010"/>
      <c r="K323" s="1004"/>
      <c r="L323" s="1005">
        <f t="shared" si="22"/>
        <v>451239</v>
      </c>
      <c r="M323" s="1010"/>
      <c r="N323" s="1004"/>
      <c r="O323" s="1005">
        <f t="shared" si="23"/>
        <v>451239</v>
      </c>
      <c r="P323" s="1006" t="str">
        <f t="shared" si="15"/>
        <v>OK!</v>
      </c>
    </row>
    <row r="324" spans="1:16" x14ac:dyDescent="0.2">
      <c r="A324" s="1036" t="s">
        <v>2534</v>
      </c>
      <c r="B324" s="1004" t="s">
        <v>2560</v>
      </c>
      <c r="C324" s="1004">
        <v>100000</v>
      </c>
      <c r="E324" s="1004"/>
      <c r="F324" s="1005">
        <f t="shared" si="20"/>
        <v>100000</v>
      </c>
      <c r="H324" s="1004"/>
      <c r="I324" s="1005">
        <f t="shared" si="21"/>
        <v>100000</v>
      </c>
      <c r="J324" s="1010"/>
      <c r="K324" s="1004"/>
      <c r="L324" s="1005">
        <f t="shared" si="22"/>
        <v>100000</v>
      </c>
      <c r="M324" s="1010"/>
      <c r="N324" s="1004"/>
      <c r="O324" s="1005">
        <f t="shared" si="23"/>
        <v>100000</v>
      </c>
      <c r="P324" s="1006" t="str">
        <f t="shared" si="15"/>
        <v>OK!</v>
      </c>
    </row>
    <row r="325" spans="1:16" x14ac:dyDescent="0.2">
      <c r="A325" s="1036" t="s">
        <v>2340</v>
      </c>
      <c r="B325" s="1004"/>
      <c r="C325" s="1004">
        <v>17500</v>
      </c>
      <c r="E325" s="1004"/>
      <c r="F325" s="1005">
        <f t="shared" si="20"/>
        <v>17500</v>
      </c>
      <c r="H325" s="1004"/>
      <c r="I325" s="1005">
        <f t="shared" si="21"/>
        <v>17500</v>
      </c>
      <c r="J325" s="1010"/>
      <c r="K325" s="1004"/>
      <c r="L325" s="1005">
        <f t="shared" si="22"/>
        <v>17500</v>
      </c>
      <c r="M325" s="1010"/>
      <c r="N325" s="1004"/>
      <c r="O325" s="1005">
        <f t="shared" si="23"/>
        <v>17500</v>
      </c>
      <c r="P325" s="1006" t="str">
        <f t="shared" si="15"/>
        <v>OK!</v>
      </c>
    </row>
    <row r="326" spans="1:16" x14ac:dyDescent="0.2">
      <c r="A326" s="1036" t="s">
        <v>2535</v>
      </c>
      <c r="B326" s="1004" t="s">
        <v>2561</v>
      </c>
      <c r="C326" s="1004">
        <v>50000</v>
      </c>
      <c r="E326" s="1004"/>
      <c r="F326" s="1005">
        <f t="shared" si="20"/>
        <v>50000</v>
      </c>
      <c r="H326" s="1004"/>
      <c r="I326" s="1005">
        <f t="shared" si="21"/>
        <v>50000</v>
      </c>
      <c r="J326" s="1010"/>
      <c r="K326" s="1004"/>
      <c r="L326" s="1005">
        <f t="shared" si="22"/>
        <v>50000</v>
      </c>
      <c r="M326" s="1010"/>
      <c r="N326" s="1004"/>
      <c r="O326" s="1005">
        <f t="shared" si="23"/>
        <v>50000</v>
      </c>
      <c r="P326" s="1006" t="str">
        <f t="shared" si="15"/>
        <v>OK!</v>
      </c>
    </row>
    <row r="327" spans="1:16" x14ac:dyDescent="0.2">
      <c r="A327" s="1036" t="s">
        <v>2536</v>
      </c>
      <c r="B327" s="1004" t="s">
        <v>2562</v>
      </c>
      <c r="C327" s="1004">
        <v>19267</v>
      </c>
      <c r="E327" s="1004"/>
      <c r="F327" s="1005">
        <f t="shared" si="20"/>
        <v>19267</v>
      </c>
      <c r="H327" s="1004"/>
      <c r="I327" s="1005">
        <f t="shared" si="21"/>
        <v>19267</v>
      </c>
      <c r="J327" s="1010"/>
      <c r="K327" s="1004"/>
      <c r="L327" s="1005">
        <f t="shared" si="22"/>
        <v>19267</v>
      </c>
      <c r="M327" s="1010"/>
      <c r="N327" s="1004"/>
      <c r="O327" s="1005">
        <f t="shared" si="23"/>
        <v>19267</v>
      </c>
      <c r="P327" s="1006" t="str">
        <f t="shared" si="15"/>
        <v>OK!</v>
      </c>
    </row>
    <row r="328" spans="1:16" x14ac:dyDescent="0.2">
      <c r="A328" s="1036" t="s">
        <v>2299</v>
      </c>
      <c r="B328" s="1004"/>
      <c r="C328" s="1004">
        <v>33034</v>
      </c>
      <c r="E328" s="1004"/>
      <c r="F328" s="1005">
        <f t="shared" si="20"/>
        <v>33034</v>
      </c>
      <c r="H328" s="1004"/>
      <c r="I328" s="1005">
        <f t="shared" si="21"/>
        <v>33034</v>
      </c>
      <c r="J328" s="1010"/>
      <c r="K328" s="1004"/>
      <c r="L328" s="1005">
        <f t="shared" si="22"/>
        <v>33034</v>
      </c>
      <c r="M328" s="1010"/>
      <c r="N328" s="1004"/>
      <c r="O328" s="1005">
        <f t="shared" si="23"/>
        <v>33034</v>
      </c>
      <c r="P328" s="1006" t="str">
        <f t="shared" si="15"/>
        <v>OK!</v>
      </c>
    </row>
    <row r="329" spans="1:16" x14ac:dyDescent="0.2">
      <c r="A329" s="1036" t="s">
        <v>2537</v>
      </c>
      <c r="B329" s="1004"/>
      <c r="C329" s="1004">
        <v>6702</v>
      </c>
      <c r="E329" s="1004"/>
      <c r="F329" s="1005">
        <f t="shared" si="20"/>
        <v>6702</v>
      </c>
      <c r="H329" s="1004"/>
      <c r="I329" s="1005">
        <f t="shared" si="21"/>
        <v>6702</v>
      </c>
      <c r="J329" s="1010"/>
      <c r="K329" s="1004"/>
      <c r="L329" s="1005">
        <f t="shared" si="22"/>
        <v>6702</v>
      </c>
      <c r="M329" s="1010"/>
      <c r="N329" s="1004"/>
      <c r="O329" s="1005">
        <f t="shared" si="23"/>
        <v>6702</v>
      </c>
      <c r="P329" s="1006" t="str">
        <f t="shared" si="15"/>
        <v>OK!</v>
      </c>
    </row>
    <row r="330" spans="1:16" x14ac:dyDescent="0.2">
      <c r="A330" s="1036" t="s">
        <v>2538</v>
      </c>
      <c r="B330" s="1004"/>
      <c r="C330" s="1004">
        <v>100000</v>
      </c>
      <c r="E330" s="1004"/>
      <c r="F330" s="1005">
        <f t="shared" si="20"/>
        <v>100000</v>
      </c>
      <c r="H330" s="1004"/>
      <c r="I330" s="1005">
        <f t="shared" si="21"/>
        <v>100000</v>
      </c>
      <c r="J330" s="1010"/>
      <c r="K330" s="1004"/>
      <c r="L330" s="1005">
        <f t="shared" si="22"/>
        <v>100000</v>
      </c>
      <c r="M330" s="1010"/>
      <c r="N330" s="1004"/>
      <c r="O330" s="1005">
        <f t="shared" si="23"/>
        <v>100000</v>
      </c>
      <c r="P330" s="1006" t="str">
        <f t="shared" si="15"/>
        <v>OK!</v>
      </c>
    </row>
    <row r="331" spans="1:16" x14ac:dyDescent="0.2">
      <c r="A331" s="1036" t="s">
        <v>2539</v>
      </c>
      <c r="B331" s="1004"/>
      <c r="C331" s="1004">
        <v>866065</v>
      </c>
      <c r="E331" s="1004"/>
      <c r="F331" s="1005">
        <f t="shared" si="20"/>
        <v>866065</v>
      </c>
      <c r="H331" s="1004"/>
      <c r="I331" s="1005">
        <f t="shared" si="21"/>
        <v>866065</v>
      </c>
      <c r="J331" s="1010"/>
      <c r="K331" s="1004"/>
      <c r="L331" s="1005">
        <f t="shared" si="22"/>
        <v>866065</v>
      </c>
      <c r="M331" s="1010"/>
      <c r="N331" s="1004"/>
      <c r="O331" s="1005">
        <f t="shared" ref="O331:O335" si="24">L331-N331</f>
        <v>866065</v>
      </c>
      <c r="P331" s="1006" t="str">
        <f t="shared" si="15"/>
        <v>OK!</v>
      </c>
    </row>
    <row r="332" spans="1:16" x14ac:dyDescent="0.2">
      <c r="A332" s="1036" t="s">
        <v>2537</v>
      </c>
      <c r="B332" s="1004"/>
      <c r="C332" s="1004">
        <v>337000</v>
      </c>
      <c r="E332" s="1004"/>
      <c r="F332" s="1005">
        <f t="shared" si="20"/>
        <v>337000</v>
      </c>
      <c r="H332" s="1004"/>
      <c r="I332" s="1005">
        <f t="shared" si="21"/>
        <v>337000</v>
      </c>
      <c r="J332" s="1010"/>
      <c r="K332" s="1004"/>
      <c r="L332" s="1005">
        <f t="shared" si="22"/>
        <v>337000</v>
      </c>
      <c r="M332" s="1010"/>
      <c r="N332" s="1004"/>
      <c r="O332" s="1005">
        <f t="shared" si="24"/>
        <v>337000</v>
      </c>
      <c r="P332" s="1006" t="str">
        <f t="shared" si="15"/>
        <v>OK!</v>
      </c>
    </row>
    <row r="333" spans="1:16" x14ac:dyDescent="0.2">
      <c r="A333" s="1036" t="s">
        <v>2299</v>
      </c>
      <c r="B333" s="1004"/>
      <c r="C333" s="1004">
        <v>39749</v>
      </c>
      <c r="E333" s="1004"/>
      <c r="F333" s="1005">
        <f t="shared" si="20"/>
        <v>39749</v>
      </c>
      <c r="H333" s="1004"/>
      <c r="I333" s="1005">
        <f t="shared" si="21"/>
        <v>39749</v>
      </c>
      <c r="J333" s="1010"/>
      <c r="K333" s="1004"/>
      <c r="L333" s="1005">
        <f t="shared" si="22"/>
        <v>39749</v>
      </c>
      <c r="M333" s="1010"/>
      <c r="N333" s="1004"/>
      <c r="O333" s="1005">
        <f t="shared" si="24"/>
        <v>39749</v>
      </c>
      <c r="P333" s="1006" t="str">
        <f t="shared" si="15"/>
        <v>OK!</v>
      </c>
    </row>
    <row r="334" spans="1:16" x14ac:dyDescent="0.2">
      <c r="A334" s="1036" t="s">
        <v>2537</v>
      </c>
      <c r="B334" s="1004" t="s">
        <v>2563</v>
      </c>
      <c r="C334" s="1004">
        <v>11784404</v>
      </c>
      <c r="E334" s="1004"/>
      <c r="F334" s="1005">
        <f t="shared" si="5"/>
        <v>11784404</v>
      </c>
      <c r="H334" s="1004"/>
      <c r="I334" s="1005">
        <f t="shared" si="21"/>
        <v>11784404</v>
      </c>
      <c r="J334" s="1010"/>
      <c r="K334" s="1004"/>
      <c r="L334" s="1005">
        <f t="shared" si="22"/>
        <v>11784404</v>
      </c>
      <c r="M334" s="1010"/>
      <c r="N334" s="1004"/>
      <c r="O334" s="1005">
        <f t="shared" si="24"/>
        <v>11784404</v>
      </c>
      <c r="P334" s="1006" t="str">
        <f t="shared" si="15"/>
        <v>OK!</v>
      </c>
    </row>
    <row r="335" spans="1:16" x14ac:dyDescent="0.2">
      <c r="A335" s="1036" t="s">
        <v>2537</v>
      </c>
      <c r="B335" s="1004" t="s">
        <v>2563</v>
      </c>
      <c r="C335" s="1004">
        <v>10983547</v>
      </c>
      <c r="E335" s="1004"/>
      <c r="F335" s="1005">
        <f t="shared" si="5"/>
        <v>10983547</v>
      </c>
      <c r="H335" s="1004"/>
      <c r="I335" s="1005">
        <f t="shared" si="6"/>
        <v>10983547</v>
      </c>
      <c r="J335" s="1010"/>
      <c r="K335" s="1004"/>
      <c r="L335" s="1005">
        <f t="shared" si="7"/>
        <v>10983547</v>
      </c>
      <c r="M335" s="1010"/>
      <c r="N335" s="1004"/>
      <c r="O335" s="1005">
        <f t="shared" si="24"/>
        <v>10983547</v>
      </c>
      <c r="P335" s="1006" t="str">
        <f t="shared" si="15"/>
        <v>OK!</v>
      </c>
    </row>
    <row r="336" spans="1:16" x14ac:dyDescent="0.2">
      <c r="A336" s="1036" t="s">
        <v>2327</v>
      </c>
      <c r="B336" s="1004"/>
      <c r="C336" s="1004">
        <v>30053</v>
      </c>
      <c r="E336" s="1004"/>
      <c r="F336" s="1005">
        <f t="shared" si="5"/>
        <v>30053</v>
      </c>
      <c r="H336" s="1004"/>
      <c r="I336" s="1005">
        <f t="shared" si="6"/>
        <v>30053</v>
      </c>
      <c r="J336" s="1010"/>
      <c r="K336" s="1004"/>
      <c r="L336" s="1005">
        <f t="shared" si="7"/>
        <v>30053</v>
      </c>
      <c r="M336" s="1010"/>
      <c r="N336" s="1004"/>
      <c r="O336" s="1005">
        <f t="shared" si="8"/>
        <v>30053</v>
      </c>
      <c r="P336" s="1006" t="str">
        <f t="shared" si="15"/>
        <v>OK!</v>
      </c>
    </row>
    <row r="337" spans="1:17" x14ac:dyDescent="0.2">
      <c r="A337" s="1036" t="s">
        <v>2319</v>
      </c>
      <c r="B337" s="1004"/>
      <c r="C337" s="1004">
        <v>90000</v>
      </c>
      <c r="E337" s="1004"/>
      <c r="F337" s="1005">
        <f t="shared" si="5"/>
        <v>90000</v>
      </c>
      <c r="H337" s="1004"/>
      <c r="I337" s="1005">
        <f t="shared" si="6"/>
        <v>90000</v>
      </c>
      <c r="J337" s="1010"/>
      <c r="K337" s="1004"/>
      <c r="L337" s="1005">
        <f t="shared" si="7"/>
        <v>90000</v>
      </c>
      <c r="M337" s="1010"/>
      <c r="N337" s="1004"/>
      <c r="O337" s="1005">
        <f t="shared" si="8"/>
        <v>90000</v>
      </c>
      <c r="P337" s="1006" t="str">
        <f t="shared" si="15"/>
        <v>OK!</v>
      </c>
    </row>
    <row r="338" spans="1:17" x14ac:dyDescent="0.2">
      <c r="A338" s="1036" t="s">
        <v>2540</v>
      </c>
      <c r="B338" s="1004"/>
      <c r="C338" s="1004">
        <v>4000</v>
      </c>
      <c r="E338" s="1004"/>
      <c r="F338" s="1005">
        <f t="shared" si="5"/>
        <v>4000</v>
      </c>
      <c r="H338" s="1004"/>
      <c r="I338" s="1005">
        <f t="shared" si="6"/>
        <v>4000</v>
      </c>
      <c r="J338" s="1010"/>
      <c r="K338" s="1004"/>
      <c r="L338" s="1005">
        <f t="shared" si="7"/>
        <v>4000</v>
      </c>
      <c r="M338" s="1010"/>
      <c r="N338" s="1004"/>
      <c r="O338" s="1005">
        <f t="shared" si="8"/>
        <v>4000</v>
      </c>
      <c r="P338" s="1006" t="str">
        <f t="shared" si="15"/>
        <v>OK!</v>
      </c>
    </row>
    <row r="339" spans="1:17" x14ac:dyDescent="0.2">
      <c r="A339" s="1036" t="s">
        <v>2541</v>
      </c>
      <c r="B339" s="1004"/>
      <c r="C339" s="1004">
        <v>76051</v>
      </c>
      <c r="E339" s="1004"/>
      <c r="F339" s="1005">
        <f t="shared" si="5"/>
        <v>76051</v>
      </c>
      <c r="H339" s="1004"/>
      <c r="I339" s="1005">
        <f t="shared" si="6"/>
        <v>76051</v>
      </c>
      <c r="J339" s="1010"/>
      <c r="K339" s="1004"/>
      <c r="L339" s="1005">
        <f t="shared" si="7"/>
        <v>76051</v>
      </c>
      <c r="M339" s="1010"/>
      <c r="N339" s="1004"/>
      <c r="O339" s="1005">
        <f t="shared" si="8"/>
        <v>76051</v>
      </c>
      <c r="P339" s="1006" t="str">
        <f t="shared" si="15"/>
        <v>OK!</v>
      </c>
    </row>
    <row r="340" spans="1:17" x14ac:dyDescent="0.2">
      <c r="A340" s="1036" t="s">
        <v>2542</v>
      </c>
      <c r="B340" s="1004"/>
      <c r="C340" s="1004">
        <v>249900</v>
      </c>
      <c r="E340" s="1004"/>
      <c r="F340" s="1005">
        <f t="shared" si="5"/>
        <v>249900</v>
      </c>
      <c r="H340" s="1004"/>
      <c r="I340" s="1005">
        <f t="shared" si="6"/>
        <v>249900</v>
      </c>
      <c r="J340" s="1010"/>
      <c r="K340" s="1004"/>
      <c r="L340" s="1005">
        <f t="shared" si="7"/>
        <v>249900</v>
      </c>
      <c r="M340" s="1010"/>
      <c r="N340" s="1004"/>
      <c r="O340" s="1005">
        <f t="shared" si="8"/>
        <v>249900</v>
      </c>
      <c r="P340" s="1006" t="str">
        <f t="shared" si="15"/>
        <v>OK!</v>
      </c>
    </row>
    <row r="341" spans="1:17" x14ac:dyDescent="0.2">
      <c r="A341" s="1036" t="s">
        <v>2543</v>
      </c>
      <c r="B341" s="1004"/>
      <c r="C341" s="1004">
        <v>13920</v>
      </c>
      <c r="E341" s="1004"/>
      <c r="F341" s="1005">
        <f t="shared" si="5"/>
        <v>13920</v>
      </c>
      <c r="H341" s="1004"/>
      <c r="I341" s="1005">
        <f t="shared" si="6"/>
        <v>13920</v>
      </c>
      <c r="J341" s="1010"/>
      <c r="K341" s="1004"/>
      <c r="L341" s="1005">
        <f t="shared" si="7"/>
        <v>13920</v>
      </c>
      <c r="M341" s="1010"/>
      <c r="N341" s="1004"/>
      <c r="O341" s="1005">
        <f t="shared" si="8"/>
        <v>13920</v>
      </c>
      <c r="P341" s="1006" t="str">
        <f t="shared" si="15"/>
        <v>OK!</v>
      </c>
    </row>
    <row r="342" spans="1:17" x14ac:dyDescent="0.2">
      <c r="A342" s="1036" t="s">
        <v>2544</v>
      </c>
      <c r="B342" s="1004"/>
      <c r="C342" s="1004">
        <v>64989</v>
      </c>
      <c r="E342" s="1004"/>
      <c r="F342" s="1005">
        <f t="shared" si="5"/>
        <v>64989</v>
      </c>
      <c r="H342" s="1004"/>
      <c r="I342" s="1005">
        <f t="shared" si="6"/>
        <v>64989</v>
      </c>
      <c r="J342" s="1010"/>
      <c r="K342" s="1004"/>
      <c r="L342" s="1005">
        <f t="shared" si="7"/>
        <v>64989</v>
      </c>
      <c r="M342" s="1010"/>
      <c r="N342" s="1004"/>
      <c r="O342" s="1005">
        <f t="shared" si="8"/>
        <v>64989</v>
      </c>
      <c r="P342" s="1006" t="str">
        <f t="shared" si="15"/>
        <v>OK!</v>
      </c>
    </row>
    <row r="343" spans="1:17" x14ac:dyDescent="0.2">
      <c r="A343" s="1036" t="s">
        <v>2545</v>
      </c>
      <c r="B343" s="1004"/>
      <c r="C343" s="1004">
        <v>60000</v>
      </c>
      <c r="E343" s="1004"/>
      <c r="F343" s="1005">
        <f t="shared" si="5"/>
        <v>60000</v>
      </c>
      <c r="H343" s="1004"/>
      <c r="I343" s="1005">
        <f t="shared" si="6"/>
        <v>60000</v>
      </c>
      <c r="J343" s="1010"/>
      <c r="K343" s="1004"/>
      <c r="L343" s="1005">
        <f t="shared" si="7"/>
        <v>60000</v>
      </c>
      <c r="M343" s="1010"/>
      <c r="N343" s="1004"/>
      <c r="O343" s="1005">
        <f t="shared" si="8"/>
        <v>60000</v>
      </c>
      <c r="P343" s="1006" t="str">
        <f t="shared" si="15"/>
        <v>OK!</v>
      </c>
    </row>
    <row r="344" spans="1:17" x14ac:dyDescent="0.2">
      <c r="A344" s="1036" t="s">
        <v>2546</v>
      </c>
      <c r="B344" s="1004"/>
      <c r="C344" s="1004">
        <v>19600</v>
      </c>
      <c r="E344" s="1004"/>
      <c r="F344" s="1005">
        <f t="shared" si="5"/>
        <v>19600</v>
      </c>
      <c r="H344" s="1004"/>
      <c r="I344" s="1005">
        <f t="shared" si="6"/>
        <v>19600</v>
      </c>
      <c r="J344" s="1010"/>
      <c r="K344" s="1004"/>
      <c r="L344" s="1005">
        <f t="shared" si="7"/>
        <v>19600</v>
      </c>
      <c r="M344" s="1010"/>
      <c r="N344" s="1004"/>
      <c r="O344" s="1005">
        <f t="shared" si="8"/>
        <v>19600</v>
      </c>
      <c r="P344" s="1006" t="str">
        <f t="shared" si="15"/>
        <v>OK!</v>
      </c>
    </row>
    <row r="345" spans="1:17" x14ac:dyDescent="0.2">
      <c r="A345" s="1036" t="s">
        <v>2547</v>
      </c>
      <c r="B345" s="1004" t="s">
        <v>2564</v>
      </c>
      <c r="C345" s="1004">
        <v>164220</v>
      </c>
      <c r="E345" s="1004"/>
      <c r="F345" s="1005">
        <f t="shared" si="5"/>
        <v>164220</v>
      </c>
      <c r="H345" s="1004"/>
      <c r="I345" s="1005">
        <f t="shared" si="6"/>
        <v>164220</v>
      </c>
      <c r="J345" s="1010"/>
      <c r="K345" s="1004"/>
      <c r="L345" s="1005">
        <f t="shared" si="7"/>
        <v>164220</v>
      </c>
      <c r="M345" s="1010"/>
      <c r="N345" s="1004"/>
      <c r="O345" s="1005">
        <f t="shared" si="8"/>
        <v>164220</v>
      </c>
      <c r="P345" s="1006" t="str">
        <f t="shared" si="15"/>
        <v>OK!</v>
      </c>
    </row>
    <row r="346" spans="1:17" x14ac:dyDescent="0.2">
      <c r="A346" s="1036" t="s">
        <v>2297</v>
      </c>
      <c r="B346" s="1004"/>
      <c r="C346" s="1004">
        <v>398640</v>
      </c>
      <c r="E346" s="1004"/>
      <c r="F346" s="1005">
        <f t="shared" si="5"/>
        <v>398640</v>
      </c>
      <c r="H346" s="1004"/>
      <c r="I346" s="1005">
        <f t="shared" si="6"/>
        <v>398640</v>
      </c>
      <c r="J346" s="1010"/>
      <c r="K346" s="1004"/>
      <c r="L346" s="1005">
        <f t="shared" si="7"/>
        <v>398640</v>
      </c>
      <c r="M346" s="1010"/>
      <c r="N346" s="1004"/>
      <c r="O346" s="1005">
        <f t="shared" si="8"/>
        <v>398640</v>
      </c>
      <c r="P346" s="1006" t="str">
        <f t="shared" si="15"/>
        <v>OK!</v>
      </c>
    </row>
    <row r="347" spans="1:17" x14ac:dyDescent="0.2">
      <c r="A347" s="1036" t="s">
        <v>2548</v>
      </c>
      <c r="B347" s="1004" t="s">
        <v>2565</v>
      </c>
      <c r="C347" s="1004">
        <v>1021879</v>
      </c>
      <c r="E347" s="1004"/>
      <c r="F347" s="1005">
        <f t="shared" si="5"/>
        <v>1021879</v>
      </c>
      <c r="H347" s="1004"/>
      <c r="I347" s="1005">
        <f t="shared" si="6"/>
        <v>1021879</v>
      </c>
      <c r="J347" s="1010"/>
      <c r="K347" s="1004"/>
      <c r="L347" s="1005">
        <f t="shared" si="7"/>
        <v>1021879</v>
      </c>
      <c r="M347" s="1010"/>
      <c r="N347" s="1004"/>
      <c r="O347" s="1005">
        <f t="shared" si="8"/>
        <v>1021879</v>
      </c>
      <c r="P347" s="1006" t="str">
        <f t="shared" si="15"/>
        <v>OK!</v>
      </c>
    </row>
    <row r="348" spans="1:17" x14ac:dyDescent="0.2">
      <c r="A348" s="1036" t="s">
        <v>2549</v>
      </c>
      <c r="B348" s="1004" t="s">
        <v>2566</v>
      </c>
      <c r="C348" s="1004">
        <v>478145</v>
      </c>
      <c r="E348" s="1004"/>
      <c r="F348" s="1005">
        <f t="shared" si="5"/>
        <v>478145</v>
      </c>
      <c r="H348" s="1004"/>
      <c r="I348" s="1005">
        <f t="shared" si="6"/>
        <v>478145</v>
      </c>
      <c r="J348" s="1010"/>
      <c r="K348" s="1004"/>
      <c r="L348" s="1005">
        <f t="shared" si="7"/>
        <v>478145</v>
      </c>
      <c r="M348" s="1010"/>
      <c r="N348" s="1004"/>
      <c r="O348" s="1005">
        <f t="shared" si="8"/>
        <v>478145</v>
      </c>
      <c r="P348" s="1006" t="str">
        <f t="shared" si="15"/>
        <v>OK!</v>
      </c>
    </row>
    <row r="349" spans="1:17" x14ac:dyDescent="0.2">
      <c r="A349" s="1036" t="s">
        <v>2297</v>
      </c>
      <c r="B349" s="1004"/>
      <c r="C349" s="1004">
        <v>69131</v>
      </c>
      <c r="E349" s="1004"/>
      <c r="F349" s="1005">
        <f t="shared" si="5"/>
        <v>69131</v>
      </c>
      <c r="H349" s="1004"/>
      <c r="I349" s="1005">
        <f t="shared" si="6"/>
        <v>69131</v>
      </c>
      <c r="J349" s="1010"/>
      <c r="K349" s="1004"/>
      <c r="L349" s="1005">
        <f t="shared" si="7"/>
        <v>69131</v>
      </c>
      <c r="M349" s="1010"/>
      <c r="N349" s="1004"/>
      <c r="O349" s="1005">
        <f t="shared" si="8"/>
        <v>69131</v>
      </c>
      <c r="P349" s="1006" t="str">
        <f t="shared" si="15"/>
        <v>OK!</v>
      </c>
      <c r="Q349" s="1007">
        <v>37095122</v>
      </c>
    </row>
    <row r="350" spans="1:17" x14ac:dyDescent="0.2">
      <c r="A350" s="1036" t="s">
        <v>2576</v>
      </c>
      <c r="B350" s="1004"/>
      <c r="C350" s="1004">
        <v>421</v>
      </c>
      <c r="E350" s="1004"/>
      <c r="F350" s="1005">
        <f t="shared" si="5"/>
        <v>421</v>
      </c>
      <c r="H350" s="1004"/>
      <c r="I350" s="1005">
        <f t="shared" si="6"/>
        <v>421</v>
      </c>
      <c r="J350" s="1010"/>
      <c r="K350" s="1004"/>
      <c r="L350" s="1005">
        <f t="shared" si="7"/>
        <v>421</v>
      </c>
      <c r="M350" s="1010"/>
      <c r="N350" s="1004"/>
      <c r="O350" s="1005">
        <f t="shared" si="8"/>
        <v>421</v>
      </c>
      <c r="P350" s="1006" t="str">
        <f t="shared" si="15"/>
        <v>OK!</v>
      </c>
    </row>
    <row r="351" spans="1:17" x14ac:dyDescent="0.2">
      <c r="A351" s="1036" t="s">
        <v>2568</v>
      </c>
      <c r="B351" s="1004"/>
      <c r="C351" s="1004">
        <v>360000</v>
      </c>
      <c r="E351" s="1004"/>
      <c r="F351" s="1005">
        <f t="shared" si="5"/>
        <v>360000</v>
      </c>
      <c r="H351" s="1004"/>
      <c r="I351" s="1005">
        <f t="shared" si="6"/>
        <v>360000</v>
      </c>
      <c r="J351" s="1010"/>
      <c r="K351" s="1004"/>
      <c r="L351" s="1005">
        <f t="shared" si="7"/>
        <v>360000</v>
      </c>
      <c r="M351" s="1010"/>
      <c r="N351" s="1004"/>
      <c r="O351" s="1005">
        <f t="shared" si="8"/>
        <v>360000</v>
      </c>
      <c r="P351" s="1006" t="str">
        <f t="shared" si="15"/>
        <v>OK!</v>
      </c>
    </row>
    <row r="352" spans="1:17" x14ac:dyDescent="0.2">
      <c r="A352" s="1036" t="s">
        <v>2569</v>
      </c>
      <c r="B352" s="1004"/>
      <c r="C352" s="1004">
        <v>150000</v>
      </c>
      <c r="E352" s="1004"/>
      <c r="F352" s="1005">
        <f t="shared" si="5"/>
        <v>150000</v>
      </c>
      <c r="H352" s="1004"/>
      <c r="I352" s="1005">
        <f t="shared" si="6"/>
        <v>150000</v>
      </c>
      <c r="J352" s="1010"/>
      <c r="K352" s="1004"/>
      <c r="L352" s="1005">
        <f t="shared" si="7"/>
        <v>150000</v>
      </c>
      <c r="M352" s="1010"/>
      <c r="N352" s="1004"/>
      <c r="O352" s="1005">
        <f t="shared" si="8"/>
        <v>150000</v>
      </c>
      <c r="P352" s="1006" t="str">
        <f t="shared" si="15"/>
        <v>OK!</v>
      </c>
    </row>
    <row r="353" spans="1:17" x14ac:dyDescent="0.2">
      <c r="A353" s="1036" t="s">
        <v>2570</v>
      </c>
      <c r="B353" s="1004"/>
      <c r="C353" s="1004">
        <v>136800</v>
      </c>
      <c r="E353" s="1004"/>
      <c r="F353" s="1005">
        <f t="shared" si="5"/>
        <v>136800</v>
      </c>
      <c r="H353" s="1004"/>
      <c r="I353" s="1005">
        <f t="shared" si="6"/>
        <v>136800</v>
      </c>
      <c r="J353" s="1010"/>
      <c r="K353" s="1004"/>
      <c r="L353" s="1005">
        <f t="shared" si="7"/>
        <v>136800</v>
      </c>
      <c r="M353" s="1010"/>
      <c r="N353" s="1004"/>
      <c r="O353" s="1005">
        <f t="shared" si="8"/>
        <v>136800</v>
      </c>
      <c r="P353" s="1006" t="str">
        <f t="shared" si="15"/>
        <v>OK!</v>
      </c>
    </row>
    <row r="354" spans="1:17" x14ac:dyDescent="0.2">
      <c r="A354" s="1036" t="s">
        <v>2571</v>
      </c>
      <c r="B354" s="1004"/>
      <c r="C354" s="1004">
        <v>13000</v>
      </c>
      <c r="E354" s="1004"/>
      <c r="F354" s="1005">
        <f t="shared" si="5"/>
        <v>13000</v>
      </c>
      <c r="H354" s="1004"/>
      <c r="I354" s="1005">
        <f t="shared" si="6"/>
        <v>13000</v>
      </c>
      <c r="J354" s="1010"/>
      <c r="K354" s="1004"/>
      <c r="L354" s="1005">
        <f t="shared" si="7"/>
        <v>13000</v>
      </c>
      <c r="M354" s="1010"/>
      <c r="N354" s="1004"/>
      <c r="O354" s="1005">
        <f t="shared" si="8"/>
        <v>13000</v>
      </c>
      <c r="P354" s="1006" t="str">
        <f t="shared" si="15"/>
        <v>OK!</v>
      </c>
    </row>
    <row r="355" spans="1:17" x14ac:dyDescent="0.2">
      <c r="A355" s="1036" t="s">
        <v>2572</v>
      </c>
      <c r="B355" s="1004"/>
      <c r="C355" s="1004">
        <v>97768</v>
      </c>
      <c r="E355" s="1004"/>
      <c r="F355" s="1005">
        <f t="shared" si="5"/>
        <v>97768</v>
      </c>
      <c r="H355" s="1004"/>
      <c r="I355" s="1005">
        <f t="shared" si="6"/>
        <v>97768</v>
      </c>
      <c r="J355" s="1010"/>
      <c r="K355" s="1004"/>
      <c r="L355" s="1005">
        <f t="shared" si="7"/>
        <v>97768</v>
      </c>
      <c r="M355" s="1010"/>
      <c r="N355" s="1004"/>
      <c r="O355" s="1005">
        <f t="shared" si="8"/>
        <v>97768</v>
      </c>
      <c r="P355" s="1006" t="str">
        <f t="shared" si="15"/>
        <v>OK!</v>
      </c>
    </row>
    <row r="356" spans="1:17" x14ac:dyDescent="0.2">
      <c r="A356" s="1036" t="s">
        <v>2573</v>
      </c>
      <c r="B356" s="1004"/>
      <c r="C356" s="1004">
        <v>79200</v>
      </c>
      <c r="E356" s="1004"/>
      <c r="F356" s="1005">
        <f t="shared" si="5"/>
        <v>79200</v>
      </c>
      <c r="H356" s="1004"/>
      <c r="I356" s="1005">
        <f t="shared" si="6"/>
        <v>79200</v>
      </c>
      <c r="J356" s="1010"/>
      <c r="K356" s="1004"/>
      <c r="L356" s="1005">
        <f t="shared" si="7"/>
        <v>79200</v>
      </c>
      <c r="M356" s="1010"/>
      <c r="N356" s="1004"/>
      <c r="O356" s="1005">
        <f t="shared" si="8"/>
        <v>79200</v>
      </c>
      <c r="P356" s="1006" t="str">
        <f t="shared" si="15"/>
        <v>OK!</v>
      </c>
    </row>
    <row r="357" spans="1:17" x14ac:dyDescent="0.2">
      <c r="A357" s="1036" t="s">
        <v>2574</v>
      </c>
      <c r="B357" s="1004"/>
      <c r="C357" s="1004">
        <v>117999</v>
      </c>
      <c r="E357" s="1004"/>
      <c r="F357" s="1005">
        <f t="shared" si="5"/>
        <v>117999</v>
      </c>
      <c r="H357" s="1004"/>
      <c r="I357" s="1005">
        <f t="shared" si="6"/>
        <v>117999</v>
      </c>
      <c r="J357" s="1010"/>
      <c r="K357" s="1004"/>
      <c r="L357" s="1005">
        <f t="shared" si="7"/>
        <v>117999</v>
      </c>
      <c r="M357" s="1010"/>
      <c r="N357" s="1004"/>
      <c r="O357" s="1005">
        <f t="shared" si="8"/>
        <v>117999</v>
      </c>
      <c r="P357" s="1006" t="str">
        <f t="shared" si="15"/>
        <v>OK!</v>
      </c>
    </row>
    <row r="358" spans="1:17" x14ac:dyDescent="0.2">
      <c r="A358" s="1036" t="s">
        <v>2575</v>
      </c>
      <c r="B358" s="1004"/>
      <c r="C358" s="1004">
        <v>36100</v>
      </c>
      <c r="E358" s="1004"/>
      <c r="F358" s="1005">
        <f t="shared" si="5"/>
        <v>36100</v>
      </c>
      <c r="H358" s="1004"/>
      <c r="I358" s="1005">
        <f t="shared" si="6"/>
        <v>36100</v>
      </c>
      <c r="J358" s="1010"/>
      <c r="K358" s="1004"/>
      <c r="L358" s="1005">
        <f t="shared" si="7"/>
        <v>36100</v>
      </c>
      <c r="M358" s="1010"/>
      <c r="N358" s="1004"/>
      <c r="O358" s="1005">
        <f t="shared" si="8"/>
        <v>36100</v>
      </c>
      <c r="P358" s="1006" t="str">
        <f t="shared" si="15"/>
        <v>OK!</v>
      </c>
      <c r="Q358" s="1007">
        <v>991367</v>
      </c>
    </row>
    <row r="359" spans="1:17" x14ac:dyDescent="0.2">
      <c r="A359" s="1047" t="s">
        <v>2591</v>
      </c>
      <c r="B359" s="1004" t="s">
        <v>1938</v>
      </c>
      <c r="C359" s="1051">
        <v>543111</v>
      </c>
      <c r="E359" s="1004"/>
      <c r="F359" s="1005">
        <f t="shared" si="5"/>
        <v>543111</v>
      </c>
      <c r="H359" s="1004"/>
      <c r="I359" s="1005">
        <f t="shared" si="6"/>
        <v>543111</v>
      </c>
      <c r="J359" s="1010"/>
      <c r="K359" s="1004"/>
      <c r="L359" s="1005">
        <f t="shared" si="7"/>
        <v>543111</v>
      </c>
      <c r="M359" s="1010"/>
      <c r="N359" s="1004"/>
      <c r="O359" s="1005">
        <f t="shared" si="8"/>
        <v>543111</v>
      </c>
      <c r="P359" s="1006" t="str">
        <f t="shared" si="15"/>
        <v>OK!</v>
      </c>
    </row>
    <row r="360" spans="1:17" x14ac:dyDescent="0.2">
      <c r="A360" s="1047" t="s">
        <v>2598</v>
      </c>
      <c r="B360" s="1048" t="s">
        <v>2577</v>
      </c>
      <c r="C360" s="1052">
        <v>819660</v>
      </c>
      <c r="E360" s="1004"/>
      <c r="F360" s="1005">
        <f t="shared" si="5"/>
        <v>819660</v>
      </c>
      <c r="H360" s="1004"/>
      <c r="I360" s="1005">
        <f t="shared" si="6"/>
        <v>819660</v>
      </c>
      <c r="J360" s="1010"/>
      <c r="K360" s="1004"/>
      <c r="L360" s="1005">
        <f t="shared" si="7"/>
        <v>819660</v>
      </c>
      <c r="M360" s="1010"/>
      <c r="N360" s="1004"/>
      <c r="O360" s="1005">
        <f t="shared" si="8"/>
        <v>819660</v>
      </c>
      <c r="P360" s="1006" t="str">
        <f t="shared" si="15"/>
        <v>OK!</v>
      </c>
    </row>
    <row r="361" spans="1:17" x14ac:dyDescent="0.2">
      <c r="A361" s="1047" t="s">
        <v>1994</v>
      </c>
      <c r="B361" s="1048" t="s">
        <v>2578</v>
      </c>
      <c r="C361" s="1052">
        <v>477600</v>
      </c>
      <c r="E361" s="1004"/>
      <c r="F361" s="1005">
        <f t="shared" si="5"/>
        <v>477600</v>
      </c>
      <c r="H361" s="1004"/>
      <c r="I361" s="1005">
        <f t="shared" si="6"/>
        <v>477600</v>
      </c>
      <c r="J361" s="1010"/>
      <c r="K361" s="1004"/>
      <c r="L361" s="1005">
        <f t="shared" si="7"/>
        <v>477600</v>
      </c>
      <c r="M361" s="1010"/>
      <c r="N361" s="1004"/>
      <c r="O361" s="1005">
        <f t="shared" si="8"/>
        <v>477600</v>
      </c>
      <c r="P361" s="1006" t="str">
        <f t="shared" si="15"/>
        <v>OK!</v>
      </c>
    </row>
    <row r="362" spans="1:17" x14ac:dyDescent="0.2">
      <c r="A362" s="1047" t="s">
        <v>1995</v>
      </c>
      <c r="B362" s="1048" t="s">
        <v>2579</v>
      </c>
      <c r="C362" s="1052">
        <v>23039</v>
      </c>
      <c r="E362" s="1004"/>
      <c r="F362" s="1005">
        <f t="shared" si="5"/>
        <v>23039</v>
      </c>
      <c r="H362" s="1004"/>
      <c r="I362" s="1005">
        <f t="shared" si="6"/>
        <v>23039</v>
      </c>
      <c r="J362" s="1010"/>
      <c r="K362" s="1004"/>
      <c r="L362" s="1005">
        <f t="shared" si="7"/>
        <v>23039</v>
      </c>
      <c r="M362" s="1010"/>
      <c r="N362" s="1004"/>
      <c r="O362" s="1005">
        <f t="shared" si="8"/>
        <v>23039</v>
      </c>
      <c r="P362" s="1006" t="str">
        <f t="shared" si="15"/>
        <v>OK!</v>
      </c>
    </row>
    <row r="363" spans="1:17" x14ac:dyDescent="0.2">
      <c r="A363" s="1047" t="s">
        <v>1949</v>
      </c>
      <c r="B363" s="1048" t="s">
        <v>2000</v>
      </c>
      <c r="C363" s="1052">
        <v>19368</v>
      </c>
      <c r="E363" s="1004"/>
      <c r="F363" s="1005">
        <f t="shared" si="5"/>
        <v>19368</v>
      </c>
      <c r="H363" s="1004"/>
      <c r="I363" s="1005">
        <f t="shared" si="6"/>
        <v>19368</v>
      </c>
      <c r="J363" s="1010"/>
      <c r="K363" s="1004"/>
      <c r="L363" s="1005">
        <f t="shared" si="7"/>
        <v>19368</v>
      </c>
      <c r="M363" s="1010"/>
      <c r="N363" s="1004"/>
      <c r="O363" s="1005">
        <f t="shared" si="8"/>
        <v>19368</v>
      </c>
      <c r="P363" s="1006" t="str">
        <f t="shared" si="15"/>
        <v>OK!</v>
      </c>
    </row>
    <row r="364" spans="1:17" x14ac:dyDescent="0.2">
      <c r="A364" s="1047" t="s">
        <v>1996</v>
      </c>
      <c r="B364" s="1048" t="s">
        <v>1943</v>
      </c>
      <c r="C364" s="1052">
        <v>302400</v>
      </c>
      <c r="E364" s="1004"/>
      <c r="F364" s="1005">
        <f t="shared" si="5"/>
        <v>302400</v>
      </c>
      <c r="H364" s="1004"/>
      <c r="I364" s="1005">
        <f t="shared" si="6"/>
        <v>302400</v>
      </c>
      <c r="J364" s="1010"/>
      <c r="K364" s="1004"/>
      <c r="L364" s="1005">
        <f t="shared" si="7"/>
        <v>302400</v>
      </c>
      <c r="M364" s="1010"/>
      <c r="N364" s="1004"/>
      <c r="O364" s="1005">
        <f t="shared" si="8"/>
        <v>302400</v>
      </c>
      <c r="P364" s="1006" t="str">
        <f t="shared" si="15"/>
        <v>OK!</v>
      </c>
    </row>
    <row r="365" spans="1:17" x14ac:dyDescent="0.2">
      <c r="A365" s="1047" t="s">
        <v>1947</v>
      </c>
      <c r="B365" s="1048" t="s">
        <v>2001</v>
      </c>
      <c r="C365" s="1052">
        <v>285120</v>
      </c>
      <c r="E365" s="1004"/>
      <c r="F365" s="1005">
        <f t="shared" si="5"/>
        <v>285120</v>
      </c>
      <c r="H365" s="1004"/>
      <c r="I365" s="1005">
        <f t="shared" si="6"/>
        <v>285120</v>
      </c>
      <c r="J365" s="1010"/>
      <c r="K365" s="1004"/>
      <c r="L365" s="1005">
        <f t="shared" si="7"/>
        <v>285120</v>
      </c>
      <c r="M365" s="1010"/>
      <c r="N365" s="1004"/>
      <c r="O365" s="1005">
        <f t="shared" si="8"/>
        <v>285120</v>
      </c>
      <c r="P365" s="1006" t="str">
        <f t="shared" si="15"/>
        <v>OK!</v>
      </c>
    </row>
    <row r="366" spans="1:17" x14ac:dyDescent="0.2">
      <c r="A366" s="1047" t="s">
        <v>1948</v>
      </c>
      <c r="B366" s="1048" t="s">
        <v>2002</v>
      </c>
      <c r="C366" s="1052">
        <v>92400</v>
      </c>
      <c r="E366" s="1004"/>
      <c r="F366" s="1005">
        <f t="shared" si="5"/>
        <v>92400</v>
      </c>
      <c r="H366" s="1004"/>
      <c r="I366" s="1005">
        <f t="shared" si="6"/>
        <v>92400</v>
      </c>
      <c r="J366" s="1010"/>
      <c r="K366" s="1004"/>
      <c r="L366" s="1005">
        <f t="shared" si="7"/>
        <v>92400</v>
      </c>
      <c r="M366" s="1010"/>
      <c r="N366" s="1004"/>
      <c r="O366" s="1005">
        <f t="shared" si="8"/>
        <v>92400</v>
      </c>
      <c r="P366" s="1006" t="str">
        <f t="shared" si="15"/>
        <v>OK!</v>
      </c>
    </row>
    <row r="367" spans="1:17" x14ac:dyDescent="0.2">
      <c r="A367" s="1047" t="s">
        <v>1997</v>
      </c>
      <c r="B367" s="1048" t="s">
        <v>2580</v>
      </c>
      <c r="C367" s="1052">
        <v>20400</v>
      </c>
      <c r="E367" s="1004"/>
      <c r="F367" s="1005">
        <f t="shared" si="5"/>
        <v>20400</v>
      </c>
      <c r="H367" s="1004"/>
      <c r="I367" s="1005">
        <f t="shared" si="6"/>
        <v>20400</v>
      </c>
      <c r="J367" s="1010"/>
      <c r="K367" s="1004"/>
      <c r="L367" s="1005">
        <f t="shared" si="7"/>
        <v>20400</v>
      </c>
      <c r="M367" s="1010"/>
      <c r="N367" s="1004"/>
      <c r="O367" s="1005">
        <f t="shared" si="8"/>
        <v>20400</v>
      </c>
      <c r="P367" s="1006" t="str">
        <f t="shared" si="15"/>
        <v>OK!</v>
      </c>
    </row>
    <row r="368" spans="1:17" x14ac:dyDescent="0.2">
      <c r="A368" s="1047" t="s">
        <v>1998</v>
      </c>
      <c r="B368" s="1048" t="s">
        <v>2003</v>
      </c>
      <c r="C368" s="1052">
        <v>102375</v>
      </c>
      <c r="E368" s="1004"/>
      <c r="F368" s="1005">
        <f t="shared" si="5"/>
        <v>102375</v>
      </c>
      <c r="H368" s="1004"/>
      <c r="I368" s="1005">
        <f t="shared" si="6"/>
        <v>102375</v>
      </c>
      <c r="J368" s="1010"/>
      <c r="K368" s="1004"/>
      <c r="L368" s="1005">
        <f t="shared" si="7"/>
        <v>102375</v>
      </c>
      <c r="M368" s="1010"/>
      <c r="N368" s="1004"/>
      <c r="O368" s="1005">
        <f t="shared" si="8"/>
        <v>102375</v>
      </c>
      <c r="P368" s="1006" t="str">
        <f t="shared" si="15"/>
        <v>OK!</v>
      </c>
    </row>
    <row r="369" spans="1:16" x14ac:dyDescent="0.2">
      <c r="A369" s="1047" t="s">
        <v>1999</v>
      </c>
      <c r="B369" s="1048" t="s">
        <v>2004</v>
      </c>
      <c r="C369" s="1052">
        <v>1750</v>
      </c>
      <c r="E369" s="1004"/>
      <c r="F369" s="1005">
        <f t="shared" si="5"/>
        <v>1750</v>
      </c>
      <c r="H369" s="1004"/>
      <c r="I369" s="1005">
        <f t="shared" si="6"/>
        <v>1750</v>
      </c>
      <c r="J369" s="1010"/>
      <c r="K369" s="1004"/>
      <c r="L369" s="1005">
        <f t="shared" si="7"/>
        <v>1750</v>
      </c>
      <c r="M369" s="1010"/>
      <c r="N369" s="1004"/>
      <c r="O369" s="1005">
        <f t="shared" si="8"/>
        <v>1750</v>
      </c>
      <c r="P369" s="1006" t="str">
        <f t="shared" si="15"/>
        <v>OK!</v>
      </c>
    </row>
    <row r="370" spans="1:16" x14ac:dyDescent="0.2">
      <c r="A370" s="1047" t="s">
        <v>2581</v>
      </c>
      <c r="B370" s="1048" t="s">
        <v>2582</v>
      </c>
      <c r="C370" s="1052">
        <v>20000</v>
      </c>
      <c r="E370" s="1004"/>
      <c r="F370" s="1005">
        <f t="shared" si="5"/>
        <v>20000</v>
      </c>
      <c r="H370" s="1004"/>
      <c r="I370" s="1005">
        <f t="shared" si="6"/>
        <v>20000</v>
      </c>
      <c r="J370" s="1010"/>
      <c r="K370" s="1004"/>
      <c r="L370" s="1005">
        <f t="shared" si="7"/>
        <v>20000</v>
      </c>
      <c r="M370" s="1010"/>
      <c r="N370" s="1004"/>
      <c r="O370" s="1005">
        <f t="shared" si="8"/>
        <v>20000</v>
      </c>
      <c r="P370" s="1006" t="str">
        <f t="shared" si="15"/>
        <v>OK!</v>
      </c>
    </row>
    <row r="371" spans="1:16" x14ac:dyDescent="0.2">
      <c r="A371" s="1047" t="s">
        <v>2587</v>
      </c>
      <c r="B371" s="1048">
        <v>2019</v>
      </c>
      <c r="C371" s="1049">
        <v>21625003</v>
      </c>
      <c r="E371" s="1004"/>
      <c r="F371" s="1005">
        <f t="shared" ref="F371:F393" si="25">C371-E371</f>
        <v>21625003</v>
      </c>
      <c r="H371" s="1004"/>
      <c r="I371" s="1005">
        <f t="shared" ref="I371:I393" si="26">F371-H371</f>
        <v>21625003</v>
      </c>
      <c r="J371" s="1010"/>
      <c r="K371" s="1004"/>
      <c r="L371" s="1005">
        <f t="shared" ref="L371:L393" si="27">I371-K371</f>
        <v>21625003</v>
      </c>
      <c r="M371" s="1010"/>
      <c r="N371" s="1004"/>
      <c r="O371" s="1005">
        <f t="shared" ref="O371:O393" si="28">L371-N371</f>
        <v>21625003</v>
      </c>
      <c r="P371" s="1006" t="str">
        <f t="shared" si="15"/>
        <v>OK!</v>
      </c>
    </row>
    <row r="372" spans="1:16" x14ac:dyDescent="0.2">
      <c r="A372" s="1047" t="s">
        <v>2583</v>
      </c>
      <c r="B372" s="1048" t="s">
        <v>2584</v>
      </c>
      <c r="C372" s="1049">
        <v>960</v>
      </c>
      <c r="E372" s="1004"/>
      <c r="F372" s="1005">
        <f t="shared" si="25"/>
        <v>960</v>
      </c>
      <c r="H372" s="1004"/>
      <c r="I372" s="1005">
        <f t="shared" si="26"/>
        <v>960</v>
      </c>
      <c r="J372" s="1010"/>
      <c r="K372" s="1004"/>
      <c r="L372" s="1005">
        <f t="shared" si="27"/>
        <v>960</v>
      </c>
      <c r="M372" s="1010"/>
      <c r="N372" s="1004"/>
      <c r="O372" s="1005">
        <f t="shared" si="28"/>
        <v>960</v>
      </c>
      <c r="P372" s="1006" t="str">
        <f t="shared" si="15"/>
        <v>OK!</v>
      </c>
    </row>
    <row r="373" spans="1:16" x14ac:dyDescent="0.2">
      <c r="A373" s="1047" t="s">
        <v>2005</v>
      </c>
      <c r="B373" s="1048" t="s">
        <v>2585</v>
      </c>
      <c r="C373" s="1049">
        <v>6113940</v>
      </c>
      <c r="E373" s="1004"/>
      <c r="F373" s="1005">
        <f t="shared" si="25"/>
        <v>6113940</v>
      </c>
      <c r="H373" s="1004"/>
      <c r="I373" s="1005">
        <f t="shared" si="26"/>
        <v>6113940</v>
      </c>
      <c r="J373" s="1010"/>
      <c r="K373" s="1004"/>
      <c r="L373" s="1005">
        <f t="shared" si="27"/>
        <v>6113940</v>
      </c>
      <c r="M373" s="1010"/>
      <c r="N373" s="1004"/>
      <c r="O373" s="1005">
        <f t="shared" si="28"/>
        <v>6113940</v>
      </c>
      <c r="P373" s="1006" t="str">
        <f t="shared" si="15"/>
        <v>OK!</v>
      </c>
    </row>
    <row r="374" spans="1:16" x14ac:dyDescent="0.2">
      <c r="A374" s="1047" t="s">
        <v>2009</v>
      </c>
      <c r="B374" s="1048" t="s">
        <v>2014</v>
      </c>
      <c r="C374" s="1049">
        <v>45400</v>
      </c>
      <c r="E374" s="1004"/>
      <c r="F374" s="1005">
        <f t="shared" si="25"/>
        <v>45400</v>
      </c>
      <c r="H374" s="1004"/>
      <c r="I374" s="1005">
        <f t="shared" si="26"/>
        <v>45400</v>
      </c>
      <c r="J374" s="1010"/>
      <c r="K374" s="1004"/>
      <c r="L374" s="1005">
        <f t="shared" si="27"/>
        <v>45400</v>
      </c>
      <c r="M374" s="1010"/>
      <c r="N374" s="1004"/>
      <c r="O374" s="1005">
        <f t="shared" si="28"/>
        <v>45400</v>
      </c>
      <c r="P374" s="1006" t="str">
        <f t="shared" si="15"/>
        <v>OK!</v>
      </c>
    </row>
    <row r="375" spans="1:16" x14ac:dyDescent="0.2">
      <c r="A375" s="1047" t="s">
        <v>2010</v>
      </c>
      <c r="B375" s="1048" t="s">
        <v>1942</v>
      </c>
      <c r="C375" s="1049">
        <v>20000</v>
      </c>
      <c r="E375" s="1004"/>
      <c r="F375" s="1005">
        <f t="shared" si="25"/>
        <v>20000</v>
      </c>
      <c r="H375" s="1004"/>
      <c r="I375" s="1005">
        <f t="shared" si="26"/>
        <v>20000</v>
      </c>
      <c r="J375" s="1010"/>
      <c r="K375" s="1004"/>
      <c r="L375" s="1005">
        <f t="shared" si="27"/>
        <v>20000</v>
      </c>
      <c r="M375" s="1010"/>
      <c r="N375" s="1004"/>
      <c r="O375" s="1005">
        <f t="shared" si="28"/>
        <v>20000</v>
      </c>
      <c r="P375" s="1006" t="str">
        <f t="shared" si="15"/>
        <v>OK!</v>
      </c>
    </row>
    <row r="376" spans="1:16" x14ac:dyDescent="0.2">
      <c r="A376" s="1047" t="s">
        <v>2011</v>
      </c>
      <c r="B376" s="1048" t="s">
        <v>2015</v>
      </c>
      <c r="C376" s="1049">
        <v>11000</v>
      </c>
      <c r="E376" s="1004"/>
      <c r="F376" s="1005">
        <f t="shared" si="25"/>
        <v>11000</v>
      </c>
      <c r="H376" s="1004"/>
      <c r="I376" s="1005">
        <f t="shared" si="26"/>
        <v>11000</v>
      </c>
      <c r="J376" s="1010"/>
      <c r="K376" s="1004"/>
      <c r="L376" s="1005">
        <f t="shared" si="27"/>
        <v>11000</v>
      </c>
      <c r="M376" s="1010"/>
      <c r="N376" s="1004"/>
      <c r="O376" s="1005">
        <f t="shared" si="28"/>
        <v>11000</v>
      </c>
      <c r="P376" s="1006" t="str">
        <f t="shared" si="15"/>
        <v>OK!</v>
      </c>
    </row>
    <row r="377" spans="1:16" x14ac:dyDescent="0.2">
      <c r="A377" s="1047" t="s">
        <v>2012</v>
      </c>
      <c r="B377" s="1048" t="s">
        <v>2016</v>
      </c>
      <c r="C377" s="1049">
        <v>75480</v>
      </c>
      <c r="E377" s="1004"/>
      <c r="F377" s="1005">
        <f t="shared" si="25"/>
        <v>75480</v>
      </c>
      <c r="H377" s="1004"/>
      <c r="I377" s="1005">
        <f t="shared" si="26"/>
        <v>75480</v>
      </c>
      <c r="J377" s="1010"/>
      <c r="K377" s="1004"/>
      <c r="L377" s="1005">
        <f t="shared" si="27"/>
        <v>75480</v>
      </c>
      <c r="M377" s="1010"/>
      <c r="N377" s="1004"/>
      <c r="O377" s="1005">
        <f t="shared" si="28"/>
        <v>75480</v>
      </c>
      <c r="P377" s="1006" t="str">
        <f t="shared" si="15"/>
        <v>OK!</v>
      </c>
    </row>
    <row r="378" spans="1:16" x14ac:dyDescent="0.2">
      <c r="A378" s="1047" t="s">
        <v>2013</v>
      </c>
      <c r="B378" s="1048" t="s">
        <v>2017</v>
      </c>
      <c r="C378" s="1049">
        <v>165256</v>
      </c>
      <c r="E378" s="1004"/>
      <c r="F378" s="1005">
        <f t="shared" si="25"/>
        <v>165256</v>
      </c>
      <c r="H378" s="1004"/>
      <c r="I378" s="1005">
        <f t="shared" si="26"/>
        <v>165256</v>
      </c>
      <c r="J378" s="1010"/>
      <c r="K378" s="1004"/>
      <c r="L378" s="1005">
        <f t="shared" si="27"/>
        <v>165256</v>
      </c>
      <c r="M378" s="1010"/>
      <c r="N378" s="1004"/>
      <c r="O378" s="1005">
        <f t="shared" si="28"/>
        <v>165256</v>
      </c>
      <c r="P378" s="1006" t="str">
        <f t="shared" si="15"/>
        <v>OK!</v>
      </c>
    </row>
    <row r="379" spans="1:16" x14ac:dyDescent="0.2">
      <c r="A379" s="1047" t="s">
        <v>2586</v>
      </c>
      <c r="B379" s="1048"/>
      <c r="C379" s="1049">
        <v>262843</v>
      </c>
      <c r="E379" s="1004"/>
      <c r="F379" s="1005">
        <f t="shared" si="25"/>
        <v>262843</v>
      </c>
      <c r="H379" s="1004"/>
      <c r="I379" s="1005">
        <f t="shared" si="26"/>
        <v>262843</v>
      </c>
      <c r="J379" s="1010"/>
      <c r="K379" s="1004"/>
      <c r="L379" s="1005">
        <f t="shared" si="27"/>
        <v>262843</v>
      </c>
      <c r="M379" s="1010"/>
      <c r="N379" s="1004"/>
      <c r="O379" s="1005">
        <f t="shared" si="28"/>
        <v>262843</v>
      </c>
      <c r="P379" s="1006" t="str">
        <f t="shared" si="15"/>
        <v>OK!</v>
      </c>
    </row>
    <row r="380" spans="1:16" x14ac:dyDescent="0.2">
      <c r="A380" s="1047" t="s">
        <v>2589</v>
      </c>
      <c r="B380" s="1048" t="s">
        <v>2588</v>
      </c>
      <c r="C380" s="1050">
        <v>89380</v>
      </c>
      <c r="E380" s="1004"/>
      <c r="F380" s="1005">
        <f t="shared" si="25"/>
        <v>89380</v>
      </c>
      <c r="H380" s="1004"/>
      <c r="I380" s="1005">
        <f t="shared" si="26"/>
        <v>89380</v>
      </c>
      <c r="J380" s="1010"/>
      <c r="K380" s="1004"/>
      <c r="L380" s="1005">
        <f t="shared" si="27"/>
        <v>89380</v>
      </c>
      <c r="M380" s="1010"/>
      <c r="N380" s="1004"/>
      <c r="O380" s="1005">
        <f t="shared" si="28"/>
        <v>89380</v>
      </c>
      <c r="P380" s="1006" t="str">
        <f t="shared" si="15"/>
        <v>OK!</v>
      </c>
    </row>
    <row r="381" spans="1:16" x14ac:dyDescent="0.2">
      <c r="A381" s="1047" t="s">
        <v>2019</v>
      </c>
      <c r="B381" s="1048"/>
      <c r="C381" s="1050">
        <v>6000</v>
      </c>
      <c r="E381" s="1004"/>
      <c r="F381" s="1005">
        <f t="shared" si="25"/>
        <v>6000</v>
      </c>
      <c r="H381" s="1004"/>
      <c r="I381" s="1005">
        <f t="shared" si="26"/>
        <v>6000</v>
      </c>
      <c r="J381" s="1010"/>
      <c r="K381" s="1004"/>
      <c r="L381" s="1005">
        <f t="shared" si="27"/>
        <v>6000</v>
      </c>
      <c r="M381" s="1010"/>
      <c r="N381" s="1004"/>
      <c r="O381" s="1005">
        <f t="shared" si="28"/>
        <v>6000</v>
      </c>
      <c r="P381" s="1006" t="str">
        <f t="shared" si="15"/>
        <v>OK!</v>
      </c>
    </row>
    <row r="382" spans="1:16" x14ac:dyDescent="0.2">
      <c r="A382" s="1047" t="s">
        <v>2020</v>
      </c>
      <c r="B382" s="1048"/>
      <c r="C382" s="1050">
        <v>11200</v>
      </c>
      <c r="E382" s="1004"/>
      <c r="F382" s="1005">
        <f t="shared" si="25"/>
        <v>11200</v>
      </c>
      <c r="H382" s="1004"/>
      <c r="I382" s="1005">
        <f t="shared" si="26"/>
        <v>11200</v>
      </c>
      <c r="J382" s="1010"/>
      <c r="K382" s="1004"/>
      <c r="L382" s="1005">
        <f t="shared" si="27"/>
        <v>11200</v>
      </c>
      <c r="M382" s="1010"/>
      <c r="N382" s="1004"/>
      <c r="O382" s="1005">
        <f t="shared" si="28"/>
        <v>11200</v>
      </c>
      <c r="P382" s="1006" t="str">
        <f t="shared" si="15"/>
        <v>OK!</v>
      </c>
    </row>
    <row r="383" spans="1:16" x14ac:dyDescent="0.2">
      <c r="A383" s="1047" t="s">
        <v>1940</v>
      </c>
      <c r="B383" s="1048"/>
      <c r="C383" s="1050">
        <v>13280</v>
      </c>
      <c r="E383" s="1004"/>
      <c r="F383" s="1005">
        <f t="shared" si="25"/>
        <v>13280</v>
      </c>
      <c r="H383" s="1004"/>
      <c r="I383" s="1005">
        <f t="shared" si="26"/>
        <v>13280</v>
      </c>
      <c r="J383" s="1010"/>
      <c r="K383" s="1004"/>
      <c r="L383" s="1005">
        <f t="shared" si="27"/>
        <v>13280</v>
      </c>
      <c r="M383" s="1010"/>
      <c r="N383" s="1004"/>
      <c r="O383" s="1005">
        <f t="shared" si="28"/>
        <v>13280</v>
      </c>
      <c r="P383" s="1006" t="str">
        <f t="shared" si="15"/>
        <v>OK!</v>
      </c>
    </row>
    <row r="384" spans="1:16" x14ac:dyDescent="0.2">
      <c r="A384" s="1047" t="s">
        <v>1936</v>
      </c>
      <c r="B384" s="1048"/>
      <c r="C384" s="1050">
        <v>4250</v>
      </c>
      <c r="E384" s="1004"/>
      <c r="F384" s="1005">
        <f t="shared" si="25"/>
        <v>4250</v>
      </c>
      <c r="H384" s="1004"/>
      <c r="I384" s="1005">
        <f t="shared" si="26"/>
        <v>4250</v>
      </c>
      <c r="J384" s="1010"/>
      <c r="K384" s="1004"/>
      <c r="L384" s="1005">
        <f t="shared" si="27"/>
        <v>4250</v>
      </c>
      <c r="M384" s="1010"/>
      <c r="N384" s="1004"/>
      <c r="O384" s="1005">
        <f t="shared" si="28"/>
        <v>4250</v>
      </c>
      <c r="P384" s="1006" t="str">
        <f t="shared" si="15"/>
        <v>OK!</v>
      </c>
    </row>
    <row r="385" spans="1:16" x14ac:dyDescent="0.2">
      <c r="A385" s="1047" t="s">
        <v>2018</v>
      </c>
      <c r="B385" s="1048"/>
      <c r="C385" s="1050">
        <v>60000</v>
      </c>
      <c r="E385" s="1004"/>
      <c r="F385" s="1005">
        <f t="shared" si="25"/>
        <v>60000</v>
      </c>
      <c r="H385" s="1004"/>
      <c r="I385" s="1005">
        <f t="shared" si="26"/>
        <v>60000</v>
      </c>
      <c r="J385" s="1010"/>
      <c r="K385" s="1004"/>
      <c r="L385" s="1005">
        <f t="shared" si="27"/>
        <v>60000</v>
      </c>
      <c r="M385" s="1010"/>
      <c r="N385" s="1004"/>
      <c r="O385" s="1005">
        <f t="shared" si="28"/>
        <v>60000</v>
      </c>
      <c r="P385" s="1006" t="str">
        <f t="shared" si="15"/>
        <v>OK!</v>
      </c>
    </row>
    <row r="386" spans="1:16" x14ac:dyDescent="0.2">
      <c r="A386" s="1047" t="s">
        <v>2021</v>
      </c>
      <c r="B386" s="1048" t="s">
        <v>2590</v>
      </c>
      <c r="C386" s="1050">
        <v>800000</v>
      </c>
      <c r="E386" s="1004"/>
      <c r="F386" s="1005">
        <f t="shared" si="25"/>
        <v>800000</v>
      </c>
      <c r="H386" s="1004"/>
      <c r="I386" s="1005">
        <f t="shared" si="26"/>
        <v>800000</v>
      </c>
      <c r="J386" s="1010"/>
      <c r="K386" s="1004"/>
      <c r="L386" s="1005">
        <f t="shared" si="27"/>
        <v>800000</v>
      </c>
      <c r="M386" s="1010"/>
      <c r="N386" s="1004"/>
      <c r="O386" s="1005">
        <f t="shared" si="28"/>
        <v>800000</v>
      </c>
      <c r="P386" s="1006" t="str">
        <f t="shared" si="15"/>
        <v>OK!</v>
      </c>
    </row>
    <row r="387" spans="1:16" x14ac:dyDescent="0.2">
      <c r="A387" s="1047" t="s">
        <v>2599</v>
      </c>
      <c r="B387" s="1048"/>
      <c r="C387" s="1053">
        <v>191461</v>
      </c>
      <c r="E387" s="1004"/>
      <c r="F387" s="1005">
        <f t="shared" si="25"/>
        <v>191461</v>
      </c>
      <c r="H387" s="1004"/>
      <c r="I387" s="1005">
        <f t="shared" si="26"/>
        <v>191461</v>
      </c>
      <c r="J387" s="1010"/>
      <c r="K387" s="1004"/>
      <c r="L387" s="1005">
        <f t="shared" si="27"/>
        <v>191461</v>
      </c>
      <c r="M387" s="1010"/>
      <c r="N387" s="1004"/>
      <c r="O387" s="1005">
        <f t="shared" si="28"/>
        <v>191461</v>
      </c>
      <c r="P387" s="1006" t="str">
        <f t="shared" si="15"/>
        <v>OK!</v>
      </c>
    </row>
    <row r="388" spans="1:16" x14ac:dyDescent="0.2">
      <c r="A388" s="1047" t="s">
        <v>2592</v>
      </c>
      <c r="B388" s="1048"/>
      <c r="C388" s="1053">
        <v>250000</v>
      </c>
      <c r="E388" s="1004"/>
      <c r="F388" s="1005">
        <f t="shared" si="25"/>
        <v>250000</v>
      </c>
      <c r="H388" s="1004"/>
      <c r="I388" s="1005">
        <f t="shared" si="26"/>
        <v>250000</v>
      </c>
      <c r="J388" s="1010"/>
      <c r="K388" s="1004"/>
      <c r="L388" s="1005">
        <f t="shared" si="27"/>
        <v>250000</v>
      </c>
      <c r="M388" s="1010"/>
      <c r="N388" s="1004"/>
      <c r="O388" s="1005">
        <f t="shared" si="28"/>
        <v>250000</v>
      </c>
      <c r="P388" s="1006" t="str">
        <f t="shared" si="15"/>
        <v>OK!</v>
      </c>
    </row>
    <row r="389" spans="1:16" x14ac:dyDescent="0.2">
      <c r="A389" s="1047" t="s">
        <v>2593</v>
      </c>
      <c r="B389" s="1048"/>
      <c r="C389" s="1053">
        <v>150500</v>
      </c>
      <c r="E389" s="1004"/>
      <c r="F389" s="1005">
        <f t="shared" si="25"/>
        <v>150500</v>
      </c>
      <c r="H389" s="1004"/>
      <c r="I389" s="1005">
        <f t="shared" si="26"/>
        <v>150500</v>
      </c>
      <c r="J389" s="1010"/>
      <c r="K389" s="1004"/>
      <c r="L389" s="1005">
        <f t="shared" si="27"/>
        <v>150500</v>
      </c>
      <c r="M389" s="1010"/>
      <c r="N389" s="1004"/>
      <c r="O389" s="1005">
        <f t="shared" si="28"/>
        <v>150500</v>
      </c>
      <c r="P389" s="1006" t="str">
        <f t="shared" si="15"/>
        <v>OK!</v>
      </c>
    </row>
    <row r="390" spans="1:16" x14ac:dyDescent="0.2">
      <c r="A390" s="1047" t="s">
        <v>2594</v>
      </c>
      <c r="B390" s="1048"/>
      <c r="C390" s="1053">
        <v>100000</v>
      </c>
      <c r="E390" s="1004"/>
      <c r="F390" s="1005">
        <f t="shared" si="25"/>
        <v>100000</v>
      </c>
      <c r="H390" s="1004"/>
      <c r="I390" s="1005">
        <f t="shared" si="26"/>
        <v>100000</v>
      </c>
      <c r="J390" s="1010"/>
      <c r="K390" s="1004"/>
      <c r="L390" s="1005">
        <f t="shared" si="27"/>
        <v>100000</v>
      </c>
      <c r="M390" s="1010"/>
      <c r="N390" s="1004"/>
      <c r="O390" s="1005">
        <f t="shared" si="28"/>
        <v>100000</v>
      </c>
      <c r="P390" s="1006" t="str">
        <f t="shared" si="15"/>
        <v>OK!</v>
      </c>
    </row>
    <row r="391" spans="1:16" x14ac:dyDescent="0.2">
      <c r="A391" s="1047" t="s">
        <v>2595</v>
      </c>
      <c r="B391" s="1048"/>
      <c r="C391" s="1053">
        <v>140000</v>
      </c>
      <c r="E391" s="1004"/>
      <c r="F391" s="1005">
        <f t="shared" si="25"/>
        <v>140000</v>
      </c>
      <c r="H391" s="1004"/>
      <c r="I391" s="1005">
        <f t="shared" si="26"/>
        <v>140000</v>
      </c>
      <c r="J391" s="1010"/>
      <c r="K391" s="1004"/>
      <c r="L391" s="1005">
        <f t="shared" si="27"/>
        <v>140000</v>
      </c>
      <c r="M391" s="1010"/>
      <c r="N391" s="1004"/>
      <c r="O391" s="1005">
        <f t="shared" si="28"/>
        <v>140000</v>
      </c>
      <c r="P391" s="1006" t="str">
        <f t="shared" si="15"/>
        <v>OK!</v>
      </c>
    </row>
    <row r="392" spans="1:16" x14ac:dyDescent="0.2">
      <c r="A392" s="1047" t="s">
        <v>2596</v>
      </c>
      <c r="B392" s="1048"/>
      <c r="C392" s="1053">
        <v>655102</v>
      </c>
      <c r="E392" s="1004"/>
      <c r="F392" s="1005">
        <f t="shared" si="25"/>
        <v>655102</v>
      </c>
      <c r="H392" s="1004"/>
      <c r="I392" s="1005">
        <f t="shared" si="26"/>
        <v>655102</v>
      </c>
      <c r="J392" s="1010"/>
      <c r="K392" s="1004"/>
      <c r="L392" s="1005">
        <f t="shared" si="27"/>
        <v>655102</v>
      </c>
      <c r="M392" s="1010"/>
      <c r="N392" s="1004"/>
      <c r="O392" s="1005">
        <f t="shared" si="28"/>
        <v>655102</v>
      </c>
      <c r="P392" s="1006" t="str">
        <f t="shared" si="15"/>
        <v>OK!</v>
      </c>
    </row>
    <row r="393" spans="1:16" x14ac:dyDescent="0.2">
      <c r="A393" s="1047" t="s">
        <v>2597</v>
      </c>
      <c r="B393" s="1048"/>
      <c r="C393" s="1053">
        <v>3850</v>
      </c>
      <c r="E393" s="1004"/>
      <c r="F393" s="1005">
        <f t="shared" si="25"/>
        <v>3850</v>
      </c>
      <c r="H393" s="1004"/>
      <c r="I393" s="1005">
        <f t="shared" si="26"/>
        <v>3850</v>
      </c>
      <c r="J393" s="1010"/>
      <c r="K393" s="1004"/>
      <c r="L393" s="1005">
        <f t="shared" si="27"/>
        <v>3850</v>
      </c>
      <c r="M393" s="1010"/>
      <c r="N393" s="1004"/>
      <c r="O393" s="1005">
        <f t="shared" si="28"/>
        <v>3850</v>
      </c>
      <c r="P393" s="1006" t="str">
        <f t="shared" si="15"/>
        <v>OK!</v>
      </c>
    </row>
    <row r="394" spans="1:16" x14ac:dyDescent="0.2">
      <c r="A394" s="1011"/>
      <c r="B394" s="1011"/>
      <c r="C394" s="1012">
        <f>SUM(C8:C393)</f>
        <v>364843104</v>
      </c>
      <c r="E394" s="1012">
        <f>SUM(E8:E393)</f>
        <v>50000000</v>
      </c>
      <c r="F394" s="1012">
        <f>SUM(F8:F393)</f>
        <v>314843104</v>
      </c>
      <c r="G394" s="1013"/>
      <c r="H394" s="1012">
        <f>SUM(H8:H393)</f>
        <v>55384336</v>
      </c>
      <c r="I394" s="1012">
        <f>SUM(I8:I393)</f>
        <v>259458768</v>
      </c>
      <c r="J394" s="1013"/>
      <c r="K394" s="1012">
        <f>SUM(K8:K393)</f>
        <v>68415809</v>
      </c>
      <c r="L394" s="1012">
        <f>SUM(L8:L393)</f>
        <v>191042959</v>
      </c>
      <c r="M394" s="1013"/>
      <c r="N394" s="1012">
        <f>SUM(N8:N393)</f>
        <v>72126299</v>
      </c>
      <c r="O394" s="1012">
        <f>SUM(O8:O393)</f>
        <v>118916660</v>
      </c>
    </row>
    <row r="399" spans="1:16" x14ac:dyDescent="0.2">
      <c r="C399" s="1014"/>
      <c r="E399" s="1014"/>
    </row>
    <row r="400" spans="1:16" x14ac:dyDescent="0.2">
      <c r="C400" s="1014"/>
      <c r="E400" s="1014"/>
    </row>
    <row r="401" spans="3:5" x14ac:dyDescent="0.2">
      <c r="C401" s="1014"/>
      <c r="E401" s="1014"/>
    </row>
  </sheetData>
  <sheetProtection selectLockedCells="1"/>
  <mergeCells count="10">
    <mergeCell ref="A1:O1"/>
    <mergeCell ref="N5:O5"/>
    <mergeCell ref="N6:O6"/>
    <mergeCell ref="H5:I5"/>
    <mergeCell ref="K5:L5"/>
    <mergeCell ref="H6:I6"/>
    <mergeCell ref="K6:L6"/>
    <mergeCell ref="E5:F5"/>
    <mergeCell ref="E6:F6"/>
    <mergeCell ref="A3:O3"/>
  </mergeCells>
  <printOptions gridLines="1"/>
  <pageMargins left="4.8125000000000001E-2" right="0.70866141732283505" top="0.7" bottom="0.49" header="0.43307086614173201" footer="0.31496062992126"/>
  <pageSetup paperSize="9" scale="70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9"/>
    <pageSetUpPr fitToPage="1"/>
  </sheetPr>
  <dimension ref="A1:F174"/>
  <sheetViews>
    <sheetView showGridLines="0" workbookViewId="0">
      <selection activeCell="D9" sqref="D9"/>
    </sheetView>
  </sheetViews>
  <sheetFormatPr defaultColWidth="4.140625" defaultRowHeight="12.75" x14ac:dyDescent="0.2"/>
  <cols>
    <col min="1" max="1" width="20.28515625" style="65" customWidth="1"/>
    <col min="2" max="2" width="9.140625" style="257" customWidth="1"/>
    <col min="3" max="3" width="85.7109375" style="64" customWidth="1"/>
    <col min="4" max="4" width="16.42578125" style="64" customWidth="1"/>
    <col min="5" max="5" width="0.140625" style="64" hidden="1" customWidth="1"/>
    <col min="6" max="6" width="0.140625" style="65" hidden="1" customWidth="1"/>
    <col min="7" max="185" width="11.5703125" style="65" customWidth="1"/>
    <col min="186" max="186" width="3.85546875" style="65" customWidth="1"/>
    <col min="187" max="187" width="22" style="65" customWidth="1"/>
    <col min="188" max="190" width="4.140625" style="65" customWidth="1"/>
    <col min="191" max="191" width="5.85546875" style="65" customWidth="1"/>
    <col min="192" max="192" width="4.140625" style="65" customWidth="1"/>
    <col min="193" max="193" width="0.85546875" style="65" customWidth="1"/>
    <col min="194" max="194" width="5.85546875" style="65" customWidth="1"/>
    <col min="195" max="195" width="4.140625" style="65" customWidth="1"/>
    <col min="196" max="196" width="0.85546875" style="65" customWidth="1"/>
    <col min="197" max="197" width="5.85546875" style="65" customWidth="1"/>
    <col min="198" max="198" width="4.140625" style="65" customWidth="1"/>
    <col min="199" max="199" width="0.85546875" style="65" customWidth="1"/>
    <col min="200" max="200" width="5.85546875" style="65" customWidth="1"/>
    <col min="201" max="16384" width="4.140625" style="65"/>
  </cols>
  <sheetData>
    <row r="1" spans="1:6" s="169" customFormat="1" x14ac:dyDescent="0.2">
      <c r="A1" s="405" t="str">
        <f>'(G1) Fjalori'!A13</f>
        <v>Verdhë = Per tu plotësuar nga Departamenti i Financës</v>
      </c>
      <c r="B1" s="165"/>
      <c r="C1" s="165"/>
      <c r="D1" s="166"/>
      <c r="E1" s="165"/>
      <c r="F1" s="165"/>
    </row>
    <row r="3" spans="1:6" ht="21" x14ac:dyDescent="0.35">
      <c r="A3" s="1137" t="str">
        <f>'(G1) Fjalori'!A321</f>
        <v>(C4) TRASHËGIMI ME DESTINACION</v>
      </c>
      <c r="B3" s="1138"/>
      <c r="C3" s="1138"/>
      <c r="D3" s="1138"/>
      <c r="E3" s="1138"/>
      <c r="F3" s="1139"/>
    </row>
    <row r="4" spans="1:6" s="94" customFormat="1" x14ac:dyDescent="0.2">
      <c r="A4" s="66"/>
      <c r="B4" s="247"/>
    </row>
    <row r="5" spans="1:6" x14ac:dyDescent="0.2">
      <c r="B5" s="248"/>
      <c r="C5" s="65"/>
      <c r="D5" s="162">
        <f>'(B1)Informacion i përgjithshëm '!B8</f>
        <v>2022</v>
      </c>
      <c r="E5" s="162">
        <f>'(B1)Informacion i përgjithshëm '!B9</f>
        <v>2023</v>
      </c>
      <c r="F5" s="162">
        <f>'(B1)Informacion i përgjithshëm '!B10</f>
        <v>2024</v>
      </c>
    </row>
    <row r="6" spans="1:6" s="69" customFormat="1" ht="27.75" hidden="1" customHeight="1" x14ac:dyDescent="0.25">
      <c r="A6" s="68"/>
      <c r="B6" s="251"/>
      <c r="C6" s="68"/>
      <c r="D6" s="162" t="str">
        <f>'(B1)Informacion i përgjithshëm '!A7</f>
        <v>Viti aktual</v>
      </c>
      <c r="E6" s="162" t="str">
        <f>'(B1)Informacion i përgjithshëm '!A8</f>
        <v>Viti t+1 (I pritur)</v>
      </c>
      <c r="F6" s="162" t="str">
        <f>'(B1)Informacion i përgjithshëm '!A9</f>
        <v>Viti t+2 (I pritur)</v>
      </c>
    </row>
    <row r="7" spans="1:6" s="228" customFormat="1" ht="35.25" customHeight="1" x14ac:dyDescent="0.25">
      <c r="B7" s="252"/>
      <c r="D7" s="162" t="str">
        <f>'(G1) Fjalori'!A322</f>
        <v>Trashëgimi me destinacion</v>
      </c>
      <c r="E7" s="162" t="str">
        <f>D7</f>
        <v>Trashëgimi me destinacion</v>
      </c>
      <c r="F7" s="162" t="str">
        <f>D7</f>
        <v>Trashëgimi me destinacion</v>
      </c>
    </row>
    <row r="8" spans="1:6" ht="20.25" customHeight="1" x14ac:dyDescent="0.2">
      <c r="A8" s="240" t="str">
        <f>'(B3) Struktura Funksionale'!A7</f>
        <v>Nënfunksioni 1</v>
      </c>
      <c r="B8" s="575" t="str">
        <f>'(B3) Struktura Funksionale'!B7</f>
        <v>011</v>
      </c>
      <c r="C8" s="296" t="str">
        <f>'(B3) Struktura Funksionale'!C7</f>
        <v>Organet ekzekutive dhe legjislative, per  Çështjet financiare dhe fiskale, Çështjet e brendshme</v>
      </c>
      <c r="D8" s="272"/>
      <c r="E8" s="272"/>
      <c r="F8" s="272"/>
    </row>
    <row r="9" spans="1:6" x14ac:dyDescent="0.2">
      <c r="A9" s="110" t="str">
        <f>'(B3) Struktura Funksionale'!A8</f>
        <v>Programi 1a</v>
      </c>
      <c r="B9" s="586" t="str">
        <f>'(B3) Struktura Funksionale'!B8</f>
        <v>01110</v>
      </c>
      <c r="C9" s="110" t="str">
        <f>'(B3) Struktura Funksionale'!C8</f>
        <v>Planifikimi Menaxhimi dhe Administrimi</v>
      </c>
      <c r="D9" s="50"/>
      <c r="E9" s="442"/>
      <c r="F9" s="442"/>
    </row>
    <row r="10" spans="1:6" x14ac:dyDescent="0.2">
      <c r="A10" s="110" t="str">
        <f>'(B3) Struktura Funksionale'!A9</f>
        <v>Programi 1b</v>
      </c>
      <c r="B10" s="586" t="str">
        <f>'(B3) Struktura Funksionale'!B9</f>
        <v>01120</v>
      </c>
      <c r="C10" s="110" t="str">
        <f>'(B3) Struktura Funksionale'!C9</f>
        <v>Çështje financiare dhe fiskale</v>
      </c>
      <c r="D10" s="50"/>
      <c r="E10" s="442"/>
      <c r="F10" s="442"/>
    </row>
    <row r="11" spans="1:6" hidden="1" x14ac:dyDescent="0.2">
      <c r="A11" s="110" t="str">
        <f>'(B3) Struktura Funksionale'!A10</f>
        <v>Programi 1c</v>
      </c>
      <c r="B11" s="586" t="str">
        <f>'(B3) Struktura Funksionale'!B10</f>
        <v>01130</v>
      </c>
      <c r="C11" s="110" t="str">
        <f>'(B3) Struktura Funksionale'!C10</f>
        <v>Sherbime të pergjithshme publike</v>
      </c>
      <c r="D11" s="50"/>
      <c r="E11" s="442"/>
      <c r="F11" s="442"/>
    </row>
    <row r="12" spans="1:6" x14ac:dyDescent="0.2">
      <c r="A12" s="110" t="str">
        <f>'(B3) Struktura Funksionale'!A11</f>
        <v>Programi 1d</v>
      </c>
      <c r="B12" s="586" t="str">
        <f>'(B3) Struktura Funksionale'!B11</f>
        <v>01170</v>
      </c>
      <c r="C12" s="110" t="str">
        <f>'(B3) Struktura Funksionale'!C11</f>
        <v>Gjendja civile</v>
      </c>
      <c r="D12" s="50"/>
      <c r="E12" s="442"/>
      <c r="F12" s="442"/>
    </row>
    <row r="13" spans="1:6" x14ac:dyDescent="0.2">
      <c r="A13" s="110" t="str">
        <f>'(B3) Struktura Funksionale'!A12</f>
        <v>Programi 1e</v>
      </c>
      <c r="B13" s="586">
        <f>'(B3) Struktura Funksionale'!B12</f>
        <v>0</v>
      </c>
      <c r="C13" s="110">
        <f>'(B3) Struktura Funksionale'!C12</f>
        <v>0</v>
      </c>
      <c r="D13" s="50"/>
      <c r="E13" s="442"/>
      <c r="F13" s="442"/>
    </row>
    <row r="14" spans="1:6" x14ac:dyDescent="0.2">
      <c r="A14" s="110" t="str">
        <f>'(B3) Struktura Funksionale'!A13</f>
        <v>Programi 1f</v>
      </c>
      <c r="B14" s="586">
        <f>'(B3) Struktura Funksionale'!B13</f>
        <v>0</v>
      </c>
      <c r="C14" s="110">
        <f>'(B3) Struktura Funksionale'!C13</f>
        <v>0</v>
      </c>
      <c r="D14" s="50"/>
      <c r="E14" s="442"/>
      <c r="F14" s="442"/>
    </row>
    <row r="15" spans="1:6" x14ac:dyDescent="0.2">
      <c r="A15" s="208"/>
      <c r="B15" s="255"/>
      <c r="C15" s="208"/>
      <c r="D15" s="67">
        <f>SUM(D9:D14)</f>
        <v>0</v>
      </c>
      <c r="E15" s="67">
        <f>SUM(E9:E13)</f>
        <v>0</v>
      </c>
      <c r="F15" s="67">
        <f>SUM(F9:F13)</f>
        <v>0</v>
      </c>
    </row>
    <row r="16" spans="1:6" ht="18.75" x14ac:dyDescent="0.2">
      <c r="A16" s="240" t="str">
        <f>'(B3) Struktura Funksionale'!A14</f>
        <v>Nënfunksioni 2</v>
      </c>
      <c r="B16" s="575" t="str">
        <f>'(B3) Struktura Funksionale'!B14</f>
        <v>017</v>
      </c>
      <c r="C16" s="296" t="str">
        <f>'(B3) Struktura Funksionale'!C14</f>
        <v>Shërbime të  huamarrjes vendore</v>
      </c>
      <c r="D16" s="272"/>
      <c r="E16" s="272"/>
      <c r="F16" s="272"/>
    </row>
    <row r="17" spans="1:6" hidden="1" x14ac:dyDescent="0.2">
      <c r="A17" s="110" t="str">
        <f>'(B3) Struktura Funksionale'!A15</f>
        <v>Programi 2a</v>
      </c>
      <c r="B17" s="586" t="str">
        <f>'(B3) Struktura Funksionale'!B15</f>
        <v>01310</v>
      </c>
      <c r="C17" s="110" t="str">
        <f>'(B3) Struktura Funksionale'!C15</f>
        <v>Planifikimi i përgjithshëm dhe Shërbimet Statistikore</v>
      </c>
      <c r="D17" s="50"/>
      <c r="E17" s="442"/>
      <c r="F17" s="442"/>
    </row>
    <row r="18" spans="1:6" hidden="1" x14ac:dyDescent="0.2">
      <c r="A18" s="110" t="str">
        <f>'(B3) Struktura Funksionale'!A16</f>
        <v>Programi 2b</v>
      </c>
      <c r="B18" s="586" t="str">
        <f>'(B3) Struktura Funksionale'!B16</f>
        <v>01312</v>
      </c>
      <c r="C18" s="110" t="str">
        <f>'(B3) Struktura Funksionale'!C16</f>
        <v>Gjendja civile</v>
      </c>
      <c r="D18" s="50"/>
      <c r="E18" s="442"/>
      <c r="F18" s="442"/>
    </row>
    <row r="19" spans="1:6" hidden="1" x14ac:dyDescent="0.2">
      <c r="A19" s="110" t="str">
        <f>'(B3) Struktura Funksionale'!A17</f>
        <v>Programi 2c</v>
      </c>
      <c r="B19" s="586" t="str">
        <f>'(B3) Struktura Funksionale'!B17</f>
        <v>01320</v>
      </c>
      <c r="C19" s="110" t="str">
        <f>'(B3) Struktura Funksionale'!C17</f>
        <v>Shërbime të tjera të përgjithshme</v>
      </c>
      <c r="D19" s="50"/>
      <c r="E19" s="442"/>
      <c r="F19" s="442"/>
    </row>
    <row r="20" spans="1:6" x14ac:dyDescent="0.2">
      <c r="A20" s="110" t="str">
        <f>'(B3) Struktura Funksionale'!A18</f>
        <v>Programi 2d</v>
      </c>
      <c r="B20" s="586" t="str">
        <f>'(B3) Struktura Funksionale'!B18</f>
        <v>01710</v>
      </c>
      <c r="C20" s="110" t="str">
        <f>'(B3) Struktura Funksionale'!C18</f>
        <v>Pagesa për shërbimin e borxhit të brendshëm</v>
      </c>
      <c r="D20" s="50"/>
      <c r="E20" s="442"/>
      <c r="F20" s="442"/>
    </row>
    <row r="21" spans="1:6" x14ac:dyDescent="0.2">
      <c r="A21" s="110" t="str">
        <f>'(B3) Struktura Funksionale'!A19</f>
        <v>Programi 2e</v>
      </c>
      <c r="B21" s="586">
        <f>'(B3) Struktura Funksionale'!B19</f>
        <v>0</v>
      </c>
      <c r="C21" s="110">
        <f>'(B3) Struktura Funksionale'!C19</f>
        <v>0</v>
      </c>
      <c r="D21" s="50"/>
      <c r="E21" s="442"/>
      <c r="F21" s="442"/>
    </row>
    <row r="22" spans="1:6" x14ac:dyDescent="0.2">
      <c r="A22" s="208"/>
      <c r="B22" s="255"/>
      <c r="C22" s="208"/>
      <c r="D22" s="67">
        <f>SUM(D17:D21)</f>
        <v>0</v>
      </c>
      <c r="E22" s="67">
        <f>SUM(E17:E20)</f>
        <v>0</v>
      </c>
      <c r="F22" s="67">
        <f>SUM(F17:F20)</f>
        <v>0</v>
      </c>
    </row>
    <row r="23" spans="1:6" ht="18.75" x14ac:dyDescent="0.2">
      <c r="A23" s="240" t="str">
        <f>'(B3) Struktura Funksionale'!A21</f>
        <v>Nënfunksioni 3</v>
      </c>
      <c r="B23" s="575" t="str">
        <f>'(B3) Struktura Funksionale'!B21</f>
        <v>031</v>
      </c>
      <c r="C23" s="296" t="str">
        <f>'(B3) Struktura Funksionale'!C21</f>
        <v>Shërbimet Policore</v>
      </c>
      <c r="D23" s="272"/>
      <c r="E23" s="272"/>
      <c r="F23" s="272"/>
    </row>
    <row r="24" spans="1:6" x14ac:dyDescent="0.2">
      <c r="A24" s="110" t="str">
        <f>'(B3) Struktura Funksionale'!A22</f>
        <v>Programi 3a</v>
      </c>
      <c r="B24" s="586" t="str">
        <f>'(B3) Struktura Funksionale'!B22</f>
        <v>03140</v>
      </c>
      <c r="C24" s="110" t="str">
        <f>'(B3) Struktura Funksionale'!C22</f>
        <v>Shërbimet e Policisë Vendore</v>
      </c>
      <c r="D24" s="50"/>
      <c r="E24" s="442"/>
      <c r="F24" s="442"/>
    </row>
    <row r="25" spans="1:6" x14ac:dyDescent="0.2">
      <c r="A25" s="110" t="str">
        <f>'(B3) Struktura Funksionale'!A23</f>
        <v>Programi 3b</v>
      </c>
      <c r="B25" s="586">
        <f>'(B3) Struktura Funksionale'!B23</f>
        <v>0</v>
      </c>
      <c r="C25" s="110">
        <f>'(B3) Struktura Funksionale'!C23</f>
        <v>0</v>
      </c>
      <c r="D25" s="50"/>
      <c r="E25" s="442"/>
      <c r="F25" s="442"/>
    </row>
    <row r="26" spans="1:6" x14ac:dyDescent="0.2">
      <c r="A26" s="110" t="str">
        <f>'(B3) Struktura Funksionale'!A24</f>
        <v>Programi 3c</v>
      </c>
      <c r="B26" s="586">
        <f>'(B3) Struktura Funksionale'!B24</f>
        <v>0</v>
      </c>
      <c r="C26" s="110">
        <f>'(B3) Struktura Funksionale'!C24</f>
        <v>0</v>
      </c>
      <c r="D26" s="50"/>
      <c r="E26" s="442"/>
      <c r="F26" s="442"/>
    </row>
    <row r="27" spans="1:6" x14ac:dyDescent="0.2">
      <c r="A27" s="208"/>
      <c r="B27" s="255"/>
      <c r="C27" s="208"/>
      <c r="D27" s="67">
        <f>SUM(D24:D26)</f>
        <v>0</v>
      </c>
      <c r="E27" s="67">
        <f>SUM(E24:E26)</f>
        <v>0</v>
      </c>
      <c r="F27" s="67">
        <f>SUM(F24:F26)</f>
        <v>0</v>
      </c>
    </row>
    <row r="28" spans="1:6" ht="18.75" x14ac:dyDescent="0.2">
      <c r="A28" s="240" t="str">
        <f>'(B3) Struktura Funksionale'!A25</f>
        <v>Nënfunksioni 4</v>
      </c>
      <c r="B28" s="575" t="str">
        <f>'(B3) Struktura Funksionale'!B25</f>
        <v>032</v>
      </c>
      <c r="C28" s="296" t="str">
        <f>'(B3) Struktura Funksionale'!C25</f>
        <v>Shërbimet e mbrojtjes ndaj zjarrit</v>
      </c>
      <c r="D28" s="272"/>
      <c r="E28" s="272"/>
      <c r="F28" s="272"/>
    </row>
    <row r="29" spans="1:6" x14ac:dyDescent="0.2">
      <c r="A29" s="110" t="str">
        <f>'(B3) Struktura Funksionale'!A26</f>
        <v>Programi 4a</v>
      </c>
      <c r="B29" s="586" t="str">
        <f>'(B3) Struktura Funksionale'!B26</f>
        <v>03280</v>
      </c>
      <c r="C29" s="110" t="str">
        <f>'(B3) Struktura Funksionale'!C26</f>
        <v>Mbrotja nga zjarri dhe mbrojtja civile</v>
      </c>
      <c r="D29" s="50"/>
      <c r="E29" s="442"/>
      <c r="F29" s="442"/>
    </row>
    <row r="30" spans="1:6" x14ac:dyDescent="0.2">
      <c r="A30" s="110" t="str">
        <f>'(B3) Struktura Funksionale'!A27</f>
        <v>Programi 4b</v>
      </c>
      <c r="B30" s="586">
        <f>'(B3) Struktura Funksionale'!B27</f>
        <v>0</v>
      </c>
      <c r="C30" s="110">
        <f>'(B3) Struktura Funksionale'!C27</f>
        <v>0</v>
      </c>
      <c r="D30" s="50"/>
      <c r="E30" s="442"/>
      <c r="F30" s="442"/>
    </row>
    <row r="31" spans="1:6" x14ac:dyDescent="0.2">
      <c r="A31" s="110" t="str">
        <f>'(B3) Struktura Funksionale'!A28</f>
        <v>Programi 4c</v>
      </c>
      <c r="B31" s="586">
        <f>'(B3) Struktura Funksionale'!B28</f>
        <v>0</v>
      </c>
      <c r="C31" s="110">
        <f>'(B3) Struktura Funksionale'!C28</f>
        <v>0</v>
      </c>
      <c r="D31" s="50"/>
      <c r="E31" s="442"/>
      <c r="F31" s="442"/>
    </row>
    <row r="32" spans="1:6" x14ac:dyDescent="0.2">
      <c r="A32" s="208"/>
      <c r="B32" s="255"/>
      <c r="C32" s="208"/>
      <c r="D32" s="67">
        <f>SUM(D29:D31)</f>
        <v>0</v>
      </c>
      <c r="E32" s="67">
        <f>SUM(E29:E31)</f>
        <v>0</v>
      </c>
      <c r="F32" s="67">
        <f>SUM(F29:F31)</f>
        <v>0</v>
      </c>
    </row>
    <row r="33" spans="1:6" ht="18.75" x14ac:dyDescent="0.2">
      <c r="A33" s="240" t="str">
        <f>'(B3) Struktura Funksionale'!A29</f>
        <v>Nënfunksioni 5</v>
      </c>
      <c r="B33" s="575" t="str">
        <f>'(B3) Struktura Funksionale'!B29</f>
        <v>036</v>
      </c>
      <c r="C33" s="296" t="str">
        <f>'(B3) Struktura Funksionale'!C29</f>
        <v>Marrdheniet me komunitetin</v>
      </c>
      <c r="D33" s="272"/>
      <c r="E33" s="272"/>
      <c r="F33" s="272"/>
    </row>
    <row r="34" spans="1:6" x14ac:dyDescent="0.2">
      <c r="A34" s="110" t="str">
        <f>'(B3) Struktura Funksionale'!A30</f>
        <v>Programi 5a</v>
      </c>
      <c r="B34" s="586" t="str">
        <f>'(B3) Struktura Funksionale'!B30</f>
        <v>03600</v>
      </c>
      <c r="C34" s="110" t="str">
        <f>'(B3) Struktura Funksionale'!C30</f>
        <v>Marrdheniet me komunitetin</v>
      </c>
      <c r="D34" s="50"/>
      <c r="E34" s="442"/>
      <c r="F34" s="442"/>
    </row>
    <row r="35" spans="1:6" hidden="1" x14ac:dyDescent="0.2">
      <c r="A35" s="110" t="str">
        <f>'(B3) Struktura Funksionale'!A31</f>
        <v>Programi 5b</v>
      </c>
      <c r="B35" s="586" t="str">
        <f>'(B3) Struktura Funksionale'!B31</f>
        <v>03602</v>
      </c>
      <c r="C35" s="110" t="str">
        <f>'(B3) Struktura Funksionale'!C31</f>
        <v>Supervizionimi administrativ lokal</v>
      </c>
      <c r="D35" s="50"/>
      <c r="E35" s="442"/>
      <c r="F35" s="442"/>
    </row>
    <row r="36" spans="1:6" x14ac:dyDescent="0.2">
      <c r="A36" s="110" t="str">
        <f>'(B3) Struktura Funksionale'!A32</f>
        <v>Programi 5c</v>
      </c>
      <c r="B36" s="586">
        <f>'(B3) Struktura Funksionale'!C32</f>
        <v>0</v>
      </c>
      <c r="C36" s="110"/>
      <c r="D36" s="50"/>
      <c r="E36" s="442"/>
      <c r="F36" s="442"/>
    </row>
    <row r="37" spans="1:6" x14ac:dyDescent="0.2">
      <c r="A37" s="208"/>
      <c r="B37" s="255"/>
      <c r="C37" s="208"/>
      <c r="D37" s="67">
        <f>SUM(D34:D36)</f>
        <v>0</v>
      </c>
      <c r="E37" s="67">
        <f>SUM(E34:E36)</f>
        <v>0</v>
      </c>
      <c r="F37" s="67">
        <f>SUM(F34:F36)</f>
        <v>0</v>
      </c>
    </row>
    <row r="38" spans="1:6" ht="18.75" x14ac:dyDescent="0.2">
      <c r="A38" s="240" t="str">
        <f>'(B3) Struktura Funksionale'!A34</f>
        <v>Nënfunksioni 6</v>
      </c>
      <c r="B38" s="575" t="str">
        <f>'(B3) Struktura Funksionale'!B34</f>
        <v>041</v>
      </c>
      <c r="C38" s="296" t="str">
        <f>'(B3) Struktura Funksionale'!C34</f>
        <v>Çështjet e përgjithshme ekonomike, tregtare dhe të punës</v>
      </c>
      <c r="D38" s="272"/>
      <c r="E38" s="272"/>
      <c r="F38" s="272"/>
    </row>
    <row r="39" spans="1:6" hidden="1" x14ac:dyDescent="0.2">
      <c r="A39" s="110" t="str">
        <f>'(B3) Struktura Funksionale'!A35</f>
        <v>Programi 6a</v>
      </c>
      <c r="B39" s="586" t="str">
        <f>'(B3) Struktura Funksionale'!B35</f>
        <v>04110</v>
      </c>
      <c r="C39" s="110" t="str">
        <f>'(B3) Struktura Funksionale'!C35</f>
        <v xml:space="preserve">Çështjet e përgjithshme ekonomike dhe tregtare </v>
      </c>
      <c r="D39" s="50"/>
      <c r="E39" s="442"/>
      <c r="F39" s="442"/>
    </row>
    <row r="40" spans="1:6" x14ac:dyDescent="0.2">
      <c r="A40" s="110" t="str">
        <f>'(B3) Struktura Funksionale'!A36</f>
        <v>Programi 6b</v>
      </c>
      <c r="B40" s="586" t="str">
        <f>'(B3) Struktura Funksionale'!B36</f>
        <v>04130</v>
      </c>
      <c r="C40" s="110" t="str">
        <f>'(B3) Struktura Funksionale'!C36</f>
        <v>Mbështetje për zhvillimin ekonomik</v>
      </c>
      <c r="D40" s="50"/>
      <c r="E40" s="442"/>
      <c r="F40" s="442"/>
    </row>
    <row r="41" spans="1:6" hidden="1" x14ac:dyDescent="0.2">
      <c r="A41" s="110" t="str">
        <f>'(B3) Struktura Funksionale'!A37</f>
        <v>Programi 6c</v>
      </c>
      <c r="B41" s="586" t="str">
        <f>'(B3) Struktura Funksionale'!B37</f>
        <v>04131</v>
      </c>
      <c r="C41" s="110" t="str">
        <f>'(B3) Struktura Funksionale'!C37</f>
        <v>Promovimi i biznesit lokal</v>
      </c>
      <c r="D41" s="50"/>
      <c r="E41" s="442"/>
      <c r="F41" s="442"/>
    </row>
    <row r="42" spans="1:6" hidden="1" x14ac:dyDescent="0.2">
      <c r="A42" s="110" t="str">
        <f>'(B3) Struktura Funksionale'!A38</f>
        <v>Programi 6d</v>
      </c>
      <c r="B42" s="586" t="str">
        <f>'(B3) Struktura Funksionale'!B38</f>
        <v>04132</v>
      </c>
      <c r="C42" s="110" t="str">
        <f>'(B3) Struktura Funksionale'!C38</f>
        <v>Mbështetja e Zhvillimit rajonal</v>
      </c>
      <c r="D42" s="50"/>
      <c r="E42" s="442"/>
      <c r="F42" s="442"/>
    </row>
    <row r="43" spans="1:6" x14ac:dyDescent="0.2">
      <c r="A43" s="110" t="str">
        <f>'(B3) Struktura Funksionale'!A39</f>
        <v>Programi 6e</v>
      </c>
      <c r="B43" s="586" t="str">
        <f>'(B3) Struktura Funksionale'!B39</f>
        <v>04160</v>
      </c>
      <c r="C43" s="110" t="str">
        <f>'(B3) Struktura Funksionale'!C39</f>
        <v>Shërbimet e tregjeve, akreditimi dhe inspektimi</v>
      </c>
      <c r="D43" s="50"/>
      <c r="E43" s="442"/>
      <c r="F43" s="442"/>
    </row>
    <row r="44" spans="1:6" x14ac:dyDescent="0.2">
      <c r="A44" s="110" t="str">
        <f>'(B3) Struktura Funksionale'!A40</f>
        <v>Programi 6f</v>
      </c>
      <c r="B44" s="586">
        <f>'(B3) Struktura Funksionale'!B40</f>
        <v>0</v>
      </c>
      <c r="C44" s="110">
        <f>'(B3) Struktura Funksionale'!C40</f>
        <v>0</v>
      </c>
      <c r="D44" s="50"/>
      <c r="E44" s="442"/>
      <c r="F44" s="442"/>
    </row>
    <row r="45" spans="1:6" x14ac:dyDescent="0.2">
      <c r="A45" s="208"/>
      <c r="B45" s="255"/>
      <c r="C45" s="208"/>
      <c r="D45" s="67">
        <f>SUM(D39:F44)</f>
        <v>0</v>
      </c>
      <c r="E45" s="67">
        <f>SUM(E39:E43)</f>
        <v>0</v>
      </c>
      <c r="F45" s="67">
        <f>SUM(F39:F43)</f>
        <v>0</v>
      </c>
    </row>
    <row r="46" spans="1:6" ht="18.75" x14ac:dyDescent="0.2">
      <c r="A46" s="240" t="str">
        <f>'(B3) Struktura Funksionale'!A41</f>
        <v>Nënfunksioni 7</v>
      </c>
      <c r="B46" s="575" t="str">
        <f>'(B3) Struktura Funksionale'!B41</f>
        <v>042</v>
      </c>
      <c r="C46" s="296" t="str">
        <f>'(B3) Struktura Funksionale'!C41</f>
        <v>Bujqësia, pyjet, peshkimi dhe gjuetia</v>
      </c>
      <c r="D46" s="272"/>
      <c r="E46" s="272"/>
      <c r="F46" s="272"/>
    </row>
    <row r="47" spans="1:6" x14ac:dyDescent="0.2">
      <c r="A47" s="110" t="str">
        <f>'(B3) Struktura Funksionale'!A42</f>
        <v>Programi 7a</v>
      </c>
      <c r="B47" s="586" t="str">
        <f>'(B3) Struktura Funksionale'!B42</f>
        <v>04220</v>
      </c>
      <c r="C47" s="110" t="str">
        <f>'(B3) Struktura Funksionale'!C42</f>
        <v>Shërbimet bujqësore, inspektimi, ushqimi dhe mbrojtja e konsumatoreve</v>
      </c>
      <c r="D47" s="50"/>
      <c r="E47" s="442"/>
      <c r="F47" s="442"/>
    </row>
    <row r="48" spans="1:6" hidden="1" x14ac:dyDescent="0.2">
      <c r="A48" s="110" t="str">
        <f>'(B3) Struktura Funksionale'!A43</f>
        <v>Programi 7b</v>
      </c>
      <c r="B48" s="586" t="str">
        <f>'(B3) Struktura Funksionale'!B43</f>
        <v>04222</v>
      </c>
      <c r="C48" s="110" t="str">
        <f>'(B3) Struktura Funksionale'!C43</f>
        <v>Këshillimi Bujqësor</v>
      </c>
      <c r="D48" s="50"/>
      <c r="E48" s="442"/>
      <c r="F48" s="442"/>
    </row>
    <row r="49" spans="1:6" hidden="1" x14ac:dyDescent="0.2">
      <c r="A49" s="110" t="str">
        <f>'(B3) Struktura Funksionale'!A44</f>
        <v>Programi 7c</v>
      </c>
      <c r="B49" s="586" t="str">
        <f>'(B3) Struktura Funksionale'!B44</f>
        <v>04223</v>
      </c>
      <c r="C49" s="110" t="str">
        <f>'(B3) Struktura Funksionale'!C44</f>
        <v>Veterineria</v>
      </c>
      <c r="D49" s="50"/>
      <c r="E49" s="442"/>
      <c r="F49" s="442"/>
    </row>
    <row r="50" spans="1:6" x14ac:dyDescent="0.2">
      <c r="A50" s="110" t="str">
        <f>'(B3) Struktura Funksionale'!A45</f>
        <v>Programi 7d</v>
      </c>
      <c r="B50" s="586" t="str">
        <f>'(B3) Struktura Funksionale'!B45</f>
        <v>04240</v>
      </c>
      <c r="C50" s="110" t="str">
        <f>'(B3) Struktura Funksionale'!C45</f>
        <v>Menaxhimi i Infrastruktuës së ujitjes dhe kullimit</v>
      </c>
      <c r="D50" s="50"/>
      <c r="E50" s="442"/>
      <c r="F50" s="442"/>
    </row>
    <row r="51" spans="1:6" x14ac:dyDescent="0.2">
      <c r="A51" s="110" t="str">
        <f>'(B3) Struktura Funksionale'!A46</f>
        <v>Programi 7e</v>
      </c>
      <c r="B51" s="586" t="str">
        <f>'(B3) Struktura Funksionale'!B46</f>
        <v>04260</v>
      </c>
      <c r="C51" s="110" t="str">
        <f>'(B3) Struktura Funksionale'!C46</f>
        <v>Administrimi i pyjeve dhe kullotave</v>
      </c>
      <c r="D51" s="50"/>
      <c r="E51" s="442"/>
      <c r="F51" s="442"/>
    </row>
    <row r="52" spans="1:6" x14ac:dyDescent="0.2">
      <c r="A52" s="110" t="str">
        <f>'(B3) Struktura Funksionale'!A47</f>
        <v>Programi 7f</v>
      </c>
      <c r="B52" s="586">
        <f>'(B3) Struktura Funksionale'!B47</f>
        <v>0</v>
      </c>
      <c r="C52" s="110">
        <f>'(B3) Struktura Funksionale'!C47</f>
        <v>0</v>
      </c>
      <c r="D52" s="50"/>
      <c r="E52" s="442"/>
      <c r="F52" s="442"/>
    </row>
    <row r="53" spans="1:6" x14ac:dyDescent="0.2">
      <c r="A53" s="208"/>
      <c r="B53" s="255"/>
      <c r="C53" s="208"/>
      <c r="D53" s="67">
        <f>SUM(D47:D52)</f>
        <v>0</v>
      </c>
      <c r="E53" s="67">
        <f>SUM(E47:E52)</f>
        <v>0</v>
      </c>
      <c r="F53" s="67">
        <f>SUM(F47:F52)</f>
        <v>0</v>
      </c>
    </row>
    <row r="54" spans="1:6" ht="18.75" x14ac:dyDescent="0.2">
      <c r="A54" s="240" t="str">
        <f>'(B3) Struktura Funksionale'!A48</f>
        <v>Nënfunksioni 8</v>
      </c>
      <c r="B54" s="575" t="str">
        <f>'(B3) Struktura Funksionale'!B48</f>
        <v>045</v>
      </c>
      <c r="C54" s="296" t="str">
        <f>'(B3) Struktura Funksionale'!C48</f>
        <v>Transporti</v>
      </c>
      <c r="D54" s="272"/>
      <c r="E54" s="272"/>
      <c r="F54" s="272"/>
    </row>
    <row r="55" spans="1:6" x14ac:dyDescent="0.2">
      <c r="A55" s="110" t="str">
        <f>'(B3) Struktura Funksionale'!A49</f>
        <v>Programi 8a</v>
      </c>
      <c r="B55" s="586" t="str">
        <f>'(B3) Struktura Funksionale'!B49</f>
        <v>04520</v>
      </c>
      <c r="C55" s="110" t="str">
        <f>'(B3) Struktura Funksionale'!C49</f>
        <v>Rrjeti rrugor rural</v>
      </c>
      <c r="D55" s="50"/>
      <c r="E55" s="442"/>
      <c r="F55" s="442"/>
    </row>
    <row r="56" spans="1:6" hidden="1" x14ac:dyDescent="0.2">
      <c r="A56" s="110" t="str">
        <f>'(B3) Struktura Funksionale'!A50</f>
        <v>Programi 8b</v>
      </c>
      <c r="B56" s="586" t="str">
        <f>'(B3) Struktura Funksionale'!B50</f>
        <v>04530</v>
      </c>
      <c r="C56" s="110" t="str">
        <f>'(B3) Struktura Funksionale'!C50</f>
        <v>Studimi i rrugëve</v>
      </c>
      <c r="D56" s="50"/>
      <c r="E56" s="442"/>
      <c r="F56" s="442"/>
    </row>
    <row r="57" spans="1:6" x14ac:dyDescent="0.2">
      <c r="A57" s="110" t="str">
        <f>'(B3) Struktura Funksionale'!A51</f>
        <v>Programi 8c</v>
      </c>
      <c r="B57" s="586" t="str">
        <f>'(B3) Struktura Funksionale'!B51</f>
        <v>04570</v>
      </c>
      <c r="C57" s="110" t="str">
        <f>'(B3) Struktura Funksionale'!C51</f>
        <v>Transporti publik</v>
      </c>
      <c r="D57" s="50"/>
      <c r="E57" s="442"/>
      <c r="F57" s="442"/>
    </row>
    <row r="58" spans="1:6" x14ac:dyDescent="0.2">
      <c r="A58" s="110" t="str">
        <f>'(B3) Struktura Funksionale'!A52</f>
        <v>Programi 8d</v>
      </c>
      <c r="B58" s="586">
        <f>'(B3) Struktura Funksionale'!B52</f>
        <v>0</v>
      </c>
      <c r="C58" s="110">
        <f>'(B3) Struktura Funksionale'!C52</f>
        <v>0</v>
      </c>
      <c r="D58" s="50"/>
      <c r="E58" s="442"/>
      <c r="F58" s="442"/>
    </row>
    <row r="59" spans="1:6" x14ac:dyDescent="0.2">
      <c r="A59" s="208"/>
      <c r="B59" s="255"/>
      <c r="C59" s="208"/>
      <c r="D59" s="67">
        <f>SUM(D55:D58)</f>
        <v>0</v>
      </c>
      <c r="E59" s="67">
        <f>SUM(E55:E58)</f>
        <v>0</v>
      </c>
      <c r="F59" s="67">
        <f>SUM(F55:F58)</f>
        <v>0</v>
      </c>
    </row>
    <row r="60" spans="1:6" ht="18.75" x14ac:dyDescent="0.2">
      <c r="A60" s="240" t="str">
        <f>'(B3) Struktura Funksionale'!A53</f>
        <v>Nënfunksioni 9</v>
      </c>
      <c r="B60" s="575" t="str">
        <f>'(B3) Struktura Funksionale'!B53</f>
        <v>047</v>
      </c>
      <c r="C60" s="296" t="str">
        <f>'(B3) Struktura Funksionale'!C53</f>
        <v>Industri të tjera</v>
      </c>
      <c r="D60" s="272"/>
      <c r="E60" s="272"/>
      <c r="F60" s="272"/>
    </row>
    <row r="61" spans="1:6" x14ac:dyDescent="0.2">
      <c r="A61" s="110" t="str">
        <f>'(B3) Struktura Funksionale'!A54</f>
        <v>Programi 9a</v>
      </c>
      <c r="B61" s="586" t="str">
        <f>'(B3) Struktura Funksionale'!B54</f>
        <v>04740</v>
      </c>
      <c r="C61" s="110" t="str">
        <f>'(B3) Struktura Funksionale'!C54</f>
        <v>Projekte Zhvillimi</v>
      </c>
      <c r="D61" s="50"/>
      <c r="E61" s="442"/>
      <c r="F61" s="442"/>
    </row>
    <row r="62" spans="1:6" x14ac:dyDescent="0.2">
      <c r="A62" s="110" t="str">
        <f>'(B3) Struktura Funksionale'!A55</f>
        <v>Programi 9b</v>
      </c>
      <c r="B62" s="586" t="str">
        <f>'(B3) Struktura Funksionale'!B55</f>
        <v>04760</v>
      </c>
      <c r="C62" s="110" t="str">
        <f>'(B3) Struktura Funksionale'!C55</f>
        <v>Zhvillimi i turizmit</v>
      </c>
      <c r="D62" s="50"/>
      <c r="E62" s="442"/>
      <c r="F62" s="442"/>
    </row>
    <row r="63" spans="1:6" hidden="1" x14ac:dyDescent="0.2">
      <c r="A63" s="110" t="str">
        <f>'(B3) Struktura Funksionale'!A56</f>
        <v>Programi 9c</v>
      </c>
      <c r="B63" s="586" t="str">
        <f>'(B3) Struktura Funksionale'!B56</f>
        <v>04742</v>
      </c>
      <c r="C63" s="110" t="str">
        <f>'(B3) Struktura Funksionale'!C56</f>
        <v>Rekreacioni</v>
      </c>
      <c r="D63" s="50"/>
      <c r="E63" s="442"/>
      <c r="F63" s="442"/>
    </row>
    <row r="64" spans="1:6" x14ac:dyDescent="0.2">
      <c r="A64" s="110" t="str">
        <f>'(B3) Struktura Funksionale'!A57</f>
        <v>Programi 9d</v>
      </c>
      <c r="B64" s="586">
        <f>'(B3) Struktura Funksionale'!B57</f>
        <v>0</v>
      </c>
      <c r="C64" s="110">
        <f>'(B3) Struktura Funksionale'!C57</f>
        <v>0</v>
      </c>
      <c r="D64" s="50"/>
      <c r="E64" s="442"/>
      <c r="F64" s="442"/>
    </row>
    <row r="65" spans="1:6" x14ac:dyDescent="0.2">
      <c r="A65" s="208"/>
      <c r="B65" s="255"/>
      <c r="C65" s="208"/>
      <c r="D65" s="67">
        <f>SUM(D61:D64)</f>
        <v>0</v>
      </c>
      <c r="E65" s="67">
        <f>SUM(E61:E64)</f>
        <v>0</v>
      </c>
      <c r="F65" s="67">
        <f>SUM(F61:F64)</f>
        <v>0</v>
      </c>
    </row>
    <row r="66" spans="1:6" ht="19.5" customHeight="1" x14ac:dyDescent="0.2">
      <c r="A66" s="240" t="str">
        <f>'(B3) Struktura Funksionale'!A59</f>
        <v>Nënfunksioni 10</v>
      </c>
      <c r="B66" s="575" t="str">
        <f>'(B3) Struktura Funksionale'!B59</f>
        <v>062</v>
      </c>
      <c r="C66" s="296" t="str">
        <f>'(B3) Struktura Funksionale'!C59</f>
        <v>Menaxhimi i mbetjeve</v>
      </c>
      <c r="D66" s="272"/>
      <c r="E66" s="272"/>
      <c r="F66" s="272"/>
    </row>
    <row r="67" spans="1:6" x14ac:dyDescent="0.2">
      <c r="A67" s="110" t="str">
        <f>'(B3) Struktura Funksionale'!A60</f>
        <v>Programi 10a</v>
      </c>
      <c r="B67" s="586" t="str">
        <f>'(B3) Struktura Funksionale'!B60</f>
        <v>06260</v>
      </c>
      <c r="C67" s="110" t="str">
        <f>'(B3) Struktura Funksionale'!C60</f>
        <v>Menaxhimi i mbetjeve</v>
      </c>
      <c r="D67" s="50"/>
      <c r="E67" s="442"/>
      <c r="F67" s="442"/>
    </row>
    <row r="68" spans="1:6" x14ac:dyDescent="0.2">
      <c r="A68" s="110" t="str">
        <f>'(B3) Struktura Funksionale'!A61</f>
        <v>Programi 10b</v>
      </c>
      <c r="B68" s="586">
        <f>'(B3) Struktura Funksionale'!B61</f>
        <v>0</v>
      </c>
      <c r="C68" s="110">
        <f>'(B3) Struktura Funksionale'!C61</f>
        <v>0</v>
      </c>
      <c r="D68" s="50"/>
      <c r="E68" s="442"/>
      <c r="F68" s="442"/>
    </row>
    <row r="69" spans="1:6" x14ac:dyDescent="0.2">
      <c r="A69" s="110" t="str">
        <f>'(B3) Struktura Funksionale'!A62</f>
        <v>Programi 10c</v>
      </c>
      <c r="B69" s="586">
        <f>'(B3) Struktura Funksionale'!B62</f>
        <v>0</v>
      </c>
      <c r="C69" s="110">
        <f>'(B3) Struktura Funksionale'!C62</f>
        <v>0</v>
      </c>
      <c r="D69" s="50"/>
      <c r="E69" s="442"/>
      <c r="F69" s="442"/>
    </row>
    <row r="70" spans="1:6" x14ac:dyDescent="0.2">
      <c r="A70" s="208"/>
      <c r="B70" s="255"/>
      <c r="C70" s="208"/>
      <c r="D70" s="67">
        <f>SUM(D67:D69)</f>
        <v>0</v>
      </c>
      <c r="E70" s="67">
        <f>SUM(E67:E69)</f>
        <v>0</v>
      </c>
      <c r="F70" s="67">
        <f>SUM(F67:F69)</f>
        <v>0</v>
      </c>
    </row>
    <row r="71" spans="1:6" ht="21.75" customHeight="1" x14ac:dyDescent="0.2">
      <c r="A71" s="240" t="str">
        <f>'(B3) Struktura Funksionale'!A63</f>
        <v>Nënfunksioni 11</v>
      </c>
      <c r="B71" s="575" t="str">
        <f>'(B3) Struktura Funksionale'!B63</f>
        <v>052</v>
      </c>
      <c r="C71" s="296" t="str">
        <f>'(B3) Struktura Funksionale'!C63</f>
        <v>Menaxhimi i Ujërave të zeza</v>
      </c>
      <c r="D71" s="272"/>
      <c r="E71" s="272"/>
      <c r="F71" s="272"/>
    </row>
    <row r="72" spans="1:6" x14ac:dyDescent="0.2">
      <c r="A72" s="110" t="str">
        <f>'(B3) Struktura Funksionale'!A64</f>
        <v>Programi 11a</v>
      </c>
      <c r="B72" s="586" t="str">
        <f>'(B3) Struktura Funksionale'!B64</f>
        <v>05200</v>
      </c>
      <c r="C72" s="110" t="str">
        <f>'(B3) Struktura Funksionale'!C64</f>
        <v>Menaxhimi i ujrave të zeza dhe kanalizimeve</v>
      </c>
      <c r="D72" s="50"/>
      <c r="E72" s="442"/>
      <c r="F72" s="442"/>
    </row>
    <row r="73" spans="1:6" x14ac:dyDescent="0.2">
      <c r="A73" s="110" t="str">
        <f>'(B3) Struktura Funksionale'!A65</f>
        <v>Programi 11b</v>
      </c>
      <c r="B73" s="586">
        <f>'(B3) Struktura Funksionale'!B65</f>
        <v>0</v>
      </c>
      <c r="C73" s="110">
        <f>'(B3) Struktura Funksionale'!C65</f>
        <v>0</v>
      </c>
      <c r="D73" s="50"/>
      <c r="E73" s="442"/>
      <c r="F73" s="442"/>
    </row>
    <row r="74" spans="1:6" x14ac:dyDescent="0.2">
      <c r="A74" s="110" t="str">
        <f>'(B3) Struktura Funksionale'!A66</f>
        <v>Programi 11c</v>
      </c>
      <c r="B74" s="586">
        <f>'(B3) Struktura Funksionale'!B66</f>
        <v>0</v>
      </c>
      <c r="C74" s="110">
        <f>'(B3) Struktura Funksionale'!C66</f>
        <v>0</v>
      </c>
      <c r="D74" s="50"/>
      <c r="E74" s="442"/>
      <c r="F74" s="442"/>
    </row>
    <row r="75" spans="1:6" x14ac:dyDescent="0.2">
      <c r="A75" s="208"/>
      <c r="B75" s="255"/>
      <c r="C75" s="208"/>
      <c r="D75" s="67">
        <f>SUM(D72:D74)</f>
        <v>0</v>
      </c>
      <c r="E75" s="67">
        <f>SUM(E72:E74)</f>
        <v>0</v>
      </c>
      <c r="F75" s="67">
        <f>SUM(F72:F74)</f>
        <v>0</v>
      </c>
    </row>
    <row r="76" spans="1:6" ht="21" customHeight="1" x14ac:dyDescent="0.2">
      <c r="A76" s="240" t="str">
        <f>'(B3) Struktura Funksionale'!A67</f>
        <v>Nënfunksioni 12</v>
      </c>
      <c r="B76" s="575" t="str">
        <f>'(B3) Struktura Funksionale'!B67</f>
        <v>053</v>
      </c>
      <c r="C76" s="296" t="str">
        <f>'(B3) Struktura Funksionale'!C67</f>
        <v>Reduktimi i ndotjes</v>
      </c>
      <c r="D76" s="272"/>
      <c r="E76" s="272"/>
      <c r="F76" s="272"/>
    </row>
    <row r="77" spans="1:6" x14ac:dyDescent="0.2">
      <c r="A77" s="110" t="str">
        <f>'(B3) Struktura Funksionale'!A68</f>
        <v>Programi 12a</v>
      </c>
      <c r="B77" s="586" t="str">
        <f>'(B3) Struktura Funksionale'!B68</f>
        <v>05320</v>
      </c>
      <c r="C77" s="110" t="str">
        <f>'(B3) Struktura Funksionale'!C68</f>
        <v>Programet e mbrojtjes së mjedisit</v>
      </c>
      <c r="D77" s="50"/>
      <c r="E77" s="442"/>
      <c r="F77" s="442"/>
    </row>
    <row r="78" spans="1:6" x14ac:dyDescent="0.2">
      <c r="A78" s="110" t="str">
        <f>'(B3) Struktura Funksionale'!A69</f>
        <v>Programi 12b</v>
      </c>
      <c r="B78" s="586">
        <f>'(B3) Struktura Funksionale'!B69</f>
        <v>0</v>
      </c>
      <c r="C78" s="110">
        <f>'(B3) Struktura Funksionale'!C69</f>
        <v>0</v>
      </c>
      <c r="D78" s="50"/>
      <c r="E78" s="442"/>
      <c r="F78" s="442"/>
    </row>
    <row r="79" spans="1:6" x14ac:dyDescent="0.2">
      <c r="A79" s="110" t="str">
        <f>'(B3) Struktura Funksionale'!A70</f>
        <v>Programi 12c</v>
      </c>
      <c r="B79" s="586">
        <f>'(B3) Struktura Funksionale'!B70</f>
        <v>0</v>
      </c>
      <c r="C79" s="110">
        <f>'(B3) Struktura Funksionale'!C70</f>
        <v>0</v>
      </c>
      <c r="D79" s="50"/>
      <c r="E79" s="442"/>
      <c r="F79" s="442"/>
    </row>
    <row r="80" spans="1:6" x14ac:dyDescent="0.2">
      <c r="A80" s="208"/>
      <c r="B80" s="255"/>
      <c r="C80" s="208"/>
      <c r="D80" s="67">
        <f>SUM(D77:D79)</f>
        <v>0</v>
      </c>
      <c r="E80" s="67">
        <f>SUM(E77:E79)</f>
        <v>0</v>
      </c>
      <c r="F80" s="67">
        <f>SUM(F77:F79)</f>
        <v>0</v>
      </c>
    </row>
    <row r="81" spans="1:6" ht="21.75" customHeight="1" x14ac:dyDescent="0.2">
      <c r="A81" s="240" t="str">
        <f>'(B3) Struktura Funksionale'!A71</f>
        <v>Nënfunksioni 13</v>
      </c>
      <c r="B81" s="575" t="str">
        <f>'(B3) Struktura Funksionale'!B71</f>
        <v>056</v>
      </c>
      <c r="C81" s="296" t="str">
        <f>'(B3) Struktura Funksionale'!C71</f>
        <v>Mbrojtja e mjedisit</v>
      </c>
      <c r="D81" s="272"/>
      <c r="E81" s="272"/>
      <c r="F81" s="272"/>
    </row>
    <row r="82" spans="1:6" x14ac:dyDescent="0.2">
      <c r="A82" s="110" t="str">
        <f>'(B3) Struktura Funksionale'!A72</f>
        <v>Programi 13a</v>
      </c>
      <c r="B82" s="586" t="str">
        <f>'(B3) Struktura Funksionale'!B72</f>
        <v>05630</v>
      </c>
      <c r="C82" s="110" t="str">
        <f>'(B3) Struktura Funksionale'!C72</f>
        <v>Ndërgjegjësimi mjedisor</v>
      </c>
      <c r="D82" s="50"/>
      <c r="E82" s="442"/>
      <c r="F82" s="442"/>
    </row>
    <row r="83" spans="1:6" hidden="1" x14ac:dyDescent="0.2">
      <c r="A83" s="110" t="str">
        <f>'(B3) Struktura Funksionale'!A73</f>
        <v>Programi 13b</v>
      </c>
      <c r="B83" s="586" t="str">
        <f>'(B3) Struktura Funksionale'!B73</f>
        <v>05640</v>
      </c>
      <c r="C83" s="110" t="str">
        <f>'(B3) Struktura Funksionale'!C73</f>
        <v>Administrimi i resurseve ujore</v>
      </c>
      <c r="D83" s="50"/>
      <c r="E83" s="442"/>
      <c r="F83" s="442"/>
    </row>
    <row r="84" spans="1:6" x14ac:dyDescent="0.2">
      <c r="A84" s="110" t="str">
        <f>'(B3) Struktura Funksionale'!A74</f>
        <v>Programi 13c</v>
      </c>
      <c r="B84" s="586">
        <f>'(B3) Struktura Funksionale'!B74</f>
        <v>0</v>
      </c>
      <c r="C84" s="110">
        <f>'(B3) Struktura Funksionale'!C74</f>
        <v>0</v>
      </c>
      <c r="D84" s="50"/>
      <c r="E84" s="442"/>
      <c r="F84" s="442"/>
    </row>
    <row r="85" spans="1:6" x14ac:dyDescent="0.2">
      <c r="A85" s="208"/>
      <c r="B85" s="255"/>
      <c r="C85" s="208"/>
      <c r="D85" s="67">
        <f>SUM(D82:D84)</f>
        <v>0</v>
      </c>
      <c r="E85" s="67">
        <f>SUM(E82:E84)</f>
        <v>0</v>
      </c>
      <c r="F85" s="67">
        <f>SUM(F82:F84)</f>
        <v>0</v>
      </c>
    </row>
    <row r="86" spans="1:6" ht="22.5" customHeight="1" x14ac:dyDescent="0.2">
      <c r="A86" s="240" t="str">
        <f>'(B3) Struktura Funksionale'!A76</f>
        <v>Nënfunksioni 14</v>
      </c>
      <c r="B86" s="575" t="str">
        <f>'(B3) Struktura Funksionale'!B76</f>
        <v>061</v>
      </c>
      <c r="C86" s="296" t="str">
        <f>'(B3) Struktura Funksionale'!C76</f>
        <v>Urbanistika</v>
      </c>
      <c r="D86" s="272"/>
      <c r="E86" s="272"/>
      <c r="F86" s="272"/>
    </row>
    <row r="87" spans="1:6" x14ac:dyDescent="0.2">
      <c r="A87" s="110" t="str">
        <f>'(B3) Struktura Funksionale'!A77</f>
        <v>Programi 14a</v>
      </c>
      <c r="B87" s="586" t="str">
        <f>'(B3) Struktura Funksionale'!B77</f>
        <v>06140</v>
      </c>
      <c r="C87" s="110" t="str">
        <f>'(B3) Struktura Funksionale'!C77</f>
        <v>Planifikimi Urban Vendor</v>
      </c>
      <c r="D87" s="50"/>
      <c r="E87" s="442"/>
      <c r="F87" s="442"/>
    </row>
    <row r="88" spans="1:6" hidden="1" x14ac:dyDescent="0.2">
      <c r="A88" s="110" t="str">
        <f>'(B3) Struktura Funksionale'!A78</f>
        <v>Programi 14b</v>
      </c>
      <c r="B88" s="586" t="str">
        <f>'(B3) Struktura Funksionale'!B78</f>
        <v>06180</v>
      </c>
      <c r="C88" s="110" t="str">
        <f>'(B3) Struktura Funksionale'!C78</f>
        <v>Planifikimi urban dhe strehimi</v>
      </c>
      <c r="D88" s="50"/>
      <c r="E88" s="442"/>
      <c r="F88" s="442"/>
    </row>
    <row r="89" spans="1:6" x14ac:dyDescent="0.2">
      <c r="A89" s="110" t="str">
        <f>'(B3) Struktura Funksionale'!A79</f>
        <v>Programi 14c</v>
      </c>
      <c r="B89" s="586">
        <f>'(B3) Struktura Funksionale'!B79</f>
        <v>0</v>
      </c>
      <c r="C89" s="110">
        <f>'(B3) Struktura Funksionale'!C79</f>
        <v>0</v>
      </c>
      <c r="D89" s="50"/>
      <c r="E89" s="442"/>
      <c r="F89" s="442"/>
    </row>
    <row r="90" spans="1:6" x14ac:dyDescent="0.2">
      <c r="A90" s="208"/>
      <c r="B90" s="255"/>
      <c r="C90" s="208"/>
      <c r="D90" s="67">
        <f>SUM(D87:D89)</f>
        <v>0</v>
      </c>
      <c r="E90" s="67">
        <f>SUM(E87:E89)</f>
        <v>0</v>
      </c>
      <c r="F90" s="67">
        <f>SUM(F87:F89)</f>
        <v>0</v>
      </c>
    </row>
    <row r="91" spans="1:6" ht="22.5" customHeight="1" x14ac:dyDescent="0.2">
      <c r="A91" s="240" t="str">
        <f>'(B3) Struktura Funksionale'!A80</f>
        <v>Nënfunksioni 15</v>
      </c>
      <c r="B91" s="575" t="str">
        <f>'(B3) Struktura Funksionale'!B80</f>
        <v>062</v>
      </c>
      <c r="C91" s="296" t="str">
        <f>'(B3) Struktura Funksionale'!C80</f>
        <v>Zhvillimi i komunitetit</v>
      </c>
      <c r="D91" s="272"/>
      <c r="E91" s="272"/>
      <c r="F91" s="272"/>
    </row>
    <row r="92" spans="1:6" x14ac:dyDescent="0.2">
      <c r="A92" s="110" t="str">
        <f>'(B3) Struktura Funksionale'!A81</f>
        <v>Programi 15a</v>
      </c>
      <c r="B92" s="586" t="str">
        <f>'(B3) Struktura Funksionale'!B81</f>
        <v>06210</v>
      </c>
      <c r="C92" s="110" t="str">
        <f>'(B3) Struktura Funksionale'!C81</f>
        <v>Programet e zhvillimit</v>
      </c>
      <c r="D92" s="50"/>
      <c r="E92" s="442"/>
      <c r="F92" s="442"/>
    </row>
    <row r="93" spans="1:6" x14ac:dyDescent="0.2">
      <c r="A93" s="110" t="str">
        <f>'(B3) Struktura Funksionale'!A82</f>
        <v>Programi 15b</v>
      </c>
      <c r="B93" s="586" t="str">
        <f>'(B3) Struktura Funksionale'!B82</f>
        <v>06260</v>
      </c>
      <c r="C93" s="110" t="str">
        <f>'(B3) Struktura Funksionale'!C82</f>
        <v>Sherbime publike vendore</v>
      </c>
      <c r="D93" s="50"/>
      <c r="E93" s="442"/>
      <c r="F93" s="442"/>
    </row>
    <row r="94" spans="1:6" x14ac:dyDescent="0.2">
      <c r="A94" s="110" t="str">
        <f>'(B3) Struktura Funksionale'!A83</f>
        <v>Programi 15c</v>
      </c>
      <c r="B94" s="586">
        <f>'(B3) Struktura Funksionale'!B83</f>
        <v>0</v>
      </c>
      <c r="C94" s="110">
        <f>'(B3) Struktura Funksionale'!C83</f>
        <v>0</v>
      </c>
      <c r="D94" s="50"/>
      <c r="E94" s="442"/>
      <c r="F94" s="442"/>
    </row>
    <row r="95" spans="1:6" x14ac:dyDescent="0.2">
      <c r="A95" s="208"/>
      <c r="B95" s="255"/>
      <c r="C95" s="208"/>
      <c r="D95" s="67">
        <f>SUM(D92:D94)</f>
        <v>0</v>
      </c>
      <c r="E95" s="67">
        <f>SUM(E92:E94)</f>
        <v>0</v>
      </c>
      <c r="F95" s="67">
        <f>SUM(F92:F94)</f>
        <v>0</v>
      </c>
    </row>
    <row r="96" spans="1:6" ht="22.5" customHeight="1" x14ac:dyDescent="0.2">
      <c r="A96" s="240" t="str">
        <f>'(B3) Struktura Funksionale'!A84</f>
        <v>Nënfunksioni 16</v>
      </c>
      <c r="B96" s="575" t="str">
        <f>'(B3) Struktura Funksionale'!B84</f>
        <v>063</v>
      </c>
      <c r="C96" s="296" t="str">
        <f>'(B3) Struktura Funksionale'!C84</f>
        <v>Furnizimi me ujë</v>
      </c>
      <c r="D96" s="272"/>
      <c r="E96" s="272"/>
      <c r="F96" s="272"/>
    </row>
    <row r="97" spans="1:6" x14ac:dyDescent="0.2">
      <c r="A97" s="110" t="str">
        <f>'(B3) Struktura Funksionale'!A85</f>
        <v>Programi 16a</v>
      </c>
      <c r="B97" s="586" t="str">
        <f>'(B3) Struktura Funksionale'!B85</f>
        <v>06330</v>
      </c>
      <c r="C97" s="110" t="str">
        <f>'(B3) Struktura Funksionale'!C85</f>
        <v xml:space="preserve">Furnizimi me ujë </v>
      </c>
      <c r="D97" s="50"/>
      <c r="E97" s="442"/>
      <c r="F97" s="442"/>
    </row>
    <row r="98" spans="1:6" x14ac:dyDescent="0.2">
      <c r="A98" s="110" t="str">
        <f>'(B3) Struktura Funksionale'!A86</f>
        <v>Programi 16b</v>
      </c>
      <c r="B98" s="586">
        <f>'(B3) Struktura Funksionale'!B86</f>
        <v>0</v>
      </c>
      <c r="C98" s="110">
        <f>'(B3) Struktura Funksionale'!C86</f>
        <v>0</v>
      </c>
      <c r="D98" s="50"/>
      <c r="E98" s="442"/>
      <c r="F98" s="442"/>
    </row>
    <row r="99" spans="1:6" x14ac:dyDescent="0.2">
      <c r="A99" s="110" t="str">
        <f>'(B3) Struktura Funksionale'!A87</f>
        <v>Programi 16c</v>
      </c>
      <c r="B99" s="586">
        <f>'(B3) Struktura Funksionale'!B87</f>
        <v>0</v>
      </c>
      <c r="C99" s="110">
        <f>'(B3) Struktura Funksionale'!C87</f>
        <v>0</v>
      </c>
      <c r="D99" s="50"/>
      <c r="E99" s="442"/>
      <c r="F99" s="442"/>
    </row>
    <row r="100" spans="1:6" x14ac:dyDescent="0.2">
      <c r="A100" s="208"/>
      <c r="B100" s="255"/>
      <c r="C100" s="208"/>
      <c r="D100" s="67">
        <f>SUM(D97:D99)</f>
        <v>0</v>
      </c>
      <c r="E100" s="67">
        <f>SUM(E97:E99)</f>
        <v>0</v>
      </c>
      <c r="F100" s="67">
        <f>SUM(F97:F99)</f>
        <v>0</v>
      </c>
    </row>
    <row r="101" spans="1:6" ht="22.5" customHeight="1" x14ac:dyDescent="0.2">
      <c r="A101" s="240" t="str">
        <f>'(B3) Struktura Funksionale'!A88</f>
        <v>Nënfunksioni 17</v>
      </c>
      <c r="B101" s="575" t="str">
        <f>'(B3) Struktura Funksionale'!B88</f>
        <v>064</v>
      </c>
      <c r="C101" s="296" t="str">
        <f>'(B3) Struktura Funksionale'!C88</f>
        <v>Ndriçimi i rrugëve</v>
      </c>
      <c r="D101" s="272"/>
      <c r="E101" s="272"/>
      <c r="F101" s="272"/>
    </row>
    <row r="102" spans="1:6" x14ac:dyDescent="0.2">
      <c r="A102" s="110" t="str">
        <f>'(B3) Struktura Funksionale'!A89</f>
        <v>Programi 17a</v>
      </c>
      <c r="B102" s="586" t="str">
        <f>'(B3) Struktura Funksionale'!B89</f>
        <v>06440</v>
      </c>
      <c r="C102" s="110" t="str">
        <f>'(B3) Struktura Funksionale'!C89</f>
        <v>Ndriçim rrugësh</v>
      </c>
      <c r="D102" s="50"/>
      <c r="E102" s="442"/>
      <c r="F102" s="442"/>
    </row>
    <row r="103" spans="1:6" x14ac:dyDescent="0.2">
      <c r="A103" s="110" t="str">
        <f>'(B3) Struktura Funksionale'!A90</f>
        <v>Programi 17b</v>
      </c>
      <c r="B103" s="586">
        <f>'(B3) Struktura Funksionale'!B90</f>
        <v>0</v>
      </c>
      <c r="C103" s="110">
        <f>'(B3) Struktura Funksionale'!C90</f>
        <v>0</v>
      </c>
      <c r="D103" s="50"/>
      <c r="E103" s="442"/>
      <c r="F103" s="442"/>
    </row>
    <row r="104" spans="1:6" x14ac:dyDescent="0.2">
      <c r="A104" s="110" t="str">
        <f>'(B3) Struktura Funksionale'!A91</f>
        <v>Programi 17c</v>
      </c>
      <c r="B104" s="586">
        <f>'(B3) Struktura Funksionale'!B91</f>
        <v>0</v>
      </c>
      <c r="C104" s="110">
        <f>'(B3) Struktura Funksionale'!C91</f>
        <v>0</v>
      </c>
      <c r="D104" s="50"/>
      <c r="E104" s="442"/>
      <c r="F104" s="442"/>
    </row>
    <row r="105" spans="1:6" x14ac:dyDescent="0.2">
      <c r="A105" s="208"/>
      <c r="B105" s="255"/>
      <c r="C105" s="208"/>
      <c r="D105" s="67">
        <f>SUM(D102:D104)</f>
        <v>0</v>
      </c>
      <c r="E105" s="67">
        <f>SUM(E102:E104)</f>
        <v>0</v>
      </c>
      <c r="F105" s="67">
        <f>SUM(F102:F104)</f>
        <v>0</v>
      </c>
    </row>
    <row r="106" spans="1:6" ht="22.5" customHeight="1" x14ac:dyDescent="0.2">
      <c r="A106" s="240" t="str">
        <f>'(B3) Struktura Funksionale'!A93</f>
        <v>Nënfunksioni 18</v>
      </c>
      <c r="B106" s="575" t="str">
        <f>'(B3) Struktura Funksionale'!B93</f>
        <v>072</v>
      </c>
      <c r="C106" s="296" t="str">
        <f>'(B3) Struktura Funksionale'!C93</f>
        <v>Shërbimet e kujdesit parësor</v>
      </c>
      <c r="D106" s="272"/>
      <c r="E106" s="272"/>
      <c r="F106" s="272"/>
    </row>
    <row r="107" spans="1:6" x14ac:dyDescent="0.2">
      <c r="A107" s="110" t="str">
        <f>'(B3) Struktura Funksionale'!A94</f>
        <v>Programi 18a</v>
      </c>
      <c r="B107" s="586" t="str">
        <f>'(B3) Struktura Funksionale'!B94</f>
        <v>07220</v>
      </c>
      <c r="C107" s="110" t="str">
        <f>'(B3) Struktura Funksionale'!C94</f>
        <v>Shërbimet e kujdesit parësor</v>
      </c>
      <c r="D107" s="50"/>
      <c r="E107" s="442"/>
      <c r="F107" s="442"/>
    </row>
    <row r="108" spans="1:6" x14ac:dyDescent="0.2">
      <c r="A108" s="110" t="str">
        <f>'(B3) Struktura Funksionale'!A95</f>
        <v>Programi 18b</v>
      </c>
      <c r="B108" s="586">
        <f>'(B3) Struktura Funksionale'!B95</f>
        <v>0</v>
      </c>
      <c r="C108" s="110">
        <f>'(B3) Struktura Funksionale'!C95</f>
        <v>0</v>
      </c>
      <c r="D108" s="50"/>
      <c r="E108" s="442"/>
      <c r="F108" s="442"/>
    </row>
    <row r="109" spans="1:6" x14ac:dyDescent="0.2">
      <c r="A109" s="110" t="str">
        <f>'(B3) Struktura Funksionale'!A96</f>
        <v>Programi 18c</v>
      </c>
      <c r="B109" s="586">
        <f>'(B3) Struktura Funksionale'!B96</f>
        <v>0</v>
      </c>
      <c r="C109" s="110">
        <f>'(B3) Struktura Funksionale'!C96</f>
        <v>0</v>
      </c>
      <c r="D109" s="50"/>
      <c r="E109" s="442"/>
      <c r="F109" s="442"/>
    </row>
    <row r="110" spans="1:6" x14ac:dyDescent="0.2">
      <c r="A110" s="208"/>
      <c r="B110" s="255"/>
      <c r="C110" s="208"/>
      <c r="D110" s="67">
        <f>SUM(D107:D109)</f>
        <v>0</v>
      </c>
      <c r="E110" s="67">
        <f>SUM(E107:E109)</f>
        <v>0</v>
      </c>
      <c r="F110" s="67">
        <f>SUM(F107:F109)</f>
        <v>0</v>
      </c>
    </row>
    <row r="111" spans="1:6" ht="21" customHeight="1" x14ac:dyDescent="0.2">
      <c r="A111" s="240" t="str">
        <f>'(B3) Struktura Funksionale'!A98</f>
        <v>Nënfunksioni 19</v>
      </c>
      <c r="B111" s="575" t="str">
        <f>'(B3) Struktura Funksionale'!B98</f>
        <v>081</v>
      </c>
      <c r="C111" s="296" t="str">
        <f>'(B3) Struktura Funksionale'!C98</f>
        <v>Shërbimet rekreative dhe sportive</v>
      </c>
      <c r="D111" s="272"/>
      <c r="E111" s="272"/>
      <c r="F111" s="272"/>
    </row>
    <row r="112" spans="1:6" hidden="1" x14ac:dyDescent="0.2">
      <c r="A112" s="110" t="str">
        <f>'(B3) Struktura Funksionale'!A99</f>
        <v>Programi 19a</v>
      </c>
      <c r="B112" s="586" t="str">
        <f>'(B3) Struktura Funksionale'!B99</f>
        <v>08120</v>
      </c>
      <c r="C112" s="110" t="str">
        <f>'(B3) Struktura Funksionale'!C99</f>
        <v>Parqet</v>
      </c>
      <c r="D112" s="50"/>
      <c r="E112" s="442"/>
      <c r="F112" s="442"/>
    </row>
    <row r="113" spans="1:6" x14ac:dyDescent="0.2">
      <c r="A113" s="110" t="str">
        <f>'(B3) Struktura Funksionale'!A100</f>
        <v>Programi 19b</v>
      </c>
      <c r="B113" s="586" t="str">
        <f>'(B3) Struktura Funksionale'!B100</f>
        <v>08130</v>
      </c>
      <c r="C113" s="110" t="str">
        <f>'(B3) Struktura Funksionale'!C100</f>
        <v>Sport dhe argëtim</v>
      </c>
      <c r="D113" s="50"/>
      <c r="E113" s="442"/>
      <c r="F113" s="442"/>
    </row>
    <row r="114" spans="1:6" x14ac:dyDescent="0.2">
      <c r="A114" s="110" t="str">
        <f>'(B3) Struktura Funksionale'!A101</f>
        <v>Programi 19c</v>
      </c>
      <c r="B114" s="586">
        <f>'(B3) Struktura Funksionale'!B101</f>
        <v>0</v>
      </c>
      <c r="C114" s="110">
        <f>'(B3) Struktura Funksionale'!C101</f>
        <v>0</v>
      </c>
      <c r="D114" s="50"/>
      <c r="E114" s="442"/>
      <c r="F114" s="442"/>
    </row>
    <row r="115" spans="1:6" x14ac:dyDescent="0.2">
      <c r="A115" s="208"/>
      <c r="B115" s="255"/>
      <c r="C115" s="208"/>
      <c r="D115" s="67">
        <f>SUM(D112:D114)</f>
        <v>0</v>
      </c>
      <c r="E115" s="67">
        <f>SUM(E112:E114)</f>
        <v>0</v>
      </c>
      <c r="F115" s="67">
        <f>SUM(F112:F114)</f>
        <v>0</v>
      </c>
    </row>
    <row r="116" spans="1:6" ht="21" customHeight="1" x14ac:dyDescent="0.2">
      <c r="A116" s="240" t="str">
        <f>'(B3) Struktura Funksionale'!A102</f>
        <v>Nënfunksioni 20</v>
      </c>
      <c r="B116" s="575" t="str">
        <f>'(B3) Struktura Funksionale'!B102</f>
        <v>082</v>
      </c>
      <c r="C116" s="296" t="str">
        <f>'(B3) Struktura Funksionale'!C102</f>
        <v>Shërbimet kulturore</v>
      </c>
      <c r="D116" s="272"/>
      <c r="E116" s="272"/>
      <c r="F116" s="272"/>
    </row>
    <row r="117" spans="1:6" x14ac:dyDescent="0.2">
      <c r="A117" s="110" t="str">
        <f>'(B3) Struktura Funksionale'!A103</f>
        <v>Programi 20a</v>
      </c>
      <c r="B117" s="586" t="str">
        <f>'(B3) Struktura Funksionale'!B103</f>
        <v>08220</v>
      </c>
      <c r="C117" s="110" t="str">
        <f>'(B3) Struktura Funksionale'!C103</f>
        <v>Trashëgimia kulturore, eventet artistike dhe kulturore</v>
      </c>
      <c r="D117" s="50"/>
      <c r="E117" s="442"/>
      <c r="F117" s="442"/>
    </row>
    <row r="118" spans="1:6" hidden="1" x14ac:dyDescent="0.2">
      <c r="A118" s="110" t="str">
        <f>'(B3) Struktura Funksionale'!A104</f>
        <v>Programi 20b</v>
      </c>
      <c r="B118" s="586" t="str">
        <f>'(B3) Struktura Funksionale'!B104</f>
        <v>08230</v>
      </c>
      <c r="C118" s="110" t="str">
        <f>'(B3) Struktura Funksionale'!C104</f>
        <v>Arti dhe kultura</v>
      </c>
      <c r="D118" s="50"/>
      <c r="E118" s="442"/>
      <c r="F118" s="442"/>
    </row>
    <row r="119" spans="1:6" hidden="1" x14ac:dyDescent="0.2">
      <c r="A119" s="110" t="str">
        <f>'(B3) Struktura Funksionale'!A105</f>
        <v>Programi 20c</v>
      </c>
      <c r="B119" s="586" t="str">
        <f>'(B3) Struktura Funksionale'!B105</f>
        <v>08280</v>
      </c>
      <c r="C119" s="110" t="str">
        <f>'(B3) Struktura Funksionale'!C105</f>
        <v xml:space="preserve">Muzetë, teatrot dhe eventet kulturore </v>
      </c>
      <c r="D119" s="50"/>
      <c r="E119" s="442"/>
      <c r="F119" s="442"/>
    </row>
    <row r="120" spans="1:6" x14ac:dyDescent="0.2">
      <c r="A120" s="110" t="str">
        <f>'(B3) Struktura Funksionale'!A106</f>
        <v>Programi 20d</v>
      </c>
      <c r="B120" s="586">
        <f>'(B3) Struktura Funksionale'!B106</f>
        <v>0</v>
      </c>
      <c r="C120" s="110">
        <f>'(B3) Struktura Funksionale'!C106</f>
        <v>0</v>
      </c>
      <c r="D120" s="50"/>
      <c r="E120" s="442"/>
      <c r="F120" s="442"/>
    </row>
    <row r="121" spans="1:6" x14ac:dyDescent="0.2">
      <c r="A121" s="208"/>
      <c r="B121" s="255"/>
      <c r="C121" s="208"/>
      <c r="D121" s="67">
        <f>SUM(D117:D120)</f>
        <v>0</v>
      </c>
      <c r="E121" s="67"/>
      <c r="F121" s="67"/>
    </row>
    <row r="122" spans="1:6" ht="21" customHeight="1" x14ac:dyDescent="0.2">
      <c r="A122" s="240" t="str">
        <f>'(B3) Struktura Funksionale'!A108</f>
        <v>Nënfunksioni 21</v>
      </c>
      <c r="B122" s="575" t="str">
        <f>'(B3) Struktura Funksionale'!B108</f>
        <v>091</v>
      </c>
      <c r="C122" s="296" t="str">
        <f>'(B3) Struktura Funksionale'!C108</f>
        <v>Arsimi bazë dhe parashkollor</v>
      </c>
      <c r="D122" s="272"/>
      <c r="E122" s="272"/>
      <c r="F122" s="272"/>
    </row>
    <row r="123" spans="1:6" x14ac:dyDescent="0.2">
      <c r="A123" s="110" t="str">
        <f>'(B3) Struktura Funksionale'!A109</f>
        <v>Programi 21a</v>
      </c>
      <c r="B123" s="586" t="str">
        <f>'(B3) Struktura Funksionale'!B109</f>
        <v>09120</v>
      </c>
      <c r="C123" s="110" t="str">
        <f>'(B3) Struktura Funksionale'!C109</f>
        <v>Arsimi bazë përfshirë arsimin parashkollor.</v>
      </c>
      <c r="D123" s="50"/>
      <c r="E123" s="442"/>
      <c r="F123" s="442"/>
    </row>
    <row r="124" spans="1:6" hidden="1" x14ac:dyDescent="0.2">
      <c r="A124" s="110" t="str">
        <f>'(B3) Struktura Funksionale'!A110</f>
        <v>Programi 21b</v>
      </c>
      <c r="B124" s="586" t="str">
        <f>'(B3) Struktura Funksionale'!B110</f>
        <v>09122</v>
      </c>
      <c r="C124" s="110" t="str">
        <f>'(B3) Struktura Funksionale'!C110</f>
        <v>Mësuesit e kopshteve dhe pagat e stafit mbështetës</v>
      </c>
      <c r="D124" s="50"/>
      <c r="E124" s="442"/>
      <c r="F124" s="442"/>
    </row>
    <row r="125" spans="1:6" hidden="1" x14ac:dyDescent="0.2">
      <c r="A125" s="110" t="str">
        <f>'(B3) Struktura Funksionale'!A111</f>
        <v>Programi 21c</v>
      </c>
      <c r="B125" s="586" t="str">
        <f>'(B3) Struktura Funksionale'!B111</f>
        <v>09123</v>
      </c>
      <c r="C125" s="110" t="str">
        <f>'(B3) Struktura Funksionale'!C111</f>
        <v>Ushqimi i kopshteve</v>
      </c>
      <c r="D125" s="50"/>
      <c r="E125" s="442"/>
      <c r="F125" s="442"/>
    </row>
    <row r="126" spans="1:6" x14ac:dyDescent="0.2">
      <c r="A126" s="110" t="str">
        <f>'(B3) Struktura Funksionale'!A112</f>
        <v>Programi 21d</v>
      </c>
      <c r="B126" s="586">
        <f>'(B3) Struktura Funksionale'!B112</f>
        <v>0</v>
      </c>
      <c r="C126" s="110">
        <f>'(B3) Struktura Funksionale'!C112</f>
        <v>0</v>
      </c>
      <c r="D126" s="50"/>
      <c r="E126" s="442"/>
      <c r="F126" s="442"/>
    </row>
    <row r="127" spans="1:6" x14ac:dyDescent="0.2">
      <c r="A127" s="208"/>
      <c r="B127" s="255"/>
      <c r="C127" s="208"/>
      <c r="D127" s="67">
        <f>SUM(D123:D126)</f>
        <v>0</v>
      </c>
      <c r="E127" s="67">
        <f>SUM(E123:E126)</f>
        <v>0</v>
      </c>
      <c r="F127" s="67">
        <f>SUM(F123:F126)</f>
        <v>0</v>
      </c>
    </row>
    <row r="128" spans="1:6" ht="21.75" customHeight="1" x14ac:dyDescent="0.2">
      <c r="A128" s="240" t="str">
        <f>'(B3) Struktura Funksionale'!A113</f>
        <v>Nënfunksioni 22</v>
      </c>
      <c r="B128" s="575" t="str">
        <f>'(B3) Struktura Funksionale'!B113</f>
        <v>092</v>
      </c>
      <c r="C128" s="296" t="str">
        <f>'(B3) Struktura Funksionale'!C113</f>
        <v>Arsimi parauniversitar</v>
      </c>
      <c r="D128" s="272"/>
      <c r="E128" s="272"/>
      <c r="F128" s="272"/>
    </row>
    <row r="129" spans="1:6" x14ac:dyDescent="0.2">
      <c r="A129" s="110" t="str">
        <f>'(B3) Struktura Funksionale'!A114</f>
        <v>Programi 22a</v>
      </c>
      <c r="B129" s="586" t="str">
        <f>'(B3) Struktura Funksionale'!B114</f>
        <v>09230</v>
      </c>
      <c r="C129" s="110" t="str">
        <f>'(B3) Struktura Funksionale'!C114</f>
        <v>Arsimi i mesëm i përgjithshëm</v>
      </c>
      <c r="D129" s="50"/>
      <c r="E129" s="442"/>
      <c r="F129" s="442"/>
    </row>
    <row r="130" spans="1:6" hidden="1" x14ac:dyDescent="0.2">
      <c r="A130" s="110" t="str">
        <f>'(B3) Struktura Funksionale'!A115</f>
        <v>Programi 22b</v>
      </c>
      <c r="B130" s="586" t="str">
        <f>'(B3) Struktura Funksionale'!B115</f>
        <v>09232</v>
      </c>
      <c r="C130" s="110" t="str">
        <f>'(B3) Struktura Funksionale'!C115</f>
        <v>Pagat e stafit mbështetës</v>
      </c>
      <c r="D130" s="50"/>
      <c r="E130" s="442"/>
      <c r="F130" s="442"/>
    </row>
    <row r="131" spans="1:6" x14ac:dyDescent="0.2">
      <c r="A131" s="110" t="str">
        <f>'(B3) Struktura Funksionale'!A116</f>
        <v>Programi 22c</v>
      </c>
      <c r="B131" s="586" t="str">
        <f>'(B3) Struktura Funksionale'!B116</f>
        <v>09240</v>
      </c>
      <c r="C131" s="110" t="str">
        <f>'(B3) Struktura Funksionale'!C116</f>
        <v>Arsimi profesional</v>
      </c>
      <c r="D131" s="50"/>
      <c r="E131" s="442"/>
      <c r="F131" s="442"/>
    </row>
    <row r="132" spans="1:6" x14ac:dyDescent="0.2">
      <c r="A132" s="110" t="str">
        <f>'(B3) Struktura Funksionale'!A117</f>
        <v>Programi 22d</v>
      </c>
      <c r="B132" s="586">
        <f>'(B3) Struktura Funksionale'!B117</f>
        <v>0</v>
      </c>
      <c r="C132" s="110">
        <f>'(B3) Struktura Funksionale'!C117</f>
        <v>0</v>
      </c>
      <c r="D132" s="50"/>
      <c r="E132" s="442"/>
      <c r="F132" s="442"/>
    </row>
    <row r="133" spans="1:6" x14ac:dyDescent="0.2">
      <c r="A133" s="208"/>
      <c r="B133" s="255"/>
      <c r="C133" s="208"/>
      <c r="D133" s="67">
        <f>SUM(D129:D132)</f>
        <v>0</v>
      </c>
      <c r="E133" s="67">
        <f>SUM(E129:E132)</f>
        <v>0</v>
      </c>
      <c r="F133" s="67">
        <f>SUM(F129:F132)</f>
        <v>0</v>
      </c>
    </row>
    <row r="134" spans="1:6" s="643" customFormat="1" ht="22.5" hidden="1" customHeight="1" x14ac:dyDescent="0.2">
      <c r="A134" s="640" t="e">
        <f>'(B3) Struktura Funksionale'!A118</f>
        <v>#REF!</v>
      </c>
      <c r="B134" s="640" t="str">
        <f>'(B3) Struktura Funksionale'!B118</f>
        <v>096</v>
      </c>
      <c r="C134" s="641" t="str">
        <f>'(B3) Struktura Funksionale'!C118</f>
        <v>Shërbimet plotësuese në arsim</v>
      </c>
      <c r="D134" s="642"/>
      <c r="E134" s="642"/>
      <c r="F134" s="642"/>
    </row>
    <row r="135" spans="1:6" s="643" customFormat="1" hidden="1" x14ac:dyDescent="0.2">
      <c r="A135" s="110" t="str">
        <f>'(B3) Struktura Funksionale'!A119</f>
        <v>Programi 23a</v>
      </c>
      <c r="B135" s="586" t="str">
        <f>'(B3) Struktura Funksionale'!B119</f>
        <v>09660</v>
      </c>
      <c r="C135" s="110" t="str">
        <f>'(B3) Struktura Funksionale'!C119</f>
        <v xml:space="preserve">Programe arsimore për trajnimin e mësuesve dhe edukatorëve </v>
      </c>
      <c r="D135" s="645"/>
      <c r="E135" s="646"/>
      <c r="F135" s="646"/>
    </row>
    <row r="136" spans="1:6" s="643" customFormat="1" hidden="1" x14ac:dyDescent="0.2">
      <c r="A136" s="110" t="str">
        <f>'(B3) Struktura Funksionale'!A120</f>
        <v>Programi 23b</v>
      </c>
      <c r="B136" s="644">
        <f>'(B3) Struktura Funksionale'!B120</f>
        <v>0</v>
      </c>
      <c r="C136" s="569">
        <f>'(B3) Struktura Funksionale'!C120</f>
        <v>0</v>
      </c>
      <c r="D136" s="645"/>
      <c r="E136" s="646"/>
      <c r="F136" s="646"/>
    </row>
    <row r="137" spans="1:6" s="643" customFormat="1" hidden="1" x14ac:dyDescent="0.2">
      <c r="A137" s="110" t="str">
        <f>'(B3) Struktura Funksionale'!A121</f>
        <v>Programi 23c</v>
      </c>
      <c r="B137" s="644">
        <f>'(B3) Struktura Funksionale'!B121</f>
        <v>0</v>
      </c>
      <c r="C137" s="569">
        <f>'(B3) Struktura Funksionale'!C121</f>
        <v>0</v>
      </c>
      <c r="D137" s="645"/>
      <c r="E137" s="646"/>
      <c r="F137" s="646"/>
    </row>
    <row r="138" spans="1:6" s="643" customFormat="1" hidden="1" x14ac:dyDescent="0.2">
      <c r="A138" s="647"/>
      <c r="B138" s="648"/>
      <c r="C138" s="647"/>
      <c r="D138" s="649">
        <f>SUM(D135:D137)</f>
        <v>0</v>
      </c>
      <c r="E138" s="649">
        <f>SUM(E135:E137)</f>
        <v>0</v>
      </c>
      <c r="F138" s="649">
        <f>SUM(F135:F137)</f>
        <v>0</v>
      </c>
    </row>
    <row r="139" spans="1:6" ht="22.5" customHeight="1" x14ac:dyDescent="0.2">
      <c r="A139" s="240" t="str">
        <f>'(B3) Struktura Funksionale'!A123</f>
        <v>Nënfunksioni 23</v>
      </c>
      <c r="B139" s="575" t="str">
        <f>'(B3) Struktura Funksionale'!B123</f>
        <v>101</v>
      </c>
      <c r="C139" s="296" t="str">
        <f>'(B3) Struktura Funksionale'!C123</f>
        <v>Sëmundje dhe paaftësi</v>
      </c>
      <c r="D139" s="272"/>
      <c r="E139" s="272"/>
      <c r="F139" s="272"/>
    </row>
    <row r="140" spans="1:6" x14ac:dyDescent="0.2">
      <c r="A140" s="188" t="str">
        <f>'(B3) Struktura Funksionale'!A124</f>
        <v>Programi 24a</v>
      </c>
      <c r="B140" s="584" t="str">
        <f>'(B3) Struktura Funksionale'!B124</f>
        <v>10140</v>
      </c>
      <c r="C140" s="188" t="str">
        <f>'(B3) Struktura Funksionale'!C124</f>
        <v>Kujdesi social për personat e sëmurë dhe me aftësi të kufizuara</v>
      </c>
      <c r="D140" s="195"/>
      <c r="E140" s="442"/>
      <c r="F140" s="442"/>
    </row>
    <row r="141" spans="1:6" x14ac:dyDescent="0.2">
      <c r="A141" s="188" t="str">
        <f>'(B3) Struktura Funksionale'!A125</f>
        <v>Programi 24b</v>
      </c>
      <c r="B141" s="584">
        <f>'(B3) Struktura Funksionale'!B125</f>
        <v>0</v>
      </c>
      <c r="C141" s="188">
        <f>'(B3) Struktura Funksionale'!C125</f>
        <v>0</v>
      </c>
      <c r="D141" s="50"/>
      <c r="E141" s="442"/>
      <c r="F141" s="442"/>
    </row>
    <row r="142" spans="1:6" x14ac:dyDescent="0.2">
      <c r="A142" s="188" t="str">
        <f>'(B3) Struktura Funksionale'!A126</f>
        <v>Programi 24c</v>
      </c>
      <c r="B142" s="584">
        <f>'(B3) Struktura Funksionale'!B126</f>
        <v>0</v>
      </c>
      <c r="C142" s="188">
        <f>'(B3) Struktura Funksionale'!C126</f>
        <v>0</v>
      </c>
      <c r="D142" s="50"/>
      <c r="E142" s="442"/>
      <c r="F142" s="442"/>
    </row>
    <row r="143" spans="1:6" x14ac:dyDescent="0.2">
      <c r="A143" s="20"/>
      <c r="B143" s="254"/>
      <c r="C143" s="192"/>
      <c r="D143" s="193">
        <f>SUM(D140:D142)</f>
        <v>0</v>
      </c>
      <c r="E143" s="193">
        <f>SUM(E140:E142)</f>
        <v>0</v>
      </c>
      <c r="F143" s="193">
        <f>SUM(F140:F142)</f>
        <v>0</v>
      </c>
    </row>
    <row r="144" spans="1:6" ht="22.5" customHeight="1" x14ac:dyDescent="0.2">
      <c r="A144" s="234" t="str">
        <f>'(B3) Struktura Funksionale'!A127</f>
        <v>Nënfunksioni 24</v>
      </c>
      <c r="B144" s="576" t="str">
        <f>'(B3) Struktura Funksionale'!B127</f>
        <v>102</v>
      </c>
      <c r="C144" s="250" t="str">
        <f>'(B3) Struktura Funksionale'!C127</f>
        <v>Të moshuarit</v>
      </c>
      <c r="D144" s="272"/>
      <c r="E144" s="242"/>
      <c r="F144" s="242"/>
    </row>
    <row r="145" spans="1:6" x14ac:dyDescent="0.2">
      <c r="A145" s="110" t="str">
        <f>'(B3) Struktura Funksionale'!A128</f>
        <v>Programi 25a</v>
      </c>
      <c r="B145" s="586" t="str">
        <f>'(B3) Struktura Funksionale'!B128</f>
        <v>10220</v>
      </c>
      <c r="C145" s="110" t="str">
        <f>'(B3) Struktura Funksionale'!C128</f>
        <v>Sigurimi shoqëror</v>
      </c>
      <c r="D145" s="50"/>
      <c r="E145" s="442"/>
      <c r="F145" s="442"/>
    </row>
    <row r="146" spans="1:6" x14ac:dyDescent="0.2">
      <c r="A146" s="110" t="str">
        <f>'(B3) Struktura Funksionale'!A129</f>
        <v>Programi 25b</v>
      </c>
      <c r="B146" s="586">
        <f>'(B3) Struktura Funksionale'!B129</f>
        <v>0</v>
      </c>
      <c r="C146" s="110">
        <f>'(B3) Struktura Funksionale'!C129</f>
        <v>0</v>
      </c>
      <c r="D146" s="50"/>
      <c r="E146" s="442"/>
      <c r="F146" s="442"/>
    </row>
    <row r="147" spans="1:6" x14ac:dyDescent="0.2">
      <c r="A147" s="110" t="str">
        <f>'(B3) Struktura Funksionale'!A130</f>
        <v>Programi 25c</v>
      </c>
      <c r="B147" s="586">
        <f>'(B3) Struktura Funksionale'!B130</f>
        <v>0</v>
      </c>
      <c r="C147" s="110">
        <f>'(B3) Struktura Funksionale'!C130</f>
        <v>0</v>
      </c>
      <c r="D147" s="50"/>
      <c r="E147" s="442"/>
      <c r="F147" s="442"/>
    </row>
    <row r="148" spans="1:6" x14ac:dyDescent="0.2">
      <c r="A148" s="208"/>
      <c r="B148" s="255"/>
      <c r="C148" s="208"/>
      <c r="D148" s="67">
        <f>SUM(D145:D147)</f>
        <v>0</v>
      </c>
      <c r="E148" s="67">
        <f>SUM(E145:E147)</f>
        <v>0</v>
      </c>
      <c r="F148" s="67">
        <f>SUM(F145:F147)</f>
        <v>0</v>
      </c>
    </row>
    <row r="149" spans="1:6" ht="23.25" customHeight="1" x14ac:dyDescent="0.2">
      <c r="A149" s="240" t="str">
        <f>'(B3) Struktura Funksionale'!A131</f>
        <v>Nënfunksioni 25</v>
      </c>
      <c r="B149" s="575" t="str">
        <f>'(B3) Struktura Funksionale'!B131</f>
        <v>104</v>
      </c>
      <c r="C149" s="296" t="str">
        <f>'(B3) Struktura Funksionale'!C131</f>
        <v>Familja dhe fëmijët</v>
      </c>
      <c r="D149" s="272"/>
      <c r="E149" s="272"/>
      <c r="F149" s="272"/>
    </row>
    <row r="150" spans="1:6" x14ac:dyDescent="0.2">
      <c r="A150" s="110" t="str">
        <f>'(B3) Struktura Funksionale'!A132</f>
        <v>Programi 26a</v>
      </c>
      <c r="B150" s="586" t="str">
        <f>'(B3) Struktura Funksionale'!B132</f>
        <v>10430</v>
      </c>
      <c r="C150" s="110" t="str">
        <f>'(B3) Struktura Funksionale'!C132</f>
        <v>Kujdesi social për familjet dhe fëmijët</v>
      </c>
      <c r="D150" s="50"/>
      <c r="E150" s="442"/>
      <c r="F150" s="442"/>
    </row>
    <row r="151" spans="1:6" hidden="1" x14ac:dyDescent="0.2">
      <c r="A151" s="110" t="str">
        <f>'(B3) Struktura Funksionale'!A133</f>
        <v>Programi 26b</v>
      </c>
      <c r="B151" s="586" t="str">
        <f>'(B3) Struktura Funksionale'!B133</f>
        <v>10460</v>
      </c>
      <c r="C151" s="110" t="str">
        <f>'(B3) Struktura Funksionale'!C133</f>
        <v>Përfshirja sociale</v>
      </c>
      <c r="D151" s="50"/>
      <c r="E151" s="442"/>
      <c r="F151" s="442"/>
    </row>
    <row r="152" spans="1:6" x14ac:dyDescent="0.2">
      <c r="A152" s="110" t="str">
        <f>'(B3) Struktura Funksionale'!A134</f>
        <v>Programi 26c</v>
      </c>
      <c r="B152" s="586">
        <f>'(B3) Struktura Funksionale'!B134</f>
        <v>0</v>
      </c>
      <c r="C152" s="110">
        <f>'(B3) Struktura Funksionale'!C134</f>
        <v>0</v>
      </c>
      <c r="D152" s="50"/>
      <c r="E152" s="442"/>
      <c r="F152" s="442"/>
    </row>
    <row r="153" spans="1:6" x14ac:dyDescent="0.2">
      <c r="A153" s="208"/>
      <c r="B153" s="255"/>
      <c r="C153" s="208"/>
      <c r="D153" s="67">
        <f>SUM(D150:D152)</f>
        <v>0</v>
      </c>
      <c r="E153" s="67">
        <f>SUM(E150:E152)</f>
        <v>0</v>
      </c>
      <c r="F153" s="67">
        <f>SUM(F150:F152)</f>
        <v>0</v>
      </c>
    </row>
    <row r="154" spans="1:6" ht="21.75" customHeight="1" x14ac:dyDescent="0.2">
      <c r="A154" s="240" t="str">
        <f>'(B3) Struktura Funksionale'!A135</f>
        <v>Nënfunksioni 26</v>
      </c>
      <c r="B154" s="575" t="str">
        <f>'(B3) Struktura Funksionale'!B135</f>
        <v>105</v>
      </c>
      <c r="C154" s="296" t="str">
        <f>'(B3) Struktura Funksionale'!C135</f>
        <v>Papunësia</v>
      </c>
      <c r="D154" s="272"/>
      <c r="E154" s="272"/>
      <c r="F154" s="272"/>
    </row>
    <row r="155" spans="1:6" x14ac:dyDescent="0.2">
      <c r="A155" s="110" t="str">
        <f>'(B3) Struktura Funksionale'!A136</f>
        <v>Programi 27a</v>
      </c>
      <c r="B155" s="586" t="str">
        <f>'(B3) Struktura Funksionale'!B136</f>
        <v>10550</v>
      </c>
      <c r="C155" s="110" t="str">
        <f>'(B3) Struktura Funksionale'!C136</f>
        <v>Papunësia, arsim dhe aftësim</v>
      </c>
      <c r="D155" s="50"/>
      <c r="E155" s="442"/>
      <c r="F155" s="442"/>
    </row>
    <row r="156" spans="1:6" x14ac:dyDescent="0.2">
      <c r="A156" s="110" t="str">
        <f>'(B3) Struktura Funksionale'!A137</f>
        <v>Programi 27b</v>
      </c>
      <c r="B156" s="586">
        <f>'(B3) Struktura Funksionale'!B137</f>
        <v>0</v>
      </c>
      <c r="C156" s="110">
        <f>'(B3) Struktura Funksionale'!C137</f>
        <v>0</v>
      </c>
      <c r="D156" s="50"/>
      <c r="E156" s="442"/>
      <c r="F156" s="442"/>
    </row>
    <row r="157" spans="1:6" x14ac:dyDescent="0.2">
      <c r="A157" s="110" t="str">
        <f>'(B3) Struktura Funksionale'!A138</f>
        <v>Programi 27c</v>
      </c>
      <c r="B157" s="586">
        <f>'(B3) Struktura Funksionale'!B138</f>
        <v>0</v>
      </c>
      <c r="C157" s="110">
        <f>'(B3) Struktura Funksionale'!C138</f>
        <v>0</v>
      </c>
      <c r="D157" s="50"/>
      <c r="E157" s="442"/>
      <c r="F157" s="442"/>
    </row>
    <row r="158" spans="1:6" x14ac:dyDescent="0.2">
      <c r="A158" s="208"/>
      <c r="B158" s="255"/>
      <c r="C158" s="208"/>
      <c r="D158" s="67">
        <f>SUM(D155:D157)</f>
        <v>0</v>
      </c>
      <c r="E158" s="67">
        <f>SUM(E155:E157)</f>
        <v>0</v>
      </c>
      <c r="F158" s="67">
        <f>SUM(F155:F157)</f>
        <v>0</v>
      </c>
    </row>
    <row r="159" spans="1:6" ht="22.5" customHeight="1" x14ac:dyDescent="0.2">
      <c r="A159" s="240" t="str">
        <f>'(B3) Struktura Funksionale'!A139</f>
        <v>Nënfunksioni 27</v>
      </c>
      <c r="B159" s="575" t="str">
        <f>'(B3) Struktura Funksionale'!B139</f>
        <v>106</v>
      </c>
      <c r="C159" s="296" t="str">
        <f>'(B3) Struktura Funksionale'!C139</f>
        <v>Strehimi social</v>
      </c>
      <c r="D159" s="272"/>
      <c r="E159" s="272"/>
      <c r="F159" s="272"/>
    </row>
    <row r="160" spans="1:6" x14ac:dyDescent="0.2">
      <c r="A160" s="110" t="str">
        <f>'(B3) Struktura Funksionale'!A140</f>
        <v>Programi 28a</v>
      </c>
      <c r="B160" s="586" t="str">
        <f>'(B3) Struktura Funksionale'!B140</f>
        <v>10661</v>
      </c>
      <c r="C160" s="110" t="str">
        <f>'(B3) Struktura Funksionale'!C140</f>
        <v>Strehimi social</v>
      </c>
      <c r="D160" s="50"/>
      <c r="E160" s="442"/>
      <c r="F160" s="442"/>
    </row>
    <row r="161" spans="1:6" x14ac:dyDescent="0.2">
      <c r="A161" s="110" t="str">
        <f>'(B3) Struktura Funksionale'!A141</f>
        <v>Programi 28b</v>
      </c>
      <c r="B161" s="586">
        <f>'(B3) Struktura Funksionale'!B141</f>
        <v>0</v>
      </c>
      <c r="C161" s="110">
        <f>'(B3) Struktura Funksionale'!C141</f>
        <v>0</v>
      </c>
      <c r="D161" s="50"/>
      <c r="E161" s="442"/>
      <c r="F161" s="442"/>
    </row>
    <row r="162" spans="1:6" x14ac:dyDescent="0.2">
      <c r="A162" s="110" t="str">
        <f>'(B3) Struktura Funksionale'!A142</f>
        <v>Programi 28c</v>
      </c>
      <c r="B162" s="586">
        <f>'(B3) Struktura Funksionale'!B142</f>
        <v>0</v>
      </c>
      <c r="C162" s="110">
        <f>'(B3) Struktura Funksionale'!C142</f>
        <v>0</v>
      </c>
      <c r="D162" s="50"/>
      <c r="E162" s="442"/>
      <c r="F162" s="442"/>
    </row>
    <row r="163" spans="1:6" x14ac:dyDescent="0.2">
      <c r="A163" s="208"/>
      <c r="B163" s="255"/>
      <c r="C163" s="208"/>
      <c r="D163" s="67">
        <f>SUM(D160:D162)</f>
        <v>0</v>
      </c>
      <c r="E163" s="67">
        <f>SUM(E160:E162)</f>
        <v>0</v>
      </c>
      <c r="F163" s="67">
        <f>SUM(F160:F162)</f>
        <v>0</v>
      </c>
    </row>
    <row r="164" spans="1:6" ht="22.5" hidden="1" customHeight="1" x14ac:dyDescent="0.2">
      <c r="A164" s="640" t="str">
        <f>'(B3) Struktura Funksionale'!A143</f>
        <v>Nënfunksioni 29</v>
      </c>
      <c r="B164" s="640" t="str">
        <f>'(B3) Struktura Funksionale'!B143</f>
        <v>107</v>
      </c>
      <c r="C164" s="641" t="str">
        <f>'(B3) Struktura Funksionale'!C143</f>
        <v>Ndihma Ekonomike</v>
      </c>
      <c r="D164" s="272"/>
      <c r="E164" s="272"/>
      <c r="F164" s="272"/>
    </row>
    <row r="165" spans="1:6" hidden="1" x14ac:dyDescent="0.2">
      <c r="A165" s="110" t="str">
        <f>'(B3) Struktura Funksionale'!A144</f>
        <v>Programi 29a</v>
      </c>
      <c r="B165" s="586" t="str">
        <f>'(B3) Struktura Funksionale'!B144</f>
        <v>10770</v>
      </c>
      <c r="C165" s="110" t="str">
        <f>'(B3) Struktura Funksionale'!C144</f>
        <v>Ndihma Ekonomike</v>
      </c>
      <c r="D165" s="50"/>
      <c r="E165" s="442"/>
      <c r="F165" s="442"/>
    </row>
    <row r="166" spans="1:6" hidden="1" x14ac:dyDescent="0.2">
      <c r="A166" s="110" t="str">
        <f>'(B3) Struktura Funksionale'!A145</f>
        <v>Programi 29b</v>
      </c>
      <c r="B166" s="586">
        <f>'(B3) Struktura Funksionale'!B145</f>
        <v>0</v>
      </c>
      <c r="C166" s="110">
        <f>'(B3) Struktura Funksionale'!C145</f>
        <v>0</v>
      </c>
      <c r="D166" s="50"/>
      <c r="E166" s="442"/>
      <c r="F166" s="442"/>
    </row>
    <row r="167" spans="1:6" hidden="1" x14ac:dyDescent="0.2">
      <c r="A167" s="110" t="str">
        <f>'(B3) Struktura Funksionale'!A146</f>
        <v>Programi 29c</v>
      </c>
      <c r="B167" s="586">
        <f>'(B3) Struktura Funksionale'!B146</f>
        <v>0</v>
      </c>
      <c r="C167" s="110">
        <f>'(B3) Struktura Funksionale'!C146</f>
        <v>0</v>
      </c>
      <c r="D167" s="50"/>
      <c r="E167" s="442"/>
      <c r="F167" s="442"/>
    </row>
    <row r="168" spans="1:6" hidden="1" x14ac:dyDescent="0.2">
      <c r="A168" s="208"/>
      <c r="B168" s="255"/>
      <c r="C168" s="208"/>
      <c r="D168" s="67">
        <f>SUM(D165:D167)</f>
        <v>0</v>
      </c>
      <c r="E168" s="67">
        <f>SUM(E165:E167)</f>
        <v>0</v>
      </c>
      <c r="F168" s="67">
        <f>SUM(F165:F167)</f>
        <v>0</v>
      </c>
    </row>
    <row r="169" spans="1:6" x14ac:dyDescent="0.2">
      <c r="D169" s="65"/>
    </row>
    <row r="170" spans="1:6" x14ac:dyDescent="0.2">
      <c r="A170" s="20" t="str">
        <f>'(G1) Fjalori'!A206</f>
        <v xml:space="preserve">Totali </v>
      </c>
      <c r="B170" s="256"/>
      <c r="C170" s="21"/>
      <c r="D170" s="73">
        <f>D15+D22+D27+D32+D37+D45+D53+D59+D65+D70+D75+D80+D85+D90+D95+D100+D105+D110+D115+D121+D127+D133+D138+D143+D148+D153+D158+D163+D168</f>
        <v>0</v>
      </c>
      <c r="E170" s="73">
        <f>E15+E22+E27+E32+E37+E45+E53+E59+E65+E70+E75+E80+E85+E90+E95+E100+E105+E110+E115+E121+E127+E133+E138+E143+E148+E153+E158+E163+E168</f>
        <v>0</v>
      </c>
      <c r="F170" s="73">
        <f>F15+F22+F27+F32+F37+F45+F53+F59+F65+F70+F75+F80+F85+F90+F95+F100+F105+F110+F115+F121+F127+F133+F138+F143+F148+F153+F158+F163+F168</f>
        <v>0</v>
      </c>
    </row>
    <row r="172" spans="1:6" x14ac:dyDescent="0.2">
      <c r="A172" s="111"/>
    </row>
    <row r="173" spans="1:6" x14ac:dyDescent="0.2">
      <c r="B173" s="248"/>
      <c r="C173" s="65"/>
      <c r="D173" s="65"/>
      <c r="E173" s="65"/>
    </row>
    <row r="174" spans="1:6" x14ac:dyDescent="0.2">
      <c r="B174" s="248"/>
      <c r="C174" s="65"/>
      <c r="D174" s="65"/>
      <c r="E174" s="65"/>
    </row>
  </sheetData>
  <sheetProtection sheet="1" objects="1" scenarios="1" selectLockedCells="1"/>
  <mergeCells count="1">
    <mergeCell ref="A3:F3"/>
  </mergeCells>
  <printOptions gridLines="1"/>
  <pageMargins left="0.78740157480314965" right="0.70866141732283472" top="0.98425196850393704" bottom="0.78740157480314965" header="0.43307086614173229" footer="0.31496062992125984"/>
  <pageSetup paperSize="9" scale="9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5" manualBreakCount="5">
    <brk id="32" max="16383" man="1"/>
    <brk id="59" max="16383" man="1"/>
    <brk id="85" max="16383" man="1"/>
    <brk id="110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9"/>
    <pageSetUpPr fitToPage="1"/>
  </sheetPr>
  <dimension ref="A1:F174"/>
  <sheetViews>
    <sheetView showGridLines="0" workbookViewId="0">
      <selection activeCell="D67" sqref="D67"/>
    </sheetView>
  </sheetViews>
  <sheetFormatPr defaultColWidth="4.140625" defaultRowHeight="12.75" x14ac:dyDescent="0.2"/>
  <cols>
    <col min="1" max="1" width="20.28515625" style="65" customWidth="1"/>
    <col min="2" max="2" width="9.140625" style="257" customWidth="1"/>
    <col min="3" max="3" width="70.42578125" style="64" customWidth="1"/>
    <col min="4" max="5" width="12.85546875" style="64" customWidth="1"/>
    <col min="6" max="6" width="12.85546875" style="65" customWidth="1"/>
    <col min="7" max="185" width="11.5703125" style="65" customWidth="1"/>
    <col min="186" max="186" width="3.85546875" style="65" customWidth="1"/>
    <col min="187" max="187" width="22" style="65" customWidth="1"/>
    <col min="188" max="190" width="4.140625" style="65" customWidth="1"/>
    <col min="191" max="191" width="5.85546875" style="65" customWidth="1"/>
    <col min="192" max="192" width="4.140625" style="65" customWidth="1"/>
    <col min="193" max="193" width="0.85546875" style="65" customWidth="1"/>
    <col min="194" max="194" width="5.85546875" style="65" customWidth="1"/>
    <col min="195" max="195" width="4.140625" style="65" customWidth="1"/>
    <col min="196" max="196" width="0.85546875" style="65" customWidth="1"/>
    <col min="197" max="197" width="5.85546875" style="65" customWidth="1"/>
    <col min="198" max="198" width="4.140625" style="65" customWidth="1"/>
    <col min="199" max="199" width="0.85546875" style="65" customWidth="1"/>
    <col min="200" max="200" width="5.85546875" style="65" customWidth="1"/>
    <col min="201" max="16384" width="4.140625" style="65"/>
  </cols>
  <sheetData>
    <row r="1" spans="1:6" s="169" customFormat="1" x14ac:dyDescent="0.2">
      <c r="A1" s="176" t="str">
        <f>'(G1) Fjalori'!A13</f>
        <v>Verdhë = Per tu plotësuar nga Departamenti i Financës</v>
      </c>
      <c r="B1" s="165"/>
      <c r="C1" s="165"/>
      <c r="D1" s="165"/>
      <c r="E1" s="165"/>
      <c r="F1" s="166"/>
    </row>
    <row r="3" spans="1:6" ht="21" x14ac:dyDescent="0.35">
      <c r="A3" s="1164" t="str">
        <f>'(G1) Fjalori'!A324</f>
        <v>(C5) ANGAZHIMET</v>
      </c>
      <c r="B3" s="1164"/>
      <c r="C3" s="1164"/>
      <c r="D3" s="1164"/>
      <c r="E3" s="1164"/>
      <c r="F3" s="1164"/>
    </row>
    <row r="4" spans="1:6" s="94" customFormat="1" x14ac:dyDescent="0.2">
      <c r="A4" s="66"/>
      <c r="B4" s="247"/>
    </row>
    <row r="5" spans="1:6" x14ac:dyDescent="0.2">
      <c r="B5" s="248"/>
      <c r="C5" s="65"/>
      <c r="D5" s="162">
        <f>'(B1)Informacion i përgjithshëm '!B8</f>
        <v>2022</v>
      </c>
      <c r="E5" s="162">
        <f>'(B1)Informacion i përgjithshëm '!B9</f>
        <v>2023</v>
      </c>
      <c r="F5" s="162">
        <f>'(B1)Informacion i përgjithshëm '!B10</f>
        <v>2024</v>
      </c>
    </row>
    <row r="6" spans="1:6" s="69" customFormat="1" ht="27.75" hidden="1" customHeight="1" x14ac:dyDescent="0.25">
      <c r="A6" s="68"/>
      <c r="B6" s="251"/>
      <c r="C6" s="68"/>
      <c r="D6" s="162" t="str">
        <f>'(B1)Informacion i përgjithshëm '!A7</f>
        <v>Viti aktual</v>
      </c>
      <c r="E6" s="162" t="str">
        <f>'(B1)Informacion i përgjithshëm '!A8</f>
        <v>Viti t+1 (I pritur)</v>
      </c>
      <c r="F6" s="162" t="str">
        <f>'(B1)Informacion i përgjithshëm '!A9</f>
        <v>Viti t+2 (I pritur)</v>
      </c>
    </row>
    <row r="7" spans="1:6" s="228" customFormat="1" ht="35.25" customHeight="1" x14ac:dyDescent="0.25">
      <c r="B7" s="252"/>
      <c r="D7" s="162" t="str">
        <f>'(G1) Fjalori'!A325</f>
        <v>Angazhimet</v>
      </c>
      <c r="E7" s="162" t="str">
        <f>D7</f>
        <v>Angazhimet</v>
      </c>
      <c r="F7" s="162" t="str">
        <f>E7</f>
        <v>Angazhimet</v>
      </c>
    </row>
    <row r="8" spans="1:6" ht="18.75" x14ac:dyDescent="0.2">
      <c r="A8" s="599" t="str">
        <f>'(B3) Struktura Funksionale'!A7</f>
        <v>Nënfunksioni 1</v>
      </c>
      <c r="B8" s="599" t="str">
        <f>'(B3) Struktura Funksionale'!B7</f>
        <v>011</v>
      </c>
      <c r="C8" s="250" t="str">
        <f>'(B3) Struktura Funksionale'!C7</f>
        <v>Organet ekzekutive dhe legjislative, per  Çështjet financiare dhe fiskale, Çështjet e brendshme</v>
      </c>
      <c r="D8" s="242"/>
      <c r="E8" s="242"/>
      <c r="F8" s="243"/>
    </row>
    <row r="9" spans="1:6" x14ac:dyDescent="0.2">
      <c r="A9" s="188" t="str">
        <f>'(B3) Struktura Funksionale'!A8</f>
        <v>Programi 1a</v>
      </c>
      <c r="B9" s="584" t="str">
        <f>'(B3) Struktura Funksionale'!B8</f>
        <v>01110</v>
      </c>
      <c r="C9" s="188" t="str">
        <f>'(B3) Struktura Funksionale'!C8</f>
        <v>Planifikimi Menaxhimi dhe Administrimi</v>
      </c>
      <c r="D9" s="195"/>
      <c r="E9" s="195"/>
      <c r="F9" s="195"/>
    </row>
    <row r="10" spans="1:6" x14ac:dyDescent="0.2">
      <c r="A10" s="188" t="str">
        <f>'(B3) Struktura Funksionale'!A9</f>
        <v>Programi 1b</v>
      </c>
      <c r="B10" s="584" t="str">
        <f>'(B3) Struktura Funksionale'!B9</f>
        <v>01120</v>
      </c>
      <c r="C10" s="188" t="str">
        <f>'(B3) Struktura Funksionale'!C9</f>
        <v>Çështje financiare dhe fiskale</v>
      </c>
      <c r="D10" s="50"/>
      <c r="E10" s="50"/>
      <c r="F10" s="50"/>
    </row>
    <row r="11" spans="1:6" hidden="1" x14ac:dyDescent="0.2">
      <c r="A11" s="188" t="str">
        <f>'(B3) Struktura Funksionale'!A10</f>
        <v>Programi 1c</v>
      </c>
      <c r="B11" s="584" t="str">
        <f>'(B3) Struktura Funksionale'!B10</f>
        <v>01130</v>
      </c>
      <c r="C11" s="188" t="str">
        <f>'(B3) Struktura Funksionale'!C10</f>
        <v>Sherbime të pergjithshme publike</v>
      </c>
      <c r="D11" s="50"/>
      <c r="E11" s="50"/>
      <c r="F11" s="50"/>
    </row>
    <row r="12" spans="1:6" x14ac:dyDescent="0.2">
      <c r="A12" s="188" t="str">
        <f>'(B3) Struktura Funksionale'!A11</f>
        <v>Programi 1d</v>
      </c>
      <c r="B12" s="584" t="str">
        <f>'(B3) Struktura Funksionale'!B11</f>
        <v>01170</v>
      </c>
      <c r="C12" s="188" t="str">
        <f>'(B3) Struktura Funksionale'!C11</f>
        <v>Gjendja civile</v>
      </c>
      <c r="D12" s="50"/>
      <c r="E12" s="50"/>
      <c r="F12" s="50"/>
    </row>
    <row r="13" spans="1:6" x14ac:dyDescent="0.2">
      <c r="A13" s="188" t="str">
        <f>'(B3) Struktura Funksionale'!A12</f>
        <v>Programi 1e</v>
      </c>
      <c r="B13" s="584">
        <f>'(B3) Struktura Funksionale'!B12</f>
        <v>0</v>
      </c>
      <c r="C13" s="188">
        <f>'(B3) Struktura Funksionale'!C12</f>
        <v>0</v>
      </c>
      <c r="D13" s="198"/>
      <c r="E13" s="198"/>
      <c r="F13" s="198"/>
    </row>
    <row r="14" spans="1:6" x14ac:dyDescent="0.2">
      <c r="A14" s="188" t="str">
        <f>'(B3) Struktura Funksionale'!A13</f>
        <v>Programi 1f</v>
      </c>
      <c r="B14" s="584">
        <f>'(B3) Struktura Funksionale'!B13</f>
        <v>0</v>
      </c>
      <c r="C14" s="188">
        <f>'(B3) Struktura Funksionale'!C13</f>
        <v>0</v>
      </c>
      <c r="D14" s="198"/>
      <c r="E14" s="198"/>
      <c r="F14" s="198"/>
    </row>
    <row r="15" spans="1:6" x14ac:dyDescent="0.2">
      <c r="A15" s="55"/>
      <c r="B15" s="253"/>
      <c r="C15" s="196"/>
      <c r="D15" s="193">
        <f>SUM(D9:D14)</f>
        <v>0</v>
      </c>
      <c r="E15" s="193">
        <f>SUM(E9:E14)</f>
        <v>0</v>
      </c>
      <c r="F15" s="193">
        <f>SUM(F9:F14)</f>
        <v>0</v>
      </c>
    </row>
    <row r="16" spans="1:6" ht="18.75" x14ac:dyDescent="0.2">
      <c r="A16" s="599" t="str">
        <f>'(B3) Struktura Funksionale'!A14</f>
        <v>Nënfunksioni 2</v>
      </c>
      <c r="B16" s="599" t="str">
        <f>'(B3) Struktura Funksionale'!B14</f>
        <v>017</v>
      </c>
      <c r="C16" s="250" t="str">
        <f>'(B3) Struktura Funksionale'!C14</f>
        <v>Shërbime të  huamarrjes vendore</v>
      </c>
      <c r="D16" s="242"/>
      <c r="E16" s="242"/>
      <c r="F16" s="243"/>
    </row>
    <row r="17" spans="1:6" hidden="1" x14ac:dyDescent="0.2">
      <c r="A17" s="188" t="str">
        <f>'(B3) Struktura Funksionale'!A15</f>
        <v>Programi 2a</v>
      </c>
      <c r="B17" s="584" t="str">
        <f>'(B3) Struktura Funksionale'!B15</f>
        <v>01310</v>
      </c>
      <c r="C17" s="188" t="str">
        <f>'(B3) Struktura Funksionale'!C15</f>
        <v>Planifikimi i përgjithshëm dhe Shërbimet Statistikore</v>
      </c>
      <c r="D17" s="195"/>
      <c r="E17" s="195"/>
      <c r="F17" s="195"/>
    </row>
    <row r="18" spans="1:6" hidden="1" x14ac:dyDescent="0.2">
      <c r="A18" s="188" t="str">
        <f>'(B3) Struktura Funksionale'!A16</f>
        <v>Programi 2b</v>
      </c>
      <c r="B18" s="584" t="str">
        <f>'(B3) Struktura Funksionale'!B16</f>
        <v>01312</v>
      </c>
      <c r="C18" s="188" t="str">
        <f>'(B3) Struktura Funksionale'!C16</f>
        <v>Gjendja civile</v>
      </c>
      <c r="D18" s="50"/>
      <c r="E18" s="50"/>
      <c r="F18" s="50"/>
    </row>
    <row r="19" spans="1:6" hidden="1" x14ac:dyDescent="0.2">
      <c r="A19" s="188" t="str">
        <f>'(B3) Struktura Funksionale'!A17</f>
        <v>Programi 2c</v>
      </c>
      <c r="B19" s="584" t="str">
        <f>'(B3) Struktura Funksionale'!B17</f>
        <v>01320</v>
      </c>
      <c r="C19" s="188" t="str">
        <f>'(B3) Struktura Funksionale'!C17</f>
        <v>Shërbime të tjera të përgjithshme</v>
      </c>
      <c r="D19" s="50"/>
      <c r="E19" s="50"/>
      <c r="F19" s="50"/>
    </row>
    <row r="20" spans="1:6" x14ac:dyDescent="0.2">
      <c r="A20" s="188" t="str">
        <f>'(B3) Struktura Funksionale'!A18</f>
        <v>Programi 2d</v>
      </c>
      <c r="B20" s="584" t="str">
        <f>'(B3) Struktura Funksionale'!B18</f>
        <v>01710</v>
      </c>
      <c r="C20" s="188" t="str">
        <f>'(B3) Struktura Funksionale'!C18</f>
        <v>Pagesa për shërbimin e borxhit të brendshëm</v>
      </c>
      <c r="D20" s="50"/>
      <c r="E20" s="50"/>
      <c r="F20" s="50"/>
    </row>
    <row r="21" spans="1:6" x14ac:dyDescent="0.2">
      <c r="A21" s="188" t="str">
        <f>'(B3) Struktura Funksionale'!A19</f>
        <v>Programi 2e</v>
      </c>
      <c r="B21" s="584">
        <f>'(B3) Struktura Funksionale'!B19</f>
        <v>0</v>
      </c>
      <c r="C21" s="188">
        <f>'(B3) Struktura Funksionale'!C19</f>
        <v>0</v>
      </c>
      <c r="D21" s="198"/>
      <c r="E21" s="198"/>
      <c r="F21" s="198"/>
    </row>
    <row r="22" spans="1:6" x14ac:dyDescent="0.2">
      <c r="A22" s="20"/>
      <c r="B22" s="254"/>
      <c r="C22" s="192"/>
      <c r="D22" s="193">
        <f>SUM(D17:D21)</f>
        <v>0</v>
      </c>
      <c r="E22" s="193">
        <f>SUM(E17:E21)</f>
        <v>0</v>
      </c>
      <c r="F22" s="193">
        <f>SUM(F17:F21)</f>
        <v>0</v>
      </c>
    </row>
    <row r="23" spans="1:6" ht="18.75" x14ac:dyDescent="0.2">
      <c r="A23" s="599" t="str">
        <f>'(B3) Struktura Funksionale'!A21</f>
        <v>Nënfunksioni 3</v>
      </c>
      <c r="B23" s="599" t="str">
        <f>'(B3) Struktura Funksionale'!B21</f>
        <v>031</v>
      </c>
      <c r="C23" s="250" t="str">
        <f>'(B3) Struktura Funksionale'!C21</f>
        <v>Shërbimet Policore</v>
      </c>
      <c r="D23" s="242"/>
      <c r="E23" s="242"/>
      <c r="F23" s="243"/>
    </row>
    <row r="24" spans="1:6" x14ac:dyDescent="0.2">
      <c r="A24" s="188" t="str">
        <f>'(B3) Struktura Funksionale'!A22</f>
        <v>Programi 3a</v>
      </c>
      <c r="B24" s="584" t="str">
        <f>'(B3) Struktura Funksionale'!B22</f>
        <v>03140</v>
      </c>
      <c r="C24" s="188" t="str">
        <f>'(B3) Struktura Funksionale'!C22</f>
        <v>Shërbimet e Policisë Vendore</v>
      </c>
      <c r="D24" s="195"/>
      <c r="E24" s="195"/>
      <c r="F24" s="195"/>
    </row>
    <row r="25" spans="1:6" x14ac:dyDescent="0.2">
      <c r="A25" s="188" t="str">
        <f>'(B3) Struktura Funksionale'!A23</f>
        <v>Programi 3b</v>
      </c>
      <c r="B25" s="584">
        <f>'(B3) Struktura Funksionale'!B23</f>
        <v>0</v>
      </c>
      <c r="C25" s="188">
        <f>'(B3) Struktura Funksionale'!C23</f>
        <v>0</v>
      </c>
      <c r="D25" s="50"/>
      <c r="E25" s="50"/>
      <c r="F25" s="50"/>
    </row>
    <row r="26" spans="1:6" x14ac:dyDescent="0.2">
      <c r="A26" s="188" t="str">
        <f>'(B3) Struktura Funksionale'!A24</f>
        <v>Programi 3c</v>
      </c>
      <c r="B26" s="584">
        <f>'(B3) Struktura Funksionale'!B24</f>
        <v>0</v>
      </c>
      <c r="C26" s="188">
        <f>'(B3) Struktura Funksionale'!C24</f>
        <v>0</v>
      </c>
      <c r="D26" s="50"/>
      <c r="E26" s="50"/>
      <c r="F26" s="50"/>
    </row>
    <row r="27" spans="1:6" x14ac:dyDescent="0.2">
      <c r="A27" s="20" t="str">
        <f>B23</f>
        <v>031</v>
      </c>
      <c r="B27" s="254"/>
      <c r="C27" s="192"/>
      <c r="D27" s="193">
        <f>SUM(D24:D26)</f>
        <v>0</v>
      </c>
      <c r="E27" s="193">
        <f>SUM(E24:E26)</f>
        <v>0</v>
      </c>
      <c r="F27" s="193">
        <f>SUM(F24:F26)</f>
        <v>0</v>
      </c>
    </row>
    <row r="28" spans="1:6" ht="18.75" x14ac:dyDescent="0.2">
      <c r="A28" s="599" t="str">
        <f>'(B3) Struktura Funksionale'!A25</f>
        <v>Nënfunksioni 4</v>
      </c>
      <c r="B28" s="599" t="str">
        <f>'(B3) Struktura Funksionale'!B25</f>
        <v>032</v>
      </c>
      <c r="C28" s="250" t="str">
        <f>'(B3) Struktura Funksionale'!C25</f>
        <v>Shërbimet e mbrojtjes ndaj zjarrit</v>
      </c>
      <c r="D28" s="242"/>
      <c r="E28" s="242"/>
      <c r="F28" s="243"/>
    </row>
    <row r="29" spans="1:6" x14ac:dyDescent="0.2">
      <c r="A29" s="188" t="str">
        <f>'(B3) Struktura Funksionale'!A26</f>
        <v>Programi 4a</v>
      </c>
      <c r="B29" s="584" t="str">
        <f>'(B3) Struktura Funksionale'!B26</f>
        <v>03280</v>
      </c>
      <c r="C29" s="188" t="str">
        <f>'(B3) Struktura Funksionale'!C26</f>
        <v>Mbrotja nga zjarri dhe mbrojtja civile</v>
      </c>
      <c r="D29" s="195"/>
      <c r="E29" s="195"/>
      <c r="F29" s="195"/>
    </row>
    <row r="30" spans="1:6" x14ac:dyDescent="0.2">
      <c r="A30" s="188" t="str">
        <f>'(B3) Struktura Funksionale'!A27</f>
        <v>Programi 4b</v>
      </c>
      <c r="B30" s="584">
        <f>'(B3) Struktura Funksionale'!B27</f>
        <v>0</v>
      </c>
      <c r="C30" s="188">
        <f>'(B3) Struktura Funksionale'!C27</f>
        <v>0</v>
      </c>
      <c r="D30" s="50"/>
      <c r="E30" s="50"/>
      <c r="F30" s="50"/>
    </row>
    <row r="31" spans="1:6" x14ac:dyDescent="0.2">
      <c r="A31" s="188" t="str">
        <f>'(B3) Struktura Funksionale'!A28</f>
        <v>Programi 4c</v>
      </c>
      <c r="B31" s="584">
        <f>'(B3) Struktura Funksionale'!B28</f>
        <v>0</v>
      </c>
      <c r="C31" s="188">
        <f>'(B3) Struktura Funksionale'!C28</f>
        <v>0</v>
      </c>
      <c r="D31" s="50"/>
      <c r="E31" s="50"/>
      <c r="F31" s="50"/>
    </row>
    <row r="32" spans="1:6" x14ac:dyDescent="0.2">
      <c r="A32" s="20" t="str">
        <f>A27</f>
        <v>031</v>
      </c>
      <c r="B32" s="256"/>
      <c r="C32" s="21"/>
      <c r="D32" s="67">
        <f>SUM(D29:D31)</f>
        <v>0</v>
      </c>
      <c r="E32" s="67">
        <f>SUM(E29:E31)</f>
        <v>0</v>
      </c>
      <c r="F32" s="67">
        <f>SUM(F29:F31)</f>
        <v>0</v>
      </c>
    </row>
    <row r="33" spans="1:6" ht="18.75" x14ac:dyDescent="0.2">
      <c r="A33" s="599" t="str">
        <f>'(B3) Struktura Funksionale'!A29</f>
        <v>Nënfunksioni 5</v>
      </c>
      <c r="B33" s="599" t="str">
        <f>'(B3) Struktura Funksionale'!B29</f>
        <v>036</v>
      </c>
      <c r="C33" s="250" t="str">
        <f>'(B3) Struktura Funksionale'!C29</f>
        <v>Marrdheniet me komunitetin</v>
      </c>
      <c r="D33" s="242"/>
      <c r="E33" s="242"/>
      <c r="F33" s="243"/>
    </row>
    <row r="34" spans="1:6" x14ac:dyDescent="0.2">
      <c r="A34" s="188" t="str">
        <f>'(B3) Struktura Funksionale'!A30</f>
        <v>Programi 5a</v>
      </c>
      <c r="B34" s="585" t="str">
        <f>'(B3) Struktura Funksionale'!B30</f>
        <v>03600</v>
      </c>
      <c r="C34" s="188" t="str">
        <f>'(B3) Struktura Funksionale'!C30</f>
        <v>Marrdheniet me komunitetin</v>
      </c>
      <c r="D34" s="195"/>
      <c r="E34" s="195"/>
      <c r="F34" s="195"/>
    </row>
    <row r="35" spans="1:6" hidden="1" x14ac:dyDescent="0.2">
      <c r="A35" s="188" t="str">
        <f>'(B3) Struktura Funksionale'!A31</f>
        <v>Programi 5b</v>
      </c>
      <c r="B35" s="584" t="str">
        <f>'(B3) Struktura Funksionale'!B31</f>
        <v>03602</v>
      </c>
      <c r="C35" s="188" t="str">
        <f>'(B3) Struktura Funksionale'!C31</f>
        <v>Supervizionimi administrativ lokal</v>
      </c>
      <c r="D35" s="50"/>
      <c r="E35" s="50"/>
      <c r="F35" s="50"/>
    </row>
    <row r="36" spans="1:6" x14ac:dyDescent="0.2">
      <c r="A36" s="188" t="str">
        <f>'(B3) Struktura Funksionale'!A32</f>
        <v>Programi 5c</v>
      </c>
      <c r="B36" s="584">
        <f>'(B3) Struktura Funksionale'!B32</f>
        <v>0</v>
      </c>
      <c r="C36" s="188">
        <f>'(B3) Struktura Funksionale'!C32</f>
        <v>0</v>
      </c>
      <c r="D36" s="50"/>
      <c r="E36" s="50"/>
      <c r="F36" s="50"/>
    </row>
    <row r="37" spans="1:6" x14ac:dyDescent="0.2">
      <c r="A37" s="20"/>
      <c r="B37" s="254"/>
      <c r="C37" s="192"/>
      <c r="D37" s="193">
        <f>SUM(D34:D36)</f>
        <v>0</v>
      </c>
      <c r="E37" s="193">
        <f>SUM(E34:E36)</f>
        <v>0</v>
      </c>
      <c r="F37" s="193">
        <f>SUM(F34:F36)</f>
        <v>0</v>
      </c>
    </row>
    <row r="38" spans="1:6" ht="18.75" x14ac:dyDescent="0.2">
      <c r="A38" s="599" t="str">
        <f>'(B3) Struktura Funksionale'!A34</f>
        <v>Nënfunksioni 6</v>
      </c>
      <c r="B38" s="599" t="str">
        <f>'(B3) Struktura Funksionale'!B34</f>
        <v>041</v>
      </c>
      <c r="C38" s="250" t="str">
        <f>'(B3) Struktura Funksionale'!C34</f>
        <v>Çështjet e përgjithshme ekonomike, tregtare dhe të punës</v>
      </c>
      <c r="D38" s="242"/>
      <c r="E38" s="242"/>
      <c r="F38" s="243"/>
    </row>
    <row r="39" spans="1:6" hidden="1" x14ac:dyDescent="0.2">
      <c r="A39" s="188" t="str">
        <f>'(B3) Struktura Funksionale'!A35</f>
        <v>Programi 6a</v>
      </c>
      <c r="B39" s="584" t="str">
        <f>'(B3) Struktura Funksionale'!B35</f>
        <v>04110</v>
      </c>
      <c r="C39" s="188" t="str">
        <f>'(B3) Struktura Funksionale'!C35</f>
        <v xml:space="preserve">Çështjet e përgjithshme ekonomike dhe tregtare </v>
      </c>
      <c r="D39" s="195"/>
      <c r="E39" s="195"/>
      <c r="F39" s="195"/>
    </row>
    <row r="40" spans="1:6" x14ac:dyDescent="0.2">
      <c r="A40" s="188" t="str">
        <f>'(B3) Struktura Funksionale'!A36</f>
        <v>Programi 6b</v>
      </c>
      <c r="B40" s="584" t="str">
        <f>'(B3) Struktura Funksionale'!B36</f>
        <v>04130</v>
      </c>
      <c r="C40" s="188" t="str">
        <f>'(B3) Struktura Funksionale'!C36</f>
        <v>Mbështetje për zhvillimin ekonomik</v>
      </c>
      <c r="D40" s="50"/>
      <c r="E40" s="50"/>
      <c r="F40" s="50"/>
    </row>
    <row r="41" spans="1:6" hidden="1" x14ac:dyDescent="0.2">
      <c r="A41" s="188" t="str">
        <f>'(B3) Struktura Funksionale'!A37</f>
        <v>Programi 6c</v>
      </c>
      <c r="B41" s="584" t="str">
        <f>'(B3) Struktura Funksionale'!B37</f>
        <v>04131</v>
      </c>
      <c r="C41" s="188" t="str">
        <f>'(B3) Struktura Funksionale'!C37</f>
        <v>Promovimi i biznesit lokal</v>
      </c>
      <c r="D41" s="50"/>
      <c r="E41" s="50"/>
      <c r="F41" s="50"/>
    </row>
    <row r="42" spans="1:6" hidden="1" x14ac:dyDescent="0.2">
      <c r="A42" s="188" t="str">
        <f>'(B3) Struktura Funksionale'!A38</f>
        <v>Programi 6d</v>
      </c>
      <c r="B42" s="584" t="str">
        <f>'(B3) Struktura Funksionale'!B38</f>
        <v>04132</v>
      </c>
      <c r="C42" s="188" t="str">
        <f>'(B3) Struktura Funksionale'!C38</f>
        <v>Mbështetja e Zhvillimit rajonal</v>
      </c>
      <c r="D42" s="50"/>
      <c r="E42" s="50"/>
      <c r="F42" s="50"/>
    </row>
    <row r="43" spans="1:6" x14ac:dyDescent="0.2">
      <c r="A43" s="188" t="str">
        <f>'(B3) Struktura Funksionale'!A39</f>
        <v>Programi 6e</v>
      </c>
      <c r="B43" s="584" t="str">
        <f>'(B3) Struktura Funksionale'!B39</f>
        <v>04160</v>
      </c>
      <c r="C43" s="188" t="str">
        <f>'(B3) Struktura Funksionale'!C39</f>
        <v>Shërbimet e tregjeve, akreditimi dhe inspektimi</v>
      </c>
      <c r="D43" s="50"/>
      <c r="E43" s="50"/>
      <c r="F43" s="50"/>
    </row>
    <row r="44" spans="1:6" x14ac:dyDescent="0.2">
      <c r="A44" s="188" t="str">
        <f>'(B3) Struktura Funksionale'!A40</f>
        <v>Programi 6f</v>
      </c>
      <c r="B44" s="584">
        <f>'(B3) Struktura Funksionale'!B40</f>
        <v>0</v>
      </c>
      <c r="C44" s="188">
        <f>'(B3) Struktura Funksionale'!C40</f>
        <v>0</v>
      </c>
      <c r="D44" s="198"/>
      <c r="E44" s="198"/>
      <c r="F44" s="198"/>
    </row>
    <row r="45" spans="1:6" x14ac:dyDescent="0.2">
      <c r="A45" s="20"/>
      <c r="B45" s="254"/>
      <c r="C45" s="192"/>
      <c r="D45" s="193">
        <f>SUM(D39:D44)</f>
        <v>0</v>
      </c>
      <c r="E45" s="193">
        <f>SUM(E39:E44)</f>
        <v>0</v>
      </c>
      <c r="F45" s="193">
        <f>SUM(F39:F44)</f>
        <v>0</v>
      </c>
    </row>
    <row r="46" spans="1:6" ht="18.75" x14ac:dyDescent="0.2">
      <c r="A46" s="599" t="str">
        <f>'(B3) Struktura Funksionale'!A41</f>
        <v>Nënfunksioni 7</v>
      </c>
      <c r="B46" s="599" t="str">
        <f>'(B3) Struktura Funksionale'!B41</f>
        <v>042</v>
      </c>
      <c r="C46" s="250" t="str">
        <f>'(B3) Struktura Funksionale'!C41</f>
        <v>Bujqësia, pyjet, peshkimi dhe gjuetia</v>
      </c>
      <c r="D46" s="242"/>
      <c r="E46" s="242"/>
      <c r="F46" s="243"/>
    </row>
    <row r="47" spans="1:6" x14ac:dyDescent="0.2">
      <c r="A47" s="188" t="str">
        <f>'(B3) Struktura Funksionale'!A42</f>
        <v>Programi 7a</v>
      </c>
      <c r="B47" s="584" t="str">
        <f>'(B3) Struktura Funksionale'!B42</f>
        <v>04220</v>
      </c>
      <c r="C47" s="188" t="str">
        <f>'(B3) Struktura Funksionale'!C42</f>
        <v>Shërbimet bujqësore, inspektimi, ushqimi dhe mbrojtja e konsumatoreve</v>
      </c>
      <c r="D47" s="195"/>
      <c r="E47" s="195"/>
      <c r="F47" s="195"/>
    </row>
    <row r="48" spans="1:6" hidden="1" x14ac:dyDescent="0.2">
      <c r="A48" s="188" t="str">
        <f>'(B3) Struktura Funksionale'!A43</f>
        <v>Programi 7b</v>
      </c>
      <c r="B48" s="584" t="str">
        <f>'(B3) Struktura Funksionale'!B43</f>
        <v>04222</v>
      </c>
      <c r="C48" s="188" t="str">
        <f>'(B3) Struktura Funksionale'!C43</f>
        <v>Këshillimi Bujqësor</v>
      </c>
      <c r="D48" s="50"/>
      <c r="E48" s="50"/>
      <c r="F48" s="50"/>
    </row>
    <row r="49" spans="1:6" hidden="1" x14ac:dyDescent="0.2">
      <c r="A49" s="188" t="str">
        <f>'(B3) Struktura Funksionale'!A44</f>
        <v>Programi 7c</v>
      </c>
      <c r="B49" s="584" t="str">
        <f>'(B3) Struktura Funksionale'!B44</f>
        <v>04223</v>
      </c>
      <c r="C49" s="188" t="str">
        <f>'(B3) Struktura Funksionale'!C44</f>
        <v>Veterineria</v>
      </c>
      <c r="D49" s="50"/>
      <c r="E49" s="50"/>
      <c r="F49" s="50"/>
    </row>
    <row r="50" spans="1:6" x14ac:dyDescent="0.2">
      <c r="A50" s="188" t="str">
        <f>'(B3) Struktura Funksionale'!A45</f>
        <v>Programi 7d</v>
      </c>
      <c r="B50" s="584" t="str">
        <f>'(B3) Struktura Funksionale'!B45</f>
        <v>04240</v>
      </c>
      <c r="C50" s="188" t="str">
        <f>'(B3) Struktura Funksionale'!C45</f>
        <v>Menaxhimi i Infrastruktuës së ujitjes dhe kullimit</v>
      </c>
      <c r="D50" s="50"/>
      <c r="E50" s="50"/>
      <c r="F50" s="50"/>
    </row>
    <row r="51" spans="1:6" x14ac:dyDescent="0.2">
      <c r="A51" s="188" t="str">
        <f>'(B3) Struktura Funksionale'!A46</f>
        <v>Programi 7e</v>
      </c>
      <c r="B51" s="584" t="str">
        <f>'(B3) Struktura Funksionale'!B46</f>
        <v>04260</v>
      </c>
      <c r="C51" s="188" t="str">
        <f>'(B3) Struktura Funksionale'!C46</f>
        <v>Administrimi i pyjeve dhe kullotave</v>
      </c>
      <c r="D51" s="50"/>
      <c r="E51" s="50"/>
      <c r="F51" s="50"/>
    </row>
    <row r="52" spans="1:6" x14ac:dyDescent="0.2">
      <c r="A52" s="188" t="str">
        <f>'(B3) Struktura Funksionale'!A47</f>
        <v>Programi 7f</v>
      </c>
      <c r="B52" s="584">
        <f>'(B3) Struktura Funksionale'!B47</f>
        <v>0</v>
      </c>
      <c r="C52" s="188">
        <f>'(B3) Struktura Funksionale'!C47</f>
        <v>0</v>
      </c>
      <c r="D52" s="50"/>
      <c r="E52" s="50"/>
      <c r="F52" s="50"/>
    </row>
    <row r="53" spans="1:6" x14ac:dyDescent="0.2">
      <c r="A53" s="20"/>
      <c r="B53" s="254"/>
      <c r="C53" s="192"/>
      <c r="D53" s="193">
        <f>SUM(D47:D52)</f>
        <v>0</v>
      </c>
      <c r="E53" s="193">
        <f>SUM(E47:E52)</f>
        <v>0</v>
      </c>
      <c r="F53" s="193">
        <f>SUM(F47:F52)</f>
        <v>0</v>
      </c>
    </row>
    <row r="54" spans="1:6" ht="18.75" x14ac:dyDescent="0.2">
      <c r="A54" s="599" t="str">
        <f>'(B3) Struktura Funksionale'!A48</f>
        <v>Nënfunksioni 8</v>
      </c>
      <c r="B54" s="599" t="str">
        <f>'(B3) Struktura Funksionale'!B48</f>
        <v>045</v>
      </c>
      <c r="C54" s="250" t="str">
        <f>'(B3) Struktura Funksionale'!C48</f>
        <v>Transporti</v>
      </c>
      <c r="D54" s="242"/>
      <c r="E54" s="242"/>
      <c r="F54" s="243"/>
    </row>
    <row r="55" spans="1:6" x14ac:dyDescent="0.2">
      <c r="A55" s="188" t="str">
        <f>'(B3) Struktura Funksionale'!A49</f>
        <v>Programi 8a</v>
      </c>
      <c r="B55" s="584" t="str">
        <f>'(B3) Struktura Funksionale'!B49</f>
        <v>04520</v>
      </c>
      <c r="C55" s="188" t="str">
        <f>'(B3) Struktura Funksionale'!C49</f>
        <v>Rrjeti rrugor rural</v>
      </c>
      <c r="D55" s="195"/>
      <c r="E55" s="195"/>
      <c r="F55" s="195"/>
    </row>
    <row r="56" spans="1:6" hidden="1" x14ac:dyDescent="0.2">
      <c r="A56" s="188" t="str">
        <f>'(B3) Struktura Funksionale'!A50</f>
        <v>Programi 8b</v>
      </c>
      <c r="B56" s="584" t="str">
        <f>'(B3) Struktura Funksionale'!B50</f>
        <v>04530</v>
      </c>
      <c r="C56" s="188" t="str">
        <f>'(B3) Struktura Funksionale'!C50</f>
        <v>Studimi i rrugëve</v>
      </c>
      <c r="D56" s="50"/>
      <c r="E56" s="50"/>
      <c r="F56" s="50"/>
    </row>
    <row r="57" spans="1:6" x14ac:dyDescent="0.2">
      <c r="A57" s="188" t="str">
        <f>'(B3) Struktura Funksionale'!A51</f>
        <v>Programi 8c</v>
      </c>
      <c r="B57" s="584" t="str">
        <f>'(B3) Struktura Funksionale'!B51</f>
        <v>04570</v>
      </c>
      <c r="C57" s="188" t="str">
        <f>'(B3) Struktura Funksionale'!C51</f>
        <v>Transporti publik</v>
      </c>
      <c r="D57" s="50"/>
      <c r="E57" s="50"/>
      <c r="F57" s="50"/>
    </row>
    <row r="58" spans="1:6" x14ac:dyDescent="0.2">
      <c r="A58" s="188" t="str">
        <f>'(B3) Struktura Funksionale'!A52</f>
        <v>Programi 8d</v>
      </c>
      <c r="B58" s="584">
        <f>'(B3) Struktura Funksionale'!B52</f>
        <v>0</v>
      </c>
      <c r="C58" s="188">
        <f>'(B3) Struktura Funksionale'!C52</f>
        <v>0</v>
      </c>
      <c r="D58" s="50"/>
      <c r="E58" s="50"/>
      <c r="F58" s="50"/>
    </row>
    <row r="59" spans="1:6" x14ac:dyDescent="0.2">
      <c r="A59" s="20"/>
      <c r="B59" s="254"/>
      <c r="C59" s="192"/>
      <c r="D59" s="193">
        <f>SUM(D55:D58)</f>
        <v>0</v>
      </c>
      <c r="E59" s="193">
        <f>SUM(E55:E58)</f>
        <v>0</v>
      </c>
      <c r="F59" s="193">
        <f>SUM(F55:F58)</f>
        <v>0</v>
      </c>
    </row>
    <row r="60" spans="1:6" ht="18.75" x14ac:dyDescent="0.2">
      <c r="A60" s="599" t="str">
        <f>'(B3) Struktura Funksionale'!A53</f>
        <v>Nënfunksioni 9</v>
      </c>
      <c r="B60" s="599" t="str">
        <f>'(B3) Struktura Funksionale'!B53</f>
        <v>047</v>
      </c>
      <c r="C60" s="250" t="str">
        <f>'(B3) Struktura Funksionale'!C53</f>
        <v>Industri të tjera</v>
      </c>
      <c r="D60" s="242"/>
      <c r="E60" s="242"/>
      <c r="F60" s="243"/>
    </row>
    <row r="61" spans="1:6" x14ac:dyDescent="0.2">
      <c r="A61" s="188" t="str">
        <f>'(B3) Struktura Funksionale'!A54</f>
        <v>Programi 9a</v>
      </c>
      <c r="B61" s="584" t="str">
        <f>'(B3) Struktura Funksionale'!B54</f>
        <v>04740</v>
      </c>
      <c r="C61" s="188" t="str">
        <f>'(B3) Struktura Funksionale'!C54</f>
        <v>Projekte Zhvillimi</v>
      </c>
      <c r="D61" s="195"/>
      <c r="E61" s="195"/>
      <c r="F61" s="195"/>
    </row>
    <row r="62" spans="1:6" x14ac:dyDescent="0.2">
      <c r="A62" s="188" t="str">
        <f>'(B3) Struktura Funksionale'!A55</f>
        <v>Programi 9b</v>
      </c>
      <c r="B62" s="584" t="str">
        <f>'(B3) Struktura Funksionale'!B55</f>
        <v>04760</v>
      </c>
      <c r="C62" s="188" t="str">
        <f>'(B3) Struktura Funksionale'!C55</f>
        <v>Zhvillimi i turizmit</v>
      </c>
      <c r="D62" s="50"/>
      <c r="E62" s="50"/>
      <c r="F62" s="50"/>
    </row>
    <row r="63" spans="1:6" hidden="1" x14ac:dyDescent="0.2">
      <c r="A63" s="188" t="str">
        <f>'(B3) Struktura Funksionale'!A56</f>
        <v>Programi 9c</v>
      </c>
      <c r="B63" s="584" t="str">
        <f>'(B3) Struktura Funksionale'!B56</f>
        <v>04742</v>
      </c>
      <c r="C63" s="188" t="str">
        <f>'(B3) Struktura Funksionale'!C56</f>
        <v>Rekreacioni</v>
      </c>
      <c r="D63" s="50"/>
      <c r="E63" s="50"/>
      <c r="F63" s="50"/>
    </row>
    <row r="64" spans="1:6" x14ac:dyDescent="0.2">
      <c r="A64" s="188" t="str">
        <f>'(B3) Struktura Funksionale'!A57</f>
        <v>Programi 9d</v>
      </c>
      <c r="B64" s="584">
        <f>'(B3) Struktura Funksionale'!B57</f>
        <v>0</v>
      </c>
      <c r="C64" s="188">
        <f>'(B3) Struktura Funksionale'!C57</f>
        <v>0</v>
      </c>
      <c r="D64" s="50"/>
      <c r="E64" s="50"/>
      <c r="F64" s="50"/>
    </row>
    <row r="65" spans="1:6" x14ac:dyDescent="0.2">
      <c r="A65" s="208"/>
      <c r="B65" s="255"/>
      <c r="C65" s="208"/>
      <c r="D65" s="67">
        <f>SUM(D61:D64)</f>
        <v>0</v>
      </c>
      <c r="E65" s="67">
        <f>SUM(E61:E64)</f>
        <v>0</v>
      </c>
      <c r="F65" s="67">
        <f>SUM(F61:F64)</f>
        <v>0</v>
      </c>
    </row>
    <row r="66" spans="1:6" ht="21" customHeight="1" x14ac:dyDescent="0.2">
      <c r="A66" s="599" t="str">
        <f>'(B3) Struktura Funksionale'!A59</f>
        <v>Nënfunksioni 10</v>
      </c>
      <c r="B66" s="599" t="str">
        <f>'(B3) Struktura Funksionale'!B59</f>
        <v>062</v>
      </c>
      <c r="C66" s="250" t="str">
        <f>'(B3) Struktura Funksionale'!C59</f>
        <v>Menaxhimi i mbetjeve</v>
      </c>
      <c r="D66" s="242"/>
      <c r="E66" s="242"/>
      <c r="F66" s="243"/>
    </row>
    <row r="67" spans="1:6" x14ac:dyDescent="0.2">
      <c r="A67" s="188" t="str">
        <f>'(B3) Struktura Funksionale'!A60</f>
        <v>Programi 10a</v>
      </c>
      <c r="B67" s="584" t="str">
        <f>'(B3) Struktura Funksionale'!B60</f>
        <v>06260</v>
      </c>
      <c r="C67" s="188" t="str">
        <f>'(B3) Struktura Funksionale'!C60</f>
        <v>Menaxhimi i mbetjeve</v>
      </c>
      <c r="D67" s="195"/>
      <c r="E67" s="195"/>
      <c r="F67" s="195"/>
    </row>
    <row r="68" spans="1:6" x14ac:dyDescent="0.2">
      <c r="A68" s="188" t="str">
        <f>'(B3) Struktura Funksionale'!A61</f>
        <v>Programi 10b</v>
      </c>
      <c r="B68" s="584">
        <f>'(B3) Struktura Funksionale'!B61</f>
        <v>0</v>
      </c>
      <c r="C68" s="188">
        <f>'(B3) Struktura Funksionale'!C61</f>
        <v>0</v>
      </c>
      <c r="D68" s="50"/>
      <c r="E68" s="50"/>
      <c r="F68" s="50"/>
    </row>
    <row r="69" spans="1:6" x14ac:dyDescent="0.2">
      <c r="A69" s="188" t="str">
        <f>'(B3) Struktura Funksionale'!A62</f>
        <v>Programi 10c</v>
      </c>
      <c r="B69" s="584">
        <f>'(B3) Struktura Funksionale'!B62</f>
        <v>0</v>
      </c>
      <c r="C69" s="188">
        <f>'(B3) Struktura Funksionale'!C62</f>
        <v>0</v>
      </c>
      <c r="D69" s="50"/>
      <c r="E69" s="50"/>
      <c r="F69" s="50"/>
    </row>
    <row r="70" spans="1:6" x14ac:dyDescent="0.2">
      <c r="A70" s="20"/>
      <c r="B70" s="254"/>
      <c r="C70" s="192"/>
      <c r="D70" s="193">
        <f>SUM(D67:D69)</f>
        <v>0</v>
      </c>
      <c r="E70" s="193">
        <f>SUM(E67:E69)</f>
        <v>0</v>
      </c>
      <c r="F70" s="193">
        <f>SUM(F67:F69)</f>
        <v>0</v>
      </c>
    </row>
    <row r="71" spans="1:6" ht="21" customHeight="1" x14ac:dyDescent="0.2">
      <c r="A71" s="599" t="str">
        <f>'(B3) Struktura Funksionale'!A63</f>
        <v>Nënfunksioni 11</v>
      </c>
      <c r="B71" s="599" t="str">
        <f>'(B3) Struktura Funksionale'!B63</f>
        <v>052</v>
      </c>
      <c r="C71" s="250" t="str">
        <f>'(B3) Struktura Funksionale'!C63</f>
        <v>Menaxhimi i Ujërave të zeza</v>
      </c>
      <c r="D71" s="242"/>
      <c r="E71" s="242"/>
      <c r="F71" s="243"/>
    </row>
    <row r="72" spans="1:6" x14ac:dyDescent="0.2">
      <c r="A72" s="188" t="str">
        <f>'(B3) Struktura Funksionale'!A64</f>
        <v>Programi 11a</v>
      </c>
      <c r="B72" s="584" t="str">
        <f>'(B3) Struktura Funksionale'!B64</f>
        <v>05200</v>
      </c>
      <c r="C72" s="188" t="str">
        <f>'(B3) Struktura Funksionale'!C64</f>
        <v>Menaxhimi i ujrave të zeza dhe kanalizimeve</v>
      </c>
      <c r="D72" s="195"/>
      <c r="E72" s="195"/>
      <c r="F72" s="195"/>
    </row>
    <row r="73" spans="1:6" x14ac:dyDescent="0.2">
      <c r="A73" s="188" t="str">
        <f>'(B3) Struktura Funksionale'!A65</f>
        <v>Programi 11b</v>
      </c>
      <c r="B73" s="584">
        <f>'(B3) Struktura Funksionale'!B65</f>
        <v>0</v>
      </c>
      <c r="C73" s="188">
        <f>'(B3) Struktura Funksionale'!C65</f>
        <v>0</v>
      </c>
      <c r="D73" s="50"/>
      <c r="E73" s="50"/>
      <c r="F73" s="50"/>
    </row>
    <row r="74" spans="1:6" x14ac:dyDescent="0.2">
      <c r="A74" s="188" t="str">
        <f>'(B3) Struktura Funksionale'!A66</f>
        <v>Programi 11c</v>
      </c>
      <c r="B74" s="584">
        <f>'(B3) Struktura Funksionale'!B66</f>
        <v>0</v>
      </c>
      <c r="C74" s="188">
        <f>'(B3) Struktura Funksionale'!C66</f>
        <v>0</v>
      </c>
      <c r="D74" s="50"/>
      <c r="E74" s="50"/>
      <c r="F74" s="50"/>
    </row>
    <row r="75" spans="1:6" x14ac:dyDescent="0.2">
      <c r="A75" s="20"/>
      <c r="B75" s="254"/>
      <c r="C75" s="192"/>
      <c r="D75" s="193">
        <f>SUM(D72:D74)</f>
        <v>0</v>
      </c>
      <c r="E75" s="193">
        <f>SUM(E72:E74)</f>
        <v>0</v>
      </c>
      <c r="F75" s="193">
        <f>SUM(F72:F74)</f>
        <v>0</v>
      </c>
    </row>
    <row r="76" spans="1:6" ht="21.75" customHeight="1" x14ac:dyDescent="0.2">
      <c r="A76" s="599" t="str">
        <f>'(B3) Struktura Funksionale'!A67</f>
        <v>Nënfunksioni 12</v>
      </c>
      <c r="B76" s="599" t="str">
        <f>'(B3) Struktura Funksionale'!B67</f>
        <v>053</v>
      </c>
      <c r="C76" s="250" t="str">
        <f>'(B3) Struktura Funksionale'!C67</f>
        <v>Reduktimi i ndotjes</v>
      </c>
      <c r="D76" s="242"/>
      <c r="E76" s="242"/>
      <c r="F76" s="243"/>
    </row>
    <row r="77" spans="1:6" x14ac:dyDescent="0.2">
      <c r="A77" s="188" t="str">
        <f>'(B3) Struktura Funksionale'!A68</f>
        <v>Programi 12a</v>
      </c>
      <c r="B77" s="584" t="str">
        <f>'(B3) Struktura Funksionale'!B68</f>
        <v>05320</v>
      </c>
      <c r="C77" s="188" t="str">
        <f>'(B3) Struktura Funksionale'!C68</f>
        <v>Programet e mbrojtjes së mjedisit</v>
      </c>
      <c r="D77" s="195"/>
      <c r="E77" s="195"/>
      <c r="F77" s="195"/>
    </row>
    <row r="78" spans="1:6" x14ac:dyDescent="0.2">
      <c r="A78" s="188" t="str">
        <f>'(B3) Struktura Funksionale'!A69</f>
        <v>Programi 12b</v>
      </c>
      <c r="B78" s="584">
        <f>'(B3) Struktura Funksionale'!B69</f>
        <v>0</v>
      </c>
      <c r="C78" s="188">
        <f>'(B3) Struktura Funksionale'!C69</f>
        <v>0</v>
      </c>
      <c r="D78" s="50"/>
      <c r="E78" s="50"/>
      <c r="F78" s="50"/>
    </row>
    <row r="79" spans="1:6" x14ac:dyDescent="0.2">
      <c r="A79" s="188" t="str">
        <f>'(B3) Struktura Funksionale'!A70</f>
        <v>Programi 12c</v>
      </c>
      <c r="B79" s="584">
        <f>'(B3) Struktura Funksionale'!B70</f>
        <v>0</v>
      </c>
      <c r="C79" s="188">
        <f>'(B3) Struktura Funksionale'!C70</f>
        <v>0</v>
      </c>
      <c r="D79" s="50"/>
      <c r="E79" s="50"/>
      <c r="F79" s="50"/>
    </row>
    <row r="80" spans="1:6" x14ac:dyDescent="0.2">
      <c r="A80" s="20"/>
      <c r="B80" s="254"/>
      <c r="C80" s="192"/>
      <c r="D80" s="193">
        <f>SUM(D77:D79)</f>
        <v>0</v>
      </c>
      <c r="E80" s="193">
        <f>SUM(E77:E79)</f>
        <v>0</v>
      </c>
      <c r="F80" s="193">
        <f>SUM(F77:F79)</f>
        <v>0</v>
      </c>
    </row>
    <row r="81" spans="1:6" ht="22.5" customHeight="1" x14ac:dyDescent="0.2">
      <c r="A81" s="599" t="str">
        <f>'(B3) Struktura Funksionale'!A71</f>
        <v>Nënfunksioni 13</v>
      </c>
      <c r="B81" s="599" t="str">
        <f>'(B3) Struktura Funksionale'!B71</f>
        <v>056</v>
      </c>
      <c r="C81" s="250" t="str">
        <f>'(B3) Struktura Funksionale'!C71</f>
        <v>Mbrojtja e mjedisit</v>
      </c>
      <c r="D81" s="242"/>
      <c r="E81" s="242"/>
      <c r="F81" s="243"/>
    </row>
    <row r="82" spans="1:6" x14ac:dyDescent="0.2">
      <c r="A82" s="188" t="str">
        <f>'(B3) Struktura Funksionale'!A72</f>
        <v>Programi 13a</v>
      </c>
      <c r="B82" s="584" t="str">
        <f>'(B3) Struktura Funksionale'!B72</f>
        <v>05630</v>
      </c>
      <c r="C82" s="188" t="str">
        <f>'(B3) Struktura Funksionale'!C72</f>
        <v>Ndërgjegjësimi mjedisor</v>
      </c>
      <c r="D82" s="195"/>
      <c r="E82" s="195"/>
      <c r="F82" s="195"/>
    </row>
    <row r="83" spans="1:6" hidden="1" x14ac:dyDescent="0.2">
      <c r="A83" s="188" t="str">
        <f>'(B3) Struktura Funksionale'!A73</f>
        <v>Programi 13b</v>
      </c>
      <c r="B83" s="584" t="str">
        <f>'(B3) Struktura Funksionale'!B73</f>
        <v>05640</v>
      </c>
      <c r="C83" s="188" t="str">
        <f>'(B3) Struktura Funksionale'!C73</f>
        <v>Administrimi i resurseve ujore</v>
      </c>
      <c r="D83" s="50"/>
      <c r="E83" s="50"/>
      <c r="F83" s="50"/>
    </row>
    <row r="84" spans="1:6" x14ac:dyDescent="0.2">
      <c r="A84" s="188" t="str">
        <f>'(B3) Struktura Funksionale'!A74</f>
        <v>Programi 13c</v>
      </c>
      <c r="B84" s="584">
        <f>'(B3) Struktura Funksionale'!B74</f>
        <v>0</v>
      </c>
      <c r="C84" s="188">
        <f>'(B3) Struktura Funksionale'!C74</f>
        <v>0</v>
      </c>
      <c r="D84" s="50"/>
      <c r="E84" s="50"/>
      <c r="F84" s="50"/>
    </row>
    <row r="85" spans="1:6" x14ac:dyDescent="0.2">
      <c r="A85" s="20"/>
      <c r="B85" s="254"/>
      <c r="C85" s="192"/>
      <c r="D85" s="193">
        <f>SUM(D82:D84)</f>
        <v>0</v>
      </c>
      <c r="E85" s="193">
        <f>SUM(E82:E84)</f>
        <v>0</v>
      </c>
      <c r="F85" s="193">
        <f>SUM(F82:F84)</f>
        <v>0</v>
      </c>
    </row>
    <row r="86" spans="1:6" ht="22.5" customHeight="1" x14ac:dyDescent="0.2">
      <c r="A86" s="599" t="str">
        <f>'(B3) Struktura Funksionale'!A76</f>
        <v>Nënfunksioni 14</v>
      </c>
      <c r="B86" s="599" t="str">
        <f>'(B3) Struktura Funksionale'!B76</f>
        <v>061</v>
      </c>
      <c r="C86" s="250" t="str">
        <f>'(B3) Struktura Funksionale'!C76</f>
        <v>Urbanistika</v>
      </c>
      <c r="D86" s="242"/>
      <c r="E86" s="242"/>
      <c r="F86" s="243"/>
    </row>
    <row r="87" spans="1:6" x14ac:dyDescent="0.2">
      <c r="A87" s="188" t="str">
        <f>'(B3) Struktura Funksionale'!A77</f>
        <v>Programi 14a</v>
      </c>
      <c r="B87" s="584" t="str">
        <f>'(B3) Struktura Funksionale'!B77</f>
        <v>06140</v>
      </c>
      <c r="C87" s="188" t="str">
        <f>'(B3) Struktura Funksionale'!C77</f>
        <v>Planifikimi Urban Vendor</v>
      </c>
      <c r="D87" s="195"/>
      <c r="E87" s="195"/>
      <c r="F87" s="195"/>
    </row>
    <row r="88" spans="1:6" hidden="1" x14ac:dyDescent="0.2">
      <c r="A88" s="188" t="str">
        <f>'(B3) Struktura Funksionale'!A78</f>
        <v>Programi 14b</v>
      </c>
      <c r="B88" s="584" t="str">
        <f>'(B3) Struktura Funksionale'!B78</f>
        <v>06180</v>
      </c>
      <c r="C88" s="188" t="str">
        <f>'(B3) Struktura Funksionale'!C78</f>
        <v>Planifikimi urban dhe strehimi</v>
      </c>
      <c r="D88" s="50"/>
      <c r="E88" s="50"/>
      <c r="F88" s="50"/>
    </row>
    <row r="89" spans="1:6" x14ac:dyDescent="0.2">
      <c r="A89" s="188" t="str">
        <f>'(B3) Struktura Funksionale'!A79</f>
        <v>Programi 14c</v>
      </c>
      <c r="B89" s="584">
        <f>'(B3) Struktura Funksionale'!B79</f>
        <v>0</v>
      </c>
      <c r="C89" s="188">
        <f>'(B3) Struktura Funksionale'!C79</f>
        <v>0</v>
      </c>
      <c r="D89" s="50"/>
      <c r="E89" s="50"/>
      <c r="F89" s="50"/>
    </row>
    <row r="90" spans="1:6" x14ac:dyDescent="0.2">
      <c r="A90" s="20"/>
      <c r="B90" s="254"/>
      <c r="C90" s="192"/>
      <c r="D90" s="193">
        <f>SUM(D87:D89)</f>
        <v>0</v>
      </c>
      <c r="E90" s="193">
        <f>SUM(E87:E89)</f>
        <v>0</v>
      </c>
      <c r="F90" s="193">
        <f>SUM(F87:F89)</f>
        <v>0</v>
      </c>
    </row>
    <row r="91" spans="1:6" ht="21.75" customHeight="1" x14ac:dyDescent="0.2">
      <c r="A91" s="599" t="str">
        <f>'(B3) Struktura Funksionale'!A80</f>
        <v>Nënfunksioni 15</v>
      </c>
      <c r="B91" s="599" t="str">
        <f>'(B3) Struktura Funksionale'!B80</f>
        <v>062</v>
      </c>
      <c r="C91" s="250" t="str">
        <f>'(B3) Struktura Funksionale'!C80</f>
        <v>Zhvillimi i komunitetit</v>
      </c>
      <c r="D91" s="242"/>
      <c r="E91" s="242"/>
      <c r="F91" s="243"/>
    </row>
    <row r="92" spans="1:6" x14ac:dyDescent="0.2">
      <c r="A92" s="188" t="str">
        <f>'(B3) Struktura Funksionale'!A81</f>
        <v>Programi 15a</v>
      </c>
      <c r="B92" s="584" t="str">
        <f>'(B3) Struktura Funksionale'!B81</f>
        <v>06210</v>
      </c>
      <c r="C92" s="188" t="str">
        <f>'(B3) Struktura Funksionale'!C81</f>
        <v>Programet e zhvillimit</v>
      </c>
      <c r="D92" s="195"/>
      <c r="E92" s="195"/>
      <c r="F92" s="195"/>
    </row>
    <row r="93" spans="1:6" x14ac:dyDescent="0.2">
      <c r="A93" s="188" t="str">
        <f>'(B3) Struktura Funksionale'!A82</f>
        <v>Programi 15b</v>
      </c>
      <c r="B93" s="584" t="str">
        <f>'(B3) Struktura Funksionale'!B82</f>
        <v>06260</v>
      </c>
      <c r="C93" s="188" t="str">
        <f>'(B3) Struktura Funksionale'!C82</f>
        <v>Sherbime publike vendore</v>
      </c>
      <c r="D93" s="50"/>
      <c r="E93" s="50"/>
      <c r="F93" s="50"/>
    </row>
    <row r="94" spans="1:6" x14ac:dyDescent="0.2">
      <c r="A94" s="188" t="str">
        <f>'(B3) Struktura Funksionale'!A83</f>
        <v>Programi 15c</v>
      </c>
      <c r="B94" s="584">
        <f>'(B3) Struktura Funksionale'!B83</f>
        <v>0</v>
      </c>
      <c r="C94" s="188">
        <f>'(B3) Struktura Funksionale'!C83</f>
        <v>0</v>
      </c>
      <c r="D94" s="50"/>
      <c r="E94" s="50"/>
      <c r="F94" s="50"/>
    </row>
    <row r="95" spans="1:6" x14ac:dyDescent="0.2">
      <c r="A95" s="20"/>
      <c r="B95" s="254"/>
      <c r="C95" s="192"/>
      <c r="D95" s="193">
        <f>SUM(D92:D94)</f>
        <v>0</v>
      </c>
      <c r="E95" s="193">
        <f>SUM(E92:E94)</f>
        <v>0</v>
      </c>
      <c r="F95" s="193">
        <f>SUM(F92:F94)</f>
        <v>0</v>
      </c>
    </row>
    <row r="96" spans="1:6" ht="22.5" customHeight="1" x14ac:dyDescent="0.2">
      <c r="A96" s="599" t="str">
        <f>'(B3) Struktura Funksionale'!A84</f>
        <v>Nënfunksioni 16</v>
      </c>
      <c r="B96" s="599" t="str">
        <f>'(B3) Struktura Funksionale'!B84</f>
        <v>063</v>
      </c>
      <c r="C96" s="250" t="str">
        <f>'(B3) Struktura Funksionale'!C84</f>
        <v>Furnizimi me ujë</v>
      </c>
      <c r="D96" s="242"/>
      <c r="E96" s="242"/>
      <c r="F96" s="243"/>
    </row>
    <row r="97" spans="1:6" x14ac:dyDescent="0.2">
      <c r="A97" s="188" t="str">
        <f>'(B3) Struktura Funksionale'!A85</f>
        <v>Programi 16a</v>
      </c>
      <c r="B97" s="584" t="str">
        <f>'(B3) Struktura Funksionale'!B85</f>
        <v>06330</v>
      </c>
      <c r="C97" s="188" t="str">
        <f>'(B3) Struktura Funksionale'!C85</f>
        <v xml:space="preserve">Furnizimi me ujë </v>
      </c>
      <c r="D97" s="195"/>
      <c r="E97" s="195"/>
      <c r="F97" s="195"/>
    </row>
    <row r="98" spans="1:6" x14ac:dyDescent="0.2">
      <c r="A98" s="188" t="str">
        <f>'(B3) Struktura Funksionale'!A86</f>
        <v>Programi 16b</v>
      </c>
      <c r="B98" s="584">
        <f>'(B3) Struktura Funksionale'!B86</f>
        <v>0</v>
      </c>
      <c r="C98" s="188">
        <f>'(B3) Struktura Funksionale'!C86</f>
        <v>0</v>
      </c>
      <c r="D98" s="50"/>
      <c r="E98" s="50"/>
      <c r="F98" s="50"/>
    </row>
    <row r="99" spans="1:6" x14ac:dyDescent="0.2">
      <c r="A99" s="188" t="str">
        <f>'(B3) Struktura Funksionale'!A87</f>
        <v>Programi 16c</v>
      </c>
      <c r="B99" s="584">
        <f>'(B3) Struktura Funksionale'!B87</f>
        <v>0</v>
      </c>
      <c r="C99" s="188">
        <f>'(B3) Struktura Funksionale'!C87</f>
        <v>0</v>
      </c>
      <c r="D99" s="50"/>
      <c r="E99" s="50"/>
      <c r="F99" s="50"/>
    </row>
    <row r="100" spans="1:6" x14ac:dyDescent="0.2">
      <c r="A100" s="20"/>
      <c r="B100" s="256"/>
      <c r="C100" s="21"/>
      <c r="D100" s="67">
        <f>SUM(D97:D99)</f>
        <v>0</v>
      </c>
      <c r="E100" s="67">
        <f>SUM(E97:E99)</f>
        <v>0</v>
      </c>
      <c r="F100" s="67">
        <f>SUM(F97:F99)</f>
        <v>0</v>
      </c>
    </row>
    <row r="101" spans="1:6" ht="23.25" customHeight="1" x14ac:dyDescent="0.2">
      <c r="A101" s="599" t="str">
        <f>'(B3) Struktura Funksionale'!A88</f>
        <v>Nënfunksioni 17</v>
      </c>
      <c r="B101" s="599" t="str">
        <f>'(B3) Struktura Funksionale'!B88</f>
        <v>064</v>
      </c>
      <c r="C101" s="250" t="str">
        <f>'(B3) Struktura Funksionale'!C88</f>
        <v>Ndriçimi i rrugëve</v>
      </c>
      <c r="D101" s="242"/>
      <c r="E101" s="242"/>
      <c r="F101" s="243"/>
    </row>
    <row r="102" spans="1:6" x14ac:dyDescent="0.2">
      <c r="A102" s="188" t="str">
        <f>'(B3) Struktura Funksionale'!A89</f>
        <v>Programi 17a</v>
      </c>
      <c r="B102" s="584" t="str">
        <f>'(B3) Struktura Funksionale'!B89</f>
        <v>06440</v>
      </c>
      <c r="C102" s="188" t="str">
        <f>'(B3) Struktura Funksionale'!C89</f>
        <v>Ndriçim rrugësh</v>
      </c>
      <c r="D102" s="50"/>
      <c r="E102" s="50"/>
      <c r="F102" s="50"/>
    </row>
    <row r="103" spans="1:6" x14ac:dyDescent="0.2">
      <c r="A103" s="188" t="str">
        <f>'(B3) Struktura Funksionale'!A90</f>
        <v>Programi 17b</v>
      </c>
      <c r="B103" s="584">
        <f>'(B3) Struktura Funksionale'!B90</f>
        <v>0</v>
      </c>
      <c r="C103" s="188">
        <f>'(B3) Struktura Funksionale'!C90</f>
        <v>0</v>
      </c>
      <c r="D103" s="50"/>
      <c r="E103" s="50"/>
      <c r="F103" s="50"/>
    </row>
    <row r="104" spans="1:6" x14ac:dyDescent="0.2">
      <c r="A104" s="188" t="str">
        <f>'(B3) Struktura Funksionale'!A91</f>
        <v>Programi 17c</v>
      </c>
      <c r="B104" s="584">
        <f>'(B3) Struktura Funksionale'!B91</f>
        <v>0</v>
      </c>
      <c r="C104" s="188">
        <f>'(B3) Struktura Funksionale'!C91</f>
        <v>0</v>
      </c>
      <c r="D104" s="50"/>
      <c r="E104" s="50"/>
      <c r="F104" s="50"/>
    </row>
    <row r="105" spans="1:6" x14ac:dyDescent="0.2">
      <c r="A105" s="20"/>
      <c r="B105" s="254"/>
      <c r="C105" s="192"/>
      <c r="D105" s="193">
        <f>SUM(D102:D104)</f>
        <v>0</v>
      </c>
      <c r="E105" s="193">
        <f>SUM(E102:E104)</f>
        <v>0</v>
      </c>
      <c r="F105" s="193">
        <f>SUM(F102:F104)</f>
        <v>0</v>
      </c>
    </row>
    <row r="106" spans="1:6" ht="22.5" customHeight="1" x14ac:dyDescent="0.2">
      <c r="A106" s="599" t="str">
        <f>'(B3) Struktura Funksionale'!A93</f>
        <v>Nënfunksioni 18</v>
      </c>
      <c r="B106" s="599" t="str">
        <f>'(B3) Struktura Funksionale'!B93</f>
        <v>072</v>
      </c>
      <c r="C106" s="250" t="str">
        <f>'(B3) Struktura Funksionale'!C93</f>
        <v>Shërbimet e kujdesit parësor</v>
      </c>
      <c r="D106" s="242"/>
      <c r="E106" s="242"/>
      <c r="F106" s="243"/>
    </row>
    <row r="107" spans="1:6" x14ac:dyDescent="0.2">
      <c r="A107" s="188" t="str">
        <f>'(B3) Struktura Funksionale'!A94</f>
        <v>Programi 18a</v>
      </c>
      <c r="B107" s="584" t="str">
        <f>'(B3) Struktura Funksionale'!B94</f>
        <v>07220</v>
      </c>
      <c r="C107" s="188" t="str">
        <f>'(B3) Struktura Funksionale'!C94</f>
        <v>Shërbimet e kujdesit parësor</v>
      </c>
      <c r="D107" s="195"/>
      <c r="E107" s="195"/>
      <c r="F107" s="195"/>
    </row>
    <row r="108" spans="1:6" x14ac:dyDescent="0.2">
      <c r="A108" s="188" t="str">
        <f>'(B3) Struktura Funksionale'!A95</f>
        <v>Programi 18b</v>
      </c>
      <c r="B108" s="584">
        <f>'(B3) Struktura Funksionale'!B95</f>
        <v>0</v>
      </c>
      <c r="C108" s="188">
        <f>'(B3) Struktura Funksionale'!C95</f>
        <v>0</v>
      </c>
      <c r="D108" s="50"/>
      <c r="E108" s="50"/>
      <c r="F108" s="50"/>
    </row>
    <row r="109" spans="1:6" x14ac:dyDescent="0.2">
      <c r="A109" s="188" t="str">
        <f>'(B3) Struktura Funksionale'!A96</f>
        <v>Programi 18c</v>
      </c>
      <c r="B109" s="584">
        <f>'(B3) Struktura Funksionale'!B96</f>
        <v>0</v>
      </c>
      <c r="C109" s="188">
        <f>'(B3) Struktura Funksionale'!C96</f>
        <v>0</v>
      </c>
      <c r="D109" s="50"/>
      <c r="E109" s="50"/>
      <c r="F109" s="50"/>
    </row>
    <row r="110" spans="1:6" x14ac:dyDescent="0.2">
      <c r="A110" s="20"/>
      <c r="B110" s="254"/>
      <c r="C110" s="192"/>
      <c r="D110" s="193">
        <f>SUM(D107:D109)</f>
        <v>0</v>
      </c>
      <c r="E110" s="193">
        <f>SUM(E107:E109)</f>
        <v>0</v>
      </c>
      <c r="F110" s="193">
        <f>SUM(F107:F109)</f>
        <v>0</v>
      </c>
    </row>
    <row r="111" spans="1:6" ht="24" customHeight="1" x14ac:dyDescent="0.2">
      <c r="A111" s="599" t="str">
        <f>'(B3) Struktura Funksionale'!A98</f>
        <v>Nënfunksioni 19</v>
      </c>
      <c r="B111" s="599" t="str">
        <f>'(B3) Struktura Funksionale'!B98</f>
        <v>081</v>
      </c>
      <c r="C111" s="250" t="str">
        <f>'(B3) Struktura Funksionale'!C98</f>
        <v>Shërbimet rekreative dhe sportive</v>
      </c>
      <c r="D111" s="242"/>
      <c r="E111" s="242"/>
      <c r="F111" s="243"/>
    </row>
    <row r="112" spans="1:6" hidden="1" x14ac:dyDescent="0.2">
      <c r="A112" s="188" t="str">
        <f>'(B3) Struktura Funksionale'!A99</f>
        <v>Programi 19a</v>
      </c>
      <c r="B112" s="584" t="str">
        <f>'(B3) Struktura Funksionale'!B99</f>
        <v>08120</v>
      </c>
      <c r="C112" s="188" t="str">
        <f>'(B3) Struktura Funksionale'!C99</f>
        <v>Parqet</v>
      </c>
      <c r="D112" s="195"/>
      <c r="E112" s="195"/>
      <c r="F112" s="195"/>
    </row>
    <row r="113" spans="1:6" x14ac:dyDescent="0.2">
      <c r="A113" s="188" t="str">
        <f>'(B3) Struktura Funksionale'!A100</f>
        <v>Programi 19b</v>
      </c>
      <c r="B113" s="584" t="str">
        <f>'(B3) Struktura Funksionale'!B100</f>
        <v>08130</v>
      </c>
      <c r="C113" s="188" t="str">
        <f>'(B3) Struktura Funksionale'!C100</f>
        <v>Sport dhe argëtim</v>
      </c>
      <c r="D113" s="50"/>
      <c r="E113" s="50"/>
      <c r="F113" s="50"/>
    </row>
    <row r="114" spans="1:6" x14ac:dyDescent="0.2">
      <c r="A114" s="188" t="str">
        <f>'(B3) Struktura Funksionale'!A101</f>
        <v>Programi 19c</v>
      </c>
      <c r="B114" s="584">
        <f>'(B3) Struktura Funksionale'!B101</f>
        <v>0</v>
      </c>
      <c r="C114" s="188">
        <f>'(B3) Struktura Funksionale'!C101</f>
        <v>0</v>
      </c>
      <c r="D114" s="50"/>
      <c r="E114" s="50"/>
      <c r="F114" s="50"/>
    </row>
    <row r="115" spans="1:6" x14ac:dyDescent="0.2">
      <c r="A115" s="20"/>
      <c r="B115" s="254"/>
      <c r="C115" s="192"/>
      <c r="D115" s="193">
        <f>SUM(D112:D114)</f>
        <v>0</v>
      </c>
      <c r="E115" s="193">
        <f>SUM(E112:E114)</f>
        <v>0</v>
      </c>
      <c r="F115" s="193">
        <f>SUM(F112:F114)</f>
        <v>0</v>
      </c>
    </row>
    <row r="116" spans="1:6" ht="23.25" customHeight="1" x14ac:dyDescent="0.2">
      <c r="A116" s="599" t="str">
        <f>'(B3) Struktura Funksionale'!A102</f>
        <v>Nënfunksioni 20</v>
      </c>
      <c r="B116" s="599" t="str">
        <f>'(B3) Struktura Funksionale'!B102</f>
        <v>082</v>
      </c>
      <c r="C116" s="250" t="str">
        <f>'(B3) Struktura Funksionale'!C102</f>
        <v>Shërbimet kulturore</v>
      </c>
      <c r="D116" s="242"/>
      <c r="E116" s="242"/>
      <c r="F116" s="243"/>
    </row>
    <row r="117" spans="1:6" x14ac:dyDescent="0.2">
      <c r="A117" s="188" t="str">
        <f>'(B3) Struktura Funksionale'!A103</f>
        <v>Programi 20a</v>
      </c>
      <c r="B117" s="584" t="str">
        <f>'(B3) Struktura Funksionale'!B103</f>
        <v>08220</v>
      </c>
      <c r="C117" s="188" t="str">
        <f>'(B3) Struktura Funksionale'!C103</f>
        <v>Trashëgimia kulturore, eventet artistike dhe kulturore</v>
      </c>
      <c r="D117" s="195"/>
      <c r="E117" s="195"/>
      <c r="F117" s="195"/>
    </row>
    <row r="118" spans="1:6" hidden="1" x14ac:dyDescent="0.2">
      <c r="A118" s="188" t="str">
        <f>'(B3) Struktura Funksionale'!A104</f>
        <v>Programi 20b</v>
      </c>
      <c r="B118" s="584" t="str">
        <f>'(B3) Struktura Funksionale'!B104</f>
        <v>08230</v>
      </c>
      <c r="C118" s="188" t="str">
        <f>'(B3) Struktura Funksionale'!C104</f>
        <v>Arti dhe kultura</v>
      </c>
      <c r="D118" s="50"/>
      <c r="E118" s="50"/>
      <c r="F118" s="50"/>
    </row>
    <row r="119" spans="1:6" hidden="1" x14ac:dyDescent="0.2">
      <c r="A119" s="188" t="str">
        <f>'(B3) Struktura Funksionale'!A105</f>
        <v>Programi 20c</v>
      </c>
      <c r="B119" s="584" t="str">
        <f>'(B3) Struktura Funksionale'!B105</f>
        <v>08280</v>
      </c>
      <c r="C119" s="188" t="str">
        <f>'(B3) Struktura Funksionale'!C105</f>
        <v xml:space="preserve">Muzetë, teatrot dhe eventet kulturore </v>
      </c>
      <c r="D119" s="50"/>
      <c r="E119" s="50"/>
      <c r="F119" s="50"/>
    </row>
    <row r="120" spans="1:6" x14ac:dyDescent="0.2">
      <c r="A120" s="188" t="str">
        <f>'(B3) Struktura Funksionale'!A106</f>
        <v>Programi 20d</v>
      </c>
      <c r="B120" s="584">
        <f>'(B3) Struktura Funksionale'!B106</f>
        <v>0</v>
      </c>
      <c r="C120" s="188">
        <f>'(B3) Struktura Funksionale'!C106</f>
        <v>0</v>
      </c>
      <c r="D120" s="50"/>
      <c r="E120" s="50"/>
      <c r="F120" s="50"/>
    </row>
    <row r="121" spans="1:6" x14ac:dyDescent="0.2">
      <c r="A121" s="20"/>
      <c r="B121" s="254"/>
      <c r="C121" s="192"/>
      <c r="D121" s="193">
        <f>SUM(D117:D120)</f>
        <v>0</v>
      </c>
      <c r="E121" s="193">
        <f>SUM(E117:E120)</f>
        <v>0</v>
      </c>
      <c r="F121" s="193">
        <f>SUM(F117:F120)</f>
        <v>0</v>
      </c>
    </row>
    <row r="122" spans="1:6" ht="22.5" customHeight="1" x14ac:dyDescent="0.2">
      <c r="A122" s="599" t="str">
        <f>'(B3) Struktura Funksionale'!A108</f>
        <v>Nënfunksioni 21</v>
      </c>
      <c r="B122" s="599" t="str">
        <f>'(B3) Struktura Funksionale'!B108</f>
        <v>091</v>
      </c>
      <c r="C122" s="250" t="str">
        <f>'(B3) Struktura Funksionale'!C108</f>
        <v>Arsimi bazë dhe parashkollor</v>
      </c>
      <c r="D122" s="242"/>
      <c r="E122" s="242"/>
      <c r="F122" s="243"/>
    </row>
    <row r="123" spans="1:6" x14ac:dyDescent="0.2">
      <c r="A123" s="188" t="str">
        <f>'(B3) Struktura Funksionale'!A109</f>
        <v>Programi 21a</v>
      </c>
      <c r="B123" s="584" t="str">
        <f>'(B3) Struktura Funksionale'!B109</f>
        <v>09120</v>
      </c>
      <c r="C123" s="188" t="str">
        <f>'(B3) Struktura Funksionale'!C109</f>
        <v>Arsimi bazë përfshirë arsimin parashkollor.</v>
      </c>
      <c r="D123" s="195"/>
      <c r="E123" s="195"/>
      <c r="F123" s="195"/>
    </row>
    <row r="124" spans="1:6" hidden="1" x14ac:dyDescent="0.2">
      <c r="A124" s="188" t="str">
        <f>'(B3) Struktura Funksionale'!A110</f>
        <v>Programi 21b</v>
      </c>
      <c r="B124" s="584" t="str">
        <f>'(B3) Struktura Funksionale'!B110</f>
        <v>09122</v>
      </c>
      <c r="C124" s="188" t="str">
        <f>'(B3) Struktura Funksionale'!C110</f>
        <v>Mësuesit e kopshteve dhe pagat e stafit mbështetës</v>
      </c>
      <c r="D124" s="50"/>
      <c r="E124" s="50"/>
      <c r="F124" s="50"/>
    </row>
    <row r="125" spans="1:6" hidden="1" x14ac:dyDescent="0.2">
      <c r="A125" s="188" t="str">
        <f>'(B3) Struktura Funksionale'!A111</f>
        <v>Programi 21c</v>
      </c>
      <c r="B125" s="584" t="str">
        <f>'(B3) Struktura Funksionale'!B111</f>
        <v>09123</v>
      </c>
      <c r="C125" s="188" t="str">
        <f>'(B3) Struktura Funksionale'!C111</f>
        <v>Ushqimi i kopshteve</v>
      </c>
      <c r="D125" s="50"/>
      <c r="E125" s="50"/>
      <c r="F125" s="50"/>
    </row>
    <row r="126" spans="1:6" x14ac:dyDescent="0.2">
      <c r="A126" s="188" t="str">
        <f>'(B3) Struktura Funksionale'!A112</f>
        <v>Programi 21d</v>
      </c>
      <c r="B126" s="584">
        <f>'(B3) Struktura Funksionale'!B112</f>
        <v>0</v>
      </c>
      <c r="C126" s="188">
        <f>'(B3) Struktura Funksionale'!C112</f>
        <v>0</v>
      </c>
      <c r="D126" s="50"/>
      <c r="E126" s="50"/>
      <c r="F126" s="50"/>
    </row>
    <row r="127" spans="1:6" x14ac:dyDescent="0.2">
      <c r="A127" s="20"/>
      <c r="B127" s="254"/>
      <c r="C127" s="192"/>
      <c r="D127" s="193">
        <f>SUM(D123:D126)</f>
        <v>0</v>
      </c>
      <c r="E127" s="193">
        <f>SUM(E123:E126)</f>
        <v>0</v>
      </c>
      <c r="F127" s="193">
        <f>SUM(F123:F126)</f>
        <v>0</v>
      </c>
    </row>
    <row r="128" spans="1:6" ht="23.25" customHeight="1" x14ac:dyDescent="0.2">
      <c r="A128" s="599" t="str">
        <f>'(B3) Struktura Funksionale'!A113</f>
        <v>Nënfunksioni 22</v>
      </c>
      <c r="B128" s="599" t="str">
        <f>'(B3) Struktura Funksionale'!B113</f>
        <v>092</v>
      </c>
      <c r="C128" s="250" t="str">
        <f>'(B3) Struktura Funksionale'!C113</f>
        <v>Arsimi parauniversitar</v>
      </c>
      <c r="D128" s="242"/>
      <c r="E128" s="242"/>
      <c r="F128" s="243"/>
    </row>
    <row r="129" spans="1:6" x14ac:dyDescent="0.2">
      <c r="A129" s="188" t="str">
        <f>'(B3) Struktura Funksionale'!A114</f>
        <v>Programi 22a</v>
      </c>
      <c r="B129" s="584" t="str">
        <f>'(B3) Struktura Funksionale'!B114</f>
        <v>09230</v>
      </c>
      <c r="C129" s="188" t="str">
        <f>'(B3) Struktura Funksionale'!C114</f>
        <v>Arsimi i mesëm i përgjithshëm</v>
      </c>
      <c r="D129" s="195"/>
      <c r="E129" s="195"/>
      <c r="F129" s="195"/>
    </row>
    <row r="130" spans="1:6" hidden="1" x14ac:dyDescent="0.2">
      <c r="A130" s="188" t="str">
        <f>'(B3) Struktura Funksionale'!A115</f>
        <v>Programi 22b</v>
      </c>
      <c r="B130" s="584" t="str">
        <f>'(B3) Struktura Funksionale'!B115</f>
        <v>09232</v>
      </c>
      <c r="C130" s="188" t="str">
        <f>'(B3) Struktura Funksionale'!C115</f>
        <v>Pagat e stafit mbështetës</v>
      </c>
      <c r="D130" s="50"/>
      <c r="E130" s="50"/>
      <c r="F130" s="50"/>
    </row>
    <row r="131" spans="1:6" x14ac:dyDescent="0.2">
      <c r="A131" s="188" t="str">
        <f>'(B3) Struktura Funksionale'!A116</f>
        <v>Programi 22c</v>
      </c>
      <c r="B131" s="584" t="str">
        <f>'(B3) Struktura Funksionale'!B116</f>
        <v>09240</v>
      </c>
      <c r="C131" s="188" t="str">
        <f>'(B3) Struktura Funksionale'!C116</f>
        <v>Arsimi profesional</v>
      </c>
      <c r="D131" s="50"/>
      <c r="E131" s="50"/>
      <c r="F131" s="50"/>
    </row>
    <row r="132" spans="1:6" x14ac:dyDescent="0.2">
      <c r="A132" s="188" t="str">
        <f>'(B3) Struktura Funksionale'!A117</f>
        <v>Programi 22d</v>
      </c>
      <c r="B132" s="584">
        <f>'(B3) Struktura Funksionale'!B117</f>
        <v>0</v>
      </c>
      <c r="C132" s="188">
        <f>'(B3) Struktura Funksionale'!C117</f>
        <v>0</v>
      </c>
      <c r="D132" s="50"/>
      <c r="E132" s="50"/>
      <c r="F132" s="50"/>
    </row>
    <row r="133" spans="1:6" x14ac:dyDescent="0.2">
      <c r="A133" s="20"/>
      <c r="B133" s="256"/>
      <c r="C133" s="21"/>
      <c r="D133" s="67">
        <f>SUM(D129:D132)</f>
        <v>0</v>
      </c>
      <c r="E133" s="67">
        <f>SUM(E129:E132)</f>
        <v>0</v>
      </c>
      <c r="F133" s="67">
        <f>SUM(F129:F132)</f>
        <v>0</v>
      </c>
    </row>
    <row r="134" spans="1:6" ht="21.75" hidden="1" customHeight="1" x14ac:dyDescent="0.2">
      <c r="A134" s="650" t="e">
        <f>'(B3) Struktura Funksionale'!A118</f>
        <v>#REF!</v>
      </c>
      <c r="B134" s="650" t="str">
        <f>'(B3) Struktura Funksionale'!B118</f>
        <v>096</v>
      </c>
      <c r="C134" s="651" t="str">
        <f>'(B3) Struktura Funksionale'!C118</f>
        <v>Shërbimet plotësuese në arsim</v>
      </c>
      <c r="D134" s="249"/>
      <c r="E134" s="249"/>
      <c r="F134" s="606"/>
    </row>
    <row r="135" spans="1:6" hidden="1" x14ac:dyDescent="0.2">
      <c r="A135" s="188" t="str">
        <f>'(B3) Struktura Funksionale'!A119</f>
        <v>Programi 23a</v>
      </c>
      <c r="B135" s="584" t="str">
        <f>'(B3) Struktura Funksionale'!B119</f>
        <v>09660</v>
      </c>
      <c r="C135" s="188" t="str">
        <f>'(B3) Struktura Funksionale'!C119</f>
        <v xml:space="preserve">Programe arsimore për trajnimin e mësuesve dhe edukatorëve </v>
      </c>
      <c r="D135" s="50"/>
      <c r="E135" s="50"/>
      <c r="F135" s="50"/>
    </row>
    <row r="136" spans="1:6" hidden="1" x14ac:dyDescent="0.2">
      <c r="A136" s="188" t="str">
        <f>'(B3) Struktura Funksionale'!A120</f>
        <v>Programi 23b</v>
      </c>
      <c r="B136" s="584">
        <f>'(B3) Struktura Funksionale'!B120</f>
        <v>0</v>
      </c>
      <c r="C136" s="188">
        <f>'(B3) Struktura Funksionale'!C120</f>
        <v>0</v>
      </c>
      <c r="D136" s="50"/>
      <c r="E136" s="50"/>
      <c r="F136" s="50"/>
    </row>
    <row r="137" spans="1:6" hidden="1" x14ac:dyDescent="0.2">
      <c r="A137" s="188" t="str">
        <f>'(B3) Struktura Funksionale'!A121</f>
        <v>Programi 23c</v>
      </c>
      <c r="B137" s="584">
        <f>'(B3) Struktura Funksionale'!B121</f>
        <v>0</v>
      </c>
      <c r="C137" s="188">
        <f>'(B3) Struktura Funksionale'!C121</f>
        <v>0</v>
      </c>
      <c r="D137" s="50"/>
      <c r="E137" s="50"/>
      <c r="F137" s="50"/>
    </row>
    <row r="138" spans="1:6" hidden="1" x14ac:dyDescent="0.2">
      <c r="A138" s="20"/>
      <c r="B138" s="254"/>
      <c r="C138" s="192"/>
      <c r="D138" s="193">
        <f>SUM(D135:D137)</f>
        <v>0</v>
      </c>
      <c r="E138" s="193">
        <f>SUM(E135:E137)</f>
        <v>0</v>
      </c>
      <c r="F138" s="193">
        <f>SUM(F135:F137)</f>
        <v>0</v>
      </c>
    </row>
    <row r="139" spans="1:6" ht="22.5" customHeight="1" x14ac:dyDescent="0.2">
      <c r="A139" s="599" t="str">
        <f>'(B3) Struktura Funksionale'!A123</f>
        <v>Nënfunksioni 23</v>
      </c>
      <c r="B139" s="599" t="str">
        <f>'(B3) Struktura Funksionale'!B123</f>
        <v>101</v>
      </c>
      <c r="C139" s="250" t="str">
        <f>'(B3) Struktura Funksionale'!C123</f>
        <v>Sëmundje dhe paaftësi</v>
      </c>
      <c r="D139" s="242"/>
      <c r="E139" s="242"/>
      <c r="F139" s="243"/>
    </row>
    <row r="140" spans="1:6" x14ac:dyDescent="0.2">
      <c r="A140" s="188" t="str">
        <f>'(B3) Struktura Funksionale'!A124</f>
        <v>Programi 24a</v>
      </c>
      <c r="B140" s="584" t="str">
        <f>'(B3) Struktura Funksionale'!B124</f>
        <v>10140</v>
      </c>
      <c r="C140" s="188" t="str">
        <f>'(B3) Struktura Funksionale'!C124</f>
        <v>Kujdesi social për personat e sëmurë dhe me aftësi të kufizuara</v>
      </c>
      <c r="D140" s="195"/>
      <c r="E140" s="195"/>
      <c r="F140" s="195"/>
    </row>
    <row r="141" spans="1:6" x14ac:dyDescent="0.2">
      <c r="A141" s="188" t="str">
        <f>'(B3) Struktura Funksionale'!A125</f>
        <v>Programi 24b</v>
      </c>
      <c r="B141" s="584">
        <f>'(B3) Struktura Funksionale'!B125</f>
        <v>0</v>
      </c>
      <c r="C141" s="188">
        <f>'(B3) Struktura Funksionale'!C125</f>
        <v>0</v>
      </c>
      <c r="D141" s="50"/>
      <c r="E141" s="50"/>
      <c r="F141" s="50"/>
    </row>
    <row r="142" spans="1:6" x14ac:dyDescent="0.2">
      <c r="A142" s="188" t="str">
        <f>'(B3) Struktura Funksionale'!A126</f>
        <v>Programi 24c</v>
      </c>
      <c r="B142" s="584">
        <f>'(B3) Struktura Funksionale'!B126</f>
        <v>0</v>
      </c>
      <c r="C142" s="188">
        <f>'(B3) Struktura Funksionale'!C126</f>
        <v>0</v>
      </c>
      <c r="D142" s="50"/>
      <c r="E142" s="50"/>
      <c r="F142" s="50"/>
    </row>
    <row r="143" spans="1:6" x14ac:dyDescent="0.2">
      <c r="A143" s="20"/>
      <c r="B143" s="254"/>
      <c r="C143" s="192"/>
      <c r="D143" s="193">
        <f>SUM(D140:D142)</f>
        <v>0</v>
      </c>
      <c r="E143" s="193">
        <f>SUM(E140:E142)</f>
        <v>0</v>
      </c>
      <c r="F143" s="193">
        <f>SUM(F140:F142)</f>
        <v>0</v>
      </c>
    </row>
    <row r="144" spans="1:6" ht="21.75" customHeight="1" x14ac:dyDescent="0.2">
      <c r="A144" s="599" t="str">
        <f>'(B3) Struktura Funksionale'!A127</f>
        <v>Nënfunksioni 24</v>
      </c>
      <c r="B144" s="599" t="str">
        <f>'(B3) Struktura Funksionale'!B127</f>
        <v>102</v>
      </c>
      <c r="C144" s="250" t="str">
        <f>'(B3) Struktura Funksionale'!C127</f>
        <v>Të moshuarit</v>
      </c>
      <c r="D144" s="242"/>
      <c r="E144" s="242"/>
      <c r="F144" s="243"/>
    </row>
    <row r="145" spans="1:6" x14ac:dyDescent="0.2">
      <c r="A145" s="188" t="str">
        <f>'(B3) Struktura Funksionale'!A128</f>
        <v>Programi 25a</v>
      </c>
      <c r="B145" s="584" t="str">
        <f>'(B3) Struktura Funksionale'!B128</f>
        <v>10220</v>
      </c>
      <c r="C145" s="188" t="str">
        <f>'(B3) Struktura Funksionale'!C128</f>
        <v>Sigurimi shoqëror</v>
      </c>
      <c r="D145" s="195"/>
      <c r="E145" s="195"/>
      <c r="F145" s="195"/>
    </row>
    <row r="146" spans="1:6" x14ac:dyDescent="0.2">
      <c r="A146" s="188" t="str">
        <f>'(B3) Struktura Funksionale'!A129</f>
        <v>Programi 25b</v>
      </c>
      <c r="B146" s="584">
        <f>'(B3) Struktura Funksionale'!B129</f>
        <v>0</v>
      </c>
      <c r="C146" s="188">
        <f>'(B3) Struktura Funksionale'!C129</f>
        <v>0</v>
      </c>
      <c r="D146" s="50"/>
      <c r="E146" s="50"/>
      <c r="F146" s="50"/>
    </row>
    <row r="147" spans="1:6" x14ac:dyDescent="0.2">
      <c r="A147" s="188" t="str">
        <f>'(B3) Struktura Funksionale'!A130</f>
        <v>Programi 25c</v>
      </c>
      <c r="B147" s="584">
        <f>'(B3) Struktura Funksionale'!B130</f>
        <v>0</v>
      </c>
      <c r="C147" s="188">
        <f>'(B3) Struktura Funksionale'!C130</f>
        <v>0</v>
      </c>
      <c r="D147" s="50"/>
      <c r="E147" s="50"/>
      <c r="F147" s="50"/>
    </row>
    <row r="148" spans="1:6" x14ac:dyDescent="0.2">
      <c r="A148" s="20"/>
      <c r="B148" s="254"/>
      <c r="C148" s="192"/>
      <c r="D148" s="193">
        <f>SUM(D145:D147)</f>
        <v>0</v>
      </c>
      <c r="E148" s="193">
        <f>SUM(E145:E147)</f>
        <v>0</v>
      </c>
      <c r="F148" s="193">
        <f>SUM(F145:F147)</f>
        <v>0</v>
      </c>
    </row>
    <row r="149" spans="1:6" ht="22.5" customHeight="1" x14ac:dyDescent="0.2">
      <c r="A149" s="599" t="str">
        <f>'(B3) Struktura Funksionale'!A131</f>
        <v>Nënfunksioni 25</v>
      </c>
      <c r="B149" s="599" t="str">
        <f>'(B3) Struktura Funksionale'!B131</f>
        <v>104</v>
      </c>
      <c r="C149" s="250" t="str">
        <f>'(B3) Struktura Funksionale'!C131</f>
        <v>Familja dhe fëmijët</v>
      </c>
      <c r="D149" s="242"/>
      <c r="E149" s="242"/>
      <c r="F149" s="243"/>
    </row>
    <row r="150" spans="1:6" x14ac:dyDescent="0.2">
      <c r="A150" s="188" t="str">
        <f>'(B3) Struktura Funksionale'!A132</f>
        <v>Programi 26a</v>
      </c>
      <c r="B150" s="584" t="str">
        <f>'(B3) Struktura Funksionale'!B132</f>
        <v>10430</v>
      </c>
      <c r="C150" s="188" t="str">
        <f>'(B3) Struktura Funksionale'!C132</f>
        <v>Kujdesi social për familjet dhe fëmijët</v>
      </c>
      <c r="D150" s="195"/>
      <c r="E150" s="195"/>
      <c r="F150" s="195"/>
    </row>
    <row r="151" spans="1:6" hidden="1" x14ac:dyDescent="0.2">
      <c r="A151" s="188" t="str">
        <f>'(B3) Struktura Funksionale'!A133</f>
        <v>Programi 26b</v>
      </c>
      <c r="B151" s="584" t="str">
        <f>'(B3) Struktura Funksionale'!B133</f>
        <v>10460</v>
      </c>
      <c r="C151" s="188" t="str">
        <f>'(B3) Struktura Funksionale'!C133</f>
        <v>Përfshirja sociale</v>
      </c>
      <c r="D151" s="50"/>
      <c r="E151" s="50"/>
      <c r="F151" s="50"/>
    </row>
    <row r="152" spans="1:6" x14ac:dyDescent="0.2">
      <c r="A152" s="188" t="str">
        <f>'(B3) Struktura Funksionale'!A134</f>
        <v>Programi 26c</v>
      </c>
      <c r="B152" s="584">
        <f>'(B3) Struktura Funksionale'!B134</f>
        <v>0</v>
      </c>
      <c r="C152" s="188">
        <f>'(B3) Struktura Funksionale'!C134</f>
        <v>0</v>
      </c>
      <c r="D152" s="50"/>
      <c r="E152" s="50"/>
      <c r="F152" s="50"/>
    </row>
    <row r="153" spans="1:6" x14ac:dyDescent="0.2">
      <c r="A153" s="20"/>
      <c r="B153" s="254"/>
      <c r="C153" s="192"/>
      <c r="D153" s="193">
        <f>SUM(D150:D152)</f>
        <v>0</v>
      </c>
      <c r="E153" s="193">
        <f>SUM(E150:E152)</f>
        <v>0</v>
      </c>
      <c r="F153" s="193">
        <f>SUM(F150:F152)</f>
        <v>0</v>
      </c>
    </row>
    <row r="154" spans="1:6" ht="22.5" customHeight="1" x14ac:dyDescent="0.2">
      <c r="A154" s="599" t="str">
        <f>'(B3) Struktura Funksionale'!A135</f>
        <v>Nënfunksioni 26</v>
      </c>
      <c r="B154" s="599" t="str">
        <f>'(B3) Struktura Funksionale'!B135</f>
        <v>105</v>
      </c>
      <c r="C154" s="250" t="str">
        <f>'(B3) Struktura Funksionale'!C135</f>
        <v>Papunësia</v>
      </c>
      <c r="D154" s="242"/>
      <c r="E154" s="242"/>
      <c r="F154" s="243"/>
    </row>
    <row r="155" spans="1:6" x14ac:dyDescent="0.2">
      <c r="A155" s="188" t="str">
        <f>'(B3) Struktura Funksionale'!A136</f>
        <v>Programi 27a</v>
      </c>
      <c r="B155" s="584" t="str">
        <f>'(B3) Struktura Funksionale'!B136</f>
        <v>10550</v>
      </c>
      <c r="C155" s="188" t="str">
        <f>'(B3) Struktura Funksionale'!C136</f>
        <v>Papunësia, arsim dhe aftësim</v>
      </c>
      <c r="D155" s="195"/>
      <c r="E155" s="195"/>
      <c r="F155" s="195"/>
    </row>
    <row r="156" spans="1:6" x14ac:dyDescent="0.2">
      <c r="A156" s="188" t="str">
        <f>'(B3) Struktura Funksionale'!A137</f>
        <v>Programi 27b</v>
      </c>
      <c r="B156" s="584">
        <f>'(B3) Struktura Funksionale'!B137</f>
        <v>0</v>
      </c>
      <c r="C156" s="188">
        <f>'(B3) Struktura Funksionale'!C137</f>
        <v>0</v>
      </c>
      <c r="D156" s="50"/>
      <c r="E156" s="50"/>
      <c r="F156" s="50"/>
    </row>
    <row r="157" spans="1:6" x14ac:dyDescent="0.2">
      <c r="A157" s="188" t="str">
        <f>'(B3) Struktura Funksionale'!A138</f>
        <v>Programi 27c</v>
      </c>
      <c r="B157" s="584">
        <f>'(B3) Struktura Funksionale'!B138</f>
        <v>0</v>
      </c>
      <c r="C157" s="188">
        <f>'(B3) Struktura Funksionale'!C138</f>
        <v>0</v>
      </c>
      <c r="D157" s="50"/>
      <c r="E157" s="50"/>
      <c r="F157" s="50"/>
    </row>
    <row r="158" spans="1:6" x14ac:dyDescent="0.2">
      <c r="A158" s="20"/>
      <c r="B158" s="254"/>
      <c r="C158" s="192"/>
      <c r="D158" s="193">
        <f>SUM(D155:D157)</f>
        <v>0</v>
      </c>
      <c r="E158" s="193">
        <f>SUM(E155:E157)</f>
        <v>0</v>
      </c>
      <c r="F158" s="193">
        <f>SUM(F155:F157)</f>
        <v>0</v>
      </c>
    </row>
    <row r="159" spans="1:6" ht="22.5" customHeight="1" x14ac:dyDescent="0.2">
      <c r="A159" s="599" t="str">
        <f>'(B3) Struktura Funksionale'!A139</f>
        <v>Nënfunksioni 27</v>
      </c>
      <c r="B159" s="599" t="str">
        <f>'(B3) Struktura Funksionale'!B139</f>
        <v>106</v>
      </c>
      <c r="C159" s="250" t="str">
        <f>'(B3) Struktura Funksionale'!C139</f>
        <v>Strehimi social</v>
      </c>
      <c r="D159" s="242"/>
      <c r="E159" s="242"/>
      <c r="F159" s="243"/>
    </row>
    <row r="160" spans="1:6" x14ac:dyDescent="0.2">
      <c r="A160" s="188" t="str">
        <f>'(B3) Struktura Funksionale'!A140</f>
        <v>Programi 28a</v>
      </c>
      <c r="B160" s="584" t="str">
        <f>'(B3) Struktura Funksionale'!B140</f>
        <v>10661</v>
      </c>
      <c r="C160" s="188" t="str">
        <f>'(B3) Struktura Funksionale'!C140</f>
        <v>Strehimi social</v>
      </c>
      <c r="D160" s="195"/>
      <c r="E160" s="195"/>
      <c r="F160" s="195"/>
    </row>
    <row r="161" spans="1:6" x14ac:dyDescent="0.2">
      <c r="A161" s="188" t="str">
        <f>'(B3) Struktura Funksionale'!A141</f>
        <v>Programi 28b</v>
      </c>
      <c r="B161" s="584">
        <f>'(B3) Struktura Funksionale'!B141</f>
        <v>0</v>
      </c>
      <c r="C161" s="188">
        <f>'(B3) Struktura Funksionale'!C141</f>
        <v>0</v>
      </c>
      <c r="D161" s="50"/>
      <c r="E161" s="50"/>
      <c r="F161" s="50"/>
    </row>
    <row r="162" spans="1:6" x14ac:dyDescent="0.2">
      <c r="A162" s="188" t="str">
        <f>'(B3) Struktura Funksionale'!A142</f>
        <v>Programi 28c</v>
      </c>
      <c r="B162" s="584">
        <f>'(B3) Struktura Funksionale'!B142</f>
        <v>0</v>
      </c>
      <c r="C162" s="188">
        <f>'(B3) Struktura Funksionale'!C142</f>
        <v>0</v>
      </c>
      <c r="D162" s="50"/>
      <c r="E162" s="50"/>
      <c r="F162" s="50"/>
    </row>
    <row r="163" spans="1:6" x14ac:dyDescent="0.2">
      <c r="A163" s="208"/>
      <c r="B163" s="255"/>
      <c r="C163" s="208"/>
      <c r="D163" s="67">
        <f>SUM(D160:D162)</f>
        <v>0</v>
      </c>
      <c r="E163" s="67">
        <f>SUM(E160:E162)</f>
        <v>0</v>
      </c>
      <c r="F163" s="67">
        <f>SUM(F160:F162)</f>
        <v>0</v>
      </c>
    </row>
    <row r="164" spans="1:6" ht="23.25" hidden="1" customHeight="1" x14ac:dyDescent="0.2">
      <c r="A164" s="650" t="str">
        <f>'(B3) Struktura Funksionale'!A143</f>
        <v>Nënfunksioni 29</v>
      </c>
      <c r="B164" s="650" t="str">
        <f>'(B3) Struktura Funksionale'!B143</f>
        <v>107</v>
      </c>
      <c r="C164" s="651" t="str">
        <f>'(B3) Struktura Funksionale'!C143</f>
        <v>Ndihma Ekonomike</v>
      </c>
      <c r="D164" s="242"/>
      <c r="E164" s="242"/>
      <c r="F164" s="243"/>
    </row>
    <row r="165" spans="1:6" hidden="1" x14ac:dyDescent="0.2">
      <c r="A165" s="188" t="str">
        <f>'(B3) Struktura Funksionale'!A144</f>
        <v>Programi 29a</v>
      </c>
      <c r="B165" s="584" t="str">
        <f>'(B3) Struktura Funksionale'!B144</f>
        <v>10770</v>
      </c>
      <c r="C165" s="188" t="str">
        <f>'(B3) Struktura Funksionale'!C144</f>
        <v>Ndihma Ekonomike</v>
      </c>
      <c r="D165" s="195"/>
      <c r="E165" s="195"/>
      <c r="F165" s="195"/>
    </row>
    <row r="166" spans="1:6" hidden="1" x14ac:dyDescent="0.2">
      <c r="A166" s="188" t="str">
        <f>'(B3) Struktura Funksionale'!A145</f>
        <v>Programi 29b</v>
      </c>
      <c r="B166" s="584">
        <f>'(B3) Struktura Funksionale'!B145</f>
        <v>0</v>
      </c>
      <c r="C166" s="188">
        <f>'(B3) Struktura Funksionale'!C145</f>
        <v>0</v>
      </c>
      <c r="D166" s="50"/>
      <c r="E166" s="50"/>
      <c r="F166" s="50"/>
    </row>
    <row r="167" spans="1:6" hidden="1" x14ac:dyDescent="0.2">
      <c r="A167" s="188" t="str">
        <f>'(B3) Struktura Funksionale'!A146</f>
        <v>Programi 29c</v>
      </c>
      <c r="B167" s="584">
        <f>'(B3) Struktura Funksionale'!B146</f>
        <v>0</v>
      </c>
      <c r="C167" s="188">
        <f>'(B3) Struktura Funksionale'!C146</f>
        <v>0</v>
      </c>
      <c r="D167" s="198"/>
      <c r="E167" s="198"/>
      <c r="F167" s="198"/>
    </row>
    <row r="168" spans="1:6" hidden="1" x14ac:dyDescent="0.2">
      <c r="A168" s="20"/>
      <c r="B168" s="256"/>
      <c r="C168" s="21"/>
      <c r="D168" s="67">
        <f>SUM(D165:D167)</f>
        <v>0</v>
      </c>
      <c r="E168" s="67">
        <f>SUM(E165:E167)</f>
        <v>0</v>
      </c>
      <c r="F168" s="67">
        <f>SUM(F165:F167)</f>
        <v>0</v>
      </c>
    </row>
    <row r="169" spans="1:6" x14ac:dyDescent="0.2">
      <c r="D169" s="65"/>
    </row>
    <row r="170" spans="1:6" x14ac:dyDescent="0.2">
      <c r="A170" s="20"/>
      <c r="B170" s="256"/>
      <c r="C170" s="21"/>
      <c r="D170" s="73">
        <f>D15+D22+D27+D32+D37+D45+D53+D59+D65+D70+D75+D80+D85+D90+D95+D100+D105+D110+D115+D121+D127+D133+D138+D143+D148+D153+D158+D163+D168</f>
        <v>0</v>
      </c>
      <c r="E170" s="73">
        <f>E15+E22+E27+E32+E37+E45+E53+E59+E65+E70+E75+E80+E85+E90+E95+E100+E105+E110+E115+E121+E127+E133+E138+E143+E148+E153+E158+E163+E168</f>
        <v>0</v>
      </c>
      <c r="F170" s="73">
        <f>F15+F22+F27+F32+F37+F45+F53+F59+F65+F70+F75+F80+F85+F90+F95+F100+F105+F110+F115+F121+F127+F133+F138+F143+F148+F153+F158+F163+F168</f>
        <v>0</v>
      </c>
    </row>
    <row r="172" spans="1:6" x14ac:dyDescent="0.2">
      <c r="A172" s="111"/>
    </row>
    <row r="173" spans="1:6" x14ac:dyDescent="0.2">
      <c r="B173" s="248"/>
      <c r="C173" s="65"/>
      <c r="D173" s="65"/>
      <c r="E173" s="65"/>
    </row>
    <row r="174" spans="1:6" x14ac:dyDescent="0.2">
      <c r="B174" s="248"/>
      <c r="C174" s="65"/>
      <c r="D174" s="65"/>
      <c r="E174" s="65"/>
    </row>
  </sheetData>
  <sheetProtection sheet="1" objects="1" scenarios="1" selectLockedCells="1"/>
  <mergeCells count="1">
    <mergeCell ref="A3:F3"/>
  </mergeCells>
  <printOptions gridLines="1"/>
  <pageMargins left="0.78740157480314965" right="0.70866141732283472" top="0.98425196850393704" bottom="0.78740157480314965" header="0.43307086614173229" footer="0.31496062992125984"/>
  <pageSetup paperSize="9" scale="93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5" manualBreakCount="5">
    <brk id="32" max="16383" man="1"/>
    <brk id="65" max="8" man="1"/>
    <brk id="95" max="16383" man="1"/>
    <brk id="127" max="16383" man="1"/>
    <brk id="1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AI215"/>
  <sheetViews>
    <sheetView topLeftCell="A196" workbookViewId="0">
      <selection activeCell="A37" sqref="A1:XFD1048576"/>
    </sheetView>
  </sheetViews>
  <sheetFormatPr defaultRowHeight="15" x14ac:dyDescent="0.25"/>
  <cols>
    <col min="1" max="1" width="68.28515625" customWidth="1"/>
    <col min="2" max="2" width="15.28515625" customWidth="1"/>
    <col min="3" max="3" width="9.85546875" customWidth="1"/>
    <col min="4" max="4" width="10.7109375" customWidth="1"/>
    <col min="5" max="5" width="12.85546875" customWidth="1"/>
    <col min="6" max="6" width="9.85546875" bestFit="1" customWidth="1"/>
    <col min="8" max="8" width="10.28515625" customWidth="1"/>
  </cols>
  <sheetData>
    <row r="2" spans="1:8" x14ac:dyDescent="0.25">
      <c r="A2" s="810"/>
    </row>
    <row r="3" spans="1:8" ht="21" x14ac:dyDescent="0.25">
      <c r="A3" s="1127" t="str">
        <f>'(G1) Fjalori'!A497</f>
        <v>(E3)LISTA EMERORE E PROJEKTEVE TE INVESTIMEVE</v>
      </c>
      <c r="B3" s="1128"/>
      <c r="C3" s="1128"/>
      <c r="D3" s="1128"/>
      <c r="E3" s="1128"/>
      <c r="F3" s="1128"/>
      <c r="G3" s="1128"/>
      <c r="H3" s="1129"/>
    </row>
    <row r="4" spans="1:8" ht="20.25" customHeight="1" x14ac:dyDescent="0.25">
      <c r="A4" s="802" t="str">
        <f>'(G1) Fjalori'!A499</f>
        <v>Emërtimi i projektit</v>
      </c>
      <c r="B4" s="802" t="str">
        <f>'(G1) Fjalori'!A498</f>
        <v>Vlera e kontratës</v>
      </c>
      <c r="C4" s="801">
        <f>'(A1) Titulli'!B39</f>
        <v>2019</v>
      </c>
      <c r="D4" s="801">
        <f>'(A1) Titulli'!B40</f>
        <v>2020</v>
      </c>
      <c r="E4" s="801">
        <f>'(A1) Titulli'!B41</f>
        <v>2021</v>
      </c>
      <c r="F4" s="802">
        <f>'(A1) Titulli'!B42</f>
        <v>2022</v>
      </c>
      <c r="G4" s="802">
        <f>'(A1) Titulli'!B43</f>
        <v>2023</v>
      </c>
      <c r="H4" s="802">
        <f>'(A1) Titulli'!B44</f>
        <v>2024</v>
      </c>
    </row>
    <row r="5" spans="1:8" x14ac:dyDescent="0.25">
      <c r="A5" s="258" t="s">
        <v>2184</v>
      </c>
      <c r="B5" s="633">
        <f>9057405+1811481+194800+2173777</f>
        <v>13237463</v>
      </c>
      <c r="C5" s="633"/>
      <c r="D5" s="1034">
        <v>2297244</v>
      </c>
      <c r="E5" s="633"/>
      <c r="F5" s="633"/>
      <c r="G5" s="633"/>
      <c r="H5" s="633"/>
    </row>
    <row r="6" spans="1:8" x14ac:dyDescent="0.25">
      <c r="A6" s="258" t="s">
        <v>1953</v>
      </c>
      <c r="B6" s="633">
        <f>58800+84240+10723032+2094012+20000</f>
        <v>12980084</v>
      </c>
      <c r="C6" s="633">
        <v>20000</v>
      </c>
      <c r="D6" s="633"/>
      <c r="E6" s="633"/>
      <c r="F6" s="633"/>
      <c r="G6" s="633"/>
      <c r="H6" s="633"/>
    </row>
    <row r="7" spans="1:8" x14ac:dyDescent="0.25">
      <c r="A7" s="258" t="s">
        <v>1954</v>
      </c>
      <c r="B7" s="633">
        <f>49299486+9859897+11831877+95400</f>
        <v>71086660</v>
      </c>
      <c r="C7" s="633">
        <v>14386480</v>
      </c>
      <c r="D7" s="633"/>
      <c r="E7" s="633"/>
      <c r="F7" s="633"/>
      <c r="G7" s="633"/>
      <c r="H7" s="633"/>
    </row>
    <row r="8" spans="1:8" x14ac:dyDescent="0.25">
      <c r="A8" s="258" t="s">
        <v>2185</v>
      </c>
      <c r="B8" s="633">
        <f>782640+1620</f>
        <v>784260</v>
      </c>
      <c r="C8" s="633"/>
      <c r="D8" s="633"/>
      <c r="E8" s="633"/>
      <c r="F8" s="633"/>
      <c r="G8" s="633"/>
      <c r="H8" s="633"/>
    </row>
    <row r="9" spans="1:8" x14ac:dyDescent="0.25">
      <c r="A9" s="258" t="s">
        <v>1955</v>
      </c>
      <c r="B9" s="633">
        <f>722904+3360+1300</f>
        <v>727564</v>
      </c>
      <c r="C9" s="633">
        <v>48528</v>
      </c>
      <c r="D9" s="633"/>
      <c r="E9" s="633"/>
      <c r="F9" s="633"/>
      <c r="G9" s="633"/>
      <c r="H9" s="633"/>
    </row>
    <row r="10" spans="1:8" x14ac:dyDescent="0.25">
      <c r="A10" s="258" t="s">
        <v>2186</v>
      </c>
      <c r="B10" s="633">
        <f>695360</f>
        <v>695360</v>
      </c>
      <c r="C10" s="633"/>
      <c r="D10" s="633"/>
      <c r="E10" s="633"/>
      <c r="F10" s="633"/>
      <c r="G10" s="633"/>
      <c r="H10" s="633"/>
    </row>
    <row r="11" spans="1:8" x14ac:dyDescent="0.25">
      <c r="A11" s="258" t="s">
        <v>2187</v>
      </c>
      <c r="B11" s="633"/>
      <c r="C11" s="633"/>
      <c r="D11" s="633"/>
      <c r="E11" s="633"/>
      <c r="F11" s="633"/>
      <c r="G11" s="633"/>
      <c r="H11" s="633"/>
    </row>
    <row r="12" spans="1:8" x14ac:dyDescent="0.25">
      <c r="A12" s="258" t="s">
        <v>1956</v>
      </c>
      <c r="B12" s="633">
        <f>85979400+900000</f>
        <v>86879400</v>
      </c>
      <c r="C12" s="633">
        <v>840000</v>
      </c>
      <c r="D12" s="633"/>
      <c r="E12" s="633"/>
      <c r="F12" s="633"/>
      <c r="G12" s="633"/>
      <c r="H12" s="633"/>
    </row>
    <row r="13" spans="1:8" x14ac:dyDescent="0.25">
      <c r="A13" s="258" t="s">
        <v>1957</v>
      </c>
      <c r="B13" s="633">
        <f>23305411+63720+67945</f>
        <v>23437076</v>
      </c>
      <c r="C13" s="633">
        <v>6876820</v>
      </c>
      <c r="D13" s="633"/>
      <c r="E13" s="633"/>
      <c r="F13" s="633"/>
      <c r="G13" s="633"/>
      <c r="H13" s="633"/>
    </row>
    <row r="14" spans="1:8" x14ac:dyDescent="0.25">
      <c r="A14" s="258" t="s">
        <v>1958</v>
      </c>
      <c r="B14" s="633">
        <f>3737404+81720+12000</f>
        <v>3831124</v>
      </c>
      <c r="C14" s="633">
        <v>909846</v>
      </c>
      <c r="D14" s="633"/>
      <c r="E14" s="633"/>
      <c r="F14" s="633"/>
      <c r="G14" s="633"/>
      <c r="H14" s="633"/>
    </row>
    <row r="15" spans="1:8" x14ac:dyDescent="0.25">
      <c r="A15" s="258" t="s">
        <v>2188</v>
      </c>
      <c r="B15" s="633">
        <v>16347130</v>
      </c>
      <c r="C15" s="633"/>
      <c r="D15" s="633"/>
      <c r="E15" s="633"/>
      <c r="F15" s="633"/>
      <c r="G15" s="633"/>
      <c r="H15" s="633"/>
    </row>
    <row r="16" spans="1:8" x14ac:dyDescent="0.25">
      <c r="A16" s="258" t="s">
        <v>1959</v>
      </c>
      <c r="B16" s="633">
        <f>3543713+22680+12000</f>
        <v>3578393</v>
      </c>
      <c r="C16" s="633">
        <v>1004057</v>
      </c>
      <c r="D16" s="633"/>
      <c r="E16" s="633"/>
      <c r="F16" s="633"/>
      <c r="G16" s="633"/>
      <c r="H16" s="633"/>
    </row>
    <row r="17" spans="1:10" x14ac:dyDescent="0.25">
      <c r="A17" s="258" t="s">
        <v>2189</v>
      </c>
      <c r="B17" s="633">
        <v>810999</v>
      </c>
      <c r="C17" s="633"/>
      <c r="D17" s="633"/>
      <c r="E17" s="633"/>
      <c r="F17" s="633"/>
      <c r="G17" s="633"/>
      <c r="H17" s="633"/>
    </row>
    <row r="18" spans="1:10" x14ac:dyDescent="0.25">
      <c r="A18" s="258" t="s">
        <v>2190</v>
      </c>
      <c r="B18" s="633"/>
      <c r="C18" s="633"/>
      <c r="D18" s="633"/>
      <c r="E18" s="633"/>
      <c r="F18" s="633"/>
      <c r="G18" s="633"/>
      <c r="H18" s="633"/>
    </row>
    <row r="19" spans="1:10" x14ac:dyDescent="0.25">
      <c r="A19" s="258" t="s">
        <v>2191</v>
      </c>
      <c r="B19" s="633">
        <f>838676+21120+3000</f>
        <v>862796</v>
      </c>
      <c r="C19" s="633"/>
      <c r="D19" s="633"/>
      <c r="E19" s="633"/>
      <c r="F19" s="633"/>
      <c r="G19" s="633"/>
      <c r="H19" s="633"/>
    </row>
    <row r="20" spans="1:10" x14ac:dyDescent="0.25">
      <c r="A20" s="258" t="s">
        <v>1960</v>
      </c>
      <c r="B20" s="633">
        <f>704400+5520+900</f>
        <v>710820</v>
      </c>
      <c r="C20" s="633">
        <v>4600</v>
      </c>
      <c r="D20" s="633"/>
      <c r="E20" s="633"/>
      <c r="F20" s="633"/>
      <c r="G20" s="633"/>
      <c r="H20" s="633"/>
    </row>
    <row r="21" spans="1:10" x14ac:dyDescent="0.25">
      <c r="A21" s="258" t="s">
        <v>1961</v>
      </c>
      <c r="B21" s="633">
        <f>1166738+21840+3360</f>
        <v>1191938</v>
      </c>
      <c r="C21" s="633">
        <v>331410</v>
      </c>
      <c r="D21" s="633"/>
      <c r="E21" s="633"/>
      <c r="F21" s="633"/>
      <c r="G21" s="633"/>
      <c r="H21" s="633"/>
    </row>
    <row r="22" spans="1:10" x14ac:dyDescent="0.25">
      <c r="A22" s="258" t="s">
        <v>1962</v>
      </c>
      <c r="B22" s="633">
        <f>57959118+591764+11590522</f>
        <v>70141404</v>
      </c>
      <c r="C22" s="633">
        <v>54291114</v>
      </c>
      <c r="D22" s="633"/>
      <c r="E22" s="633"/>
      <c r="F22" s="633"/>
      <c r="G22" s="633"/>
      <c r="H22" s="633"/>
    </row>
    <row r="23" spans="1:10" x14ac:dyDescent="0.25">
      <c r="A23" s="258" t="s">
        <v>1963</v>
      </c>
      <c r="B23" s="633">
        <f>9357012+124920+17520</f>
        <v>9499452</v>
      </c>
      <c r="C23" s="633"/>
      <c r="D23" s="633"/>
      <c r="E23" s="633"/>
      <c r="F23" s="633"/>
      <c r="G23" s="633"/>
      <c r="H23" s="633"/>
    </row>
    <row r="24" spans="1:10" x14ac:dyDescent="0.25">
      <c r="A24" s="258" t="s">
        <v>1964</v>
      </c>
      <c r="B24" s="633">
        <f>6753335+64659+36436+1342157+3364</f>
        <v>8199951</v>
      </c>
      <c r="C24" s="633">
        <v>1342157</v>
      </c>
      <c r="D24" s="633"/>
      <c r="E24" s="633"/>
      <c r="F24" s="633"/>
      <c r="G24" s="633"/>
      <c r="H24" s="633"/>
    </row>
    <row r="25" spans="1:10" x14ac:dyDescent="0.25">
      <c r="A25" s="258" t="s">
        <v>1965</v>
      </c>
      <c r="B25" s="633">
        <f>22800+158510+1240291</f>
        <v>1421601</v>
      </c>
      <c r="C25" s="633"/>
      <c r="D25" s="633"/>
      <c r="E25" s="633"/>
      <c r="F25" s="633"/>
      <c r="G25" s="633"/>
      <c r="H25" s="633"/>
      <c r="I25" s="804"/>
      <c r="J25" s="803"/>
    </row>
    <row r="26" spans="1:10" x14ac:dyDescent="0.25">
      <c r="A26" s="258" t="s">
        <v>1966</v>
      </c>
      <c r="B26" s="633">
        <f>949884+5400+2500</f>
        <v>957784</v>
      </c>
      <c r="C26" s="633">
        <v>5400</v>
      </c>
      <c r="D26" s="633"/>
      <c r="E26" s="633"/>
      <c r="F26" s="633"/>
      <c r="G26" s="633"/>
      <c r="H26" s="633"/>
    </row>
    <row r="27" spans="1:10" x14ac:dyDescent="0.25">
      <c r="A27" s="258" t="s">
        <v>2192</v>
      </c>
      <c r="B27" s="633">
        <v>386162</v>
      </c>
      <c r="C27" s="633"/>
      <c r="D27" s="633"/>
      <c r="E27" s="633"/>
      <c r="F27" s="633"/>
      <c r="G27" s="633"/>
      <c r="H27" s="633"/>
    </row>
    <row r="28" spans="1:10" x14ac:dyDescent="0.25">
      <c r="A28" s="258" t="s">
        <v>1967</v>
      </c>
      <c r="B28" s="633">
        <f>105552+15480+10969393</f>
        <v>11090425</v>
      </c>
      <c r="C28" s="633">
        <v>105552</v>
      </c>
      <c r="D28" s="633"/>
      <c r="E28" s="633"/>
      <c r="F28" s="633"/>
      <c r="G28" s="633"/>
      <c r="H28" s="633"/>
    </row>
    <row r="29" spans="1:10" x14ac:dyDescent="0.25">
      <c r="A29" s="258" t="s">
        <v>2193</v>
      </c>
      <c r="B29" s="1034">
        <v>4067103</v>
      </c>
      <c r="C29" s="633"/>
      <c r="D29" s="1034">
        <v>3997170</v>
      </c>
      <c r="E29" s="633"/>
      <c r="F29" s="633"/>
      <c r="G29" s="633"/>
      <c r="H29" s="633"/>
    </row>
    <row r="30" spans="1:10" x14ac:dyDescent="0.25">
      <c r="A30" s="258" t="s">
        <v>2194</v>
      </c>
      <c r="B30" s="633">
        <v>5496000</v>
      </c>
      <c r="C30" s="633"/>
      <c r="D30" s="633"/>
      <c r="E30" s="633"/>
      <c r="F30" s="633"/>
      <c r="G30" s="633"/>
      <c r="H30" s="633"/>
    </row>
    <row r="31" spans="1:10" x14ac:dyDescent="0.25">
      <c r="A31" s="258" t="s">
        <v>2195</v>
      </c>
      <c r="B31" s="633">
        <v>41800</v>
      </c>
      <c r="C31" s="633"/>
      <c r="D31" s="633"/>
      <c r="E31" s="633"/>
      <c r="F31" s="633"/>
      <c r="G31" s="633"/>
      <c r="H31" s="633"/>
    </row>
    <row r="32" spans="1:10" x14ac:dyDescent="0.25">
      <c r="A32" s="258" t="s">
        <v>1968</v>
      </c>
      <c r="B32" s="633">
        <f>8685002+21240</f>
        <v>8706242</v>
      </c>
      <c r="C32" s="633">
        <v>8683879</v>
      </c>
      <c r="D32" s="633"/>
      <c r="E32" s="633"/>
      <c r="F32" s="633"/>
      <c r="G32" s="633"/>
      <c r="H32" s="633"/>
    </row>
    <row r="33" spans="1:35" x14ac:dyDescent="0.25">
      <c r="A33" s="258" t="s">
        <v>1969</v>
      </c>
      <c r="B33" s="633">
        <f>9670790+233943</f>
        <v>9904733</v>
      </c>
      <c r="C33" s="633">
        <v>9904589</v>
      </c>
      <c r="D33" s="633"/>
      <c r="E33" s="633"/>
      <c r="F33" s="633"/>
      <c r="G33" s="633"/>
      <c r="H33" s="633"/>
    </row>
    <row r="34" spans="1:35" x14ac:dyDescent="0.25">
      <c r="A34" s="258" t="s">
        <v>2196</v>
      </c>
      <c r="B34" s="633">
        <f>468000+7207</f>
        <v>475207</v>
      </c>
      <c r="C34" s="633"/>
      <c r="D34" s="633"/>
      <c r="E34" s="633"/>
      <c r="F34" s="633"/>
      <c r="G34" s="633"/>
      <c r="H34" s="633"/>
    </row>
    <row r="35" spans="1:35" x14ac:dyDescent="0.25">
      <c r="A35" s="258" t="s">
        <v>1970</v>
      </c>
      <c r="B35" s="633">
        <f>79999999+838620+210488</f>
        <v>81049107</v>
      </c>
      <c r="C35" s="633">
        <v>79744962</v>
      </c>
      <c r="D35" s="1034">
        <v>93116</v>
      </c>
      <c r="E35" s="633"/>
      <c r="F35" s="633"/>
      <c r="G35" s="633"/>
      <c r="H35" s="633"/>
    </row>
    <row r="36" spans="1:35" x14ac:dyDescent="0.25">
      <c r="A36" s="258" t="s">
        <v>1971</v>
      </c>
      <c r="B36" s="633"/>
      <c r="C36" s="633">
        <v>470523</v>
      </c>
      <c r="D36" s="633"/>
      <c r="E36" s="633"/>
      <c r="F36" s="633"/>
      <c r="G36" s="633"/>
      <c r="H36" s="633"/>
    </row>
    <row r="37" spans="1:35" x14ac:dyDescent="0.25">
      <c r="A37" s="258" t="s">
        <v>1972</v>
      </c>
      <c r="B37" s="633"/>
      <c r="C37" s="633">
        <v>450000</v>
      </c>
      <c r="D37" s="633"/>
      <c r="E37" s="633"/>
      <c r="F37" s="633"/>
      <c r="G37" s="633"/>
      <c r="H37" s="633"/>
    </row>
    <row r="38" spans="1:35" x14ac:dyDescent="0.25">
      <c r="A38" s="258" t="s">
        <v>1973</v>
      </c>
      <c r="B38" s="633">
        <f>8564581+126600+1414728+16400</f>
        <v>10122309</v>
      </c>
      <c r="C38" s="633">
        <v>6716178</v>
      </c>
      <c r="D38" s="633"/>
      <c r="E38" s="633"/>
      <c r="F38" s="633"/>
      <c r="G38" s="633"/>
      <c r="H38" s="633"/>
    </row>
    <row r="39" spans="1:35" x14ac:dyDescent="0.25">
      <c r="A39" s="258" t="s">
        <v>1974</v>
      </c>
      <c r="B39" s="633">
        <f>664065+27742+68194634</f>
        <v>68886441</v>
      </c>
      <c r="C39" s="633">
        <v>10000000</v>
      </c>
      <c r="D39" s="633"/>
      <c r="E39" s="633"/>
      <c r="F39" s="633"/>
      <c r="G39" s="633"/>
      <c r="H39" s="633"/>
    </row>
    <row r="40" spans="1:35" x14ac:dyDescent="0.25">
      <c r="A40" s="797" t="s">
        <v>1988</v>
      </c>
      <c r="B40" s="633">
        <v>125040229</v>
      </c>
      <c r="C40" s="633">
        <v>19232491</v>
      </c>
      <c r="D40" s="1034">
        <f>6116894+270060</f>
        <v>6386954</v>
      </c>
      <c r="E40" s="633"/>
      <c r="F40" s="633"/>
      <c r="G40" s="633"/>
      <c r="H40" s="633"/>
    </row>
    <row r="41" spans="1:35" x14ac:dyDescent="0.25">
      <c r="A41" s="258" t="s">
        <v>1975</v>
      </c>
      <c r="B41" s="633">
        <f>351994+28759790</f>
        <v>29111784</v>
      </c>
      <c r="C41" s="633">
        <v>28490916</v>
      </c>
      <c r="D41" s="633"/>
      <c r="E41" s="633"/>
      <c r="F41" s="633"/>
      <c r="G41" s="633"/>
      <c r="H41" s="633"/>
    </row>
    <row r="42" spans="1:35" x14ac:dyDescent="0.25">
      <c r="A42" s="258" t="s">
        <v>1976</v>
      </c>
      <c r="B42" s="633">
        <f>2906591+21840+5580+574800</f>
        <v>3508811</v>
      </c>
      <c r="C42" s="633">
        <v>596640</v>
      </c>
      <c r="D42" s="633"/>
      <c r="E42" s="633"/>
      <c r="F42" s="633"/>
      <c r="G42" s="633"/>
      <c r="H42" s="633"/>
    </row>
    <row r="43" spans="1:35" x14ac:dyDescent="0.25">
      <c r="A43" s="258" t="s">
        <v>1977</v>
      </c>
      <c r="B43" s="633">
        <f>30130+2367381</f>
        <v>2397511</v>
      </c>
      <c r="C43" s="633">
        <v>2098699</v>
      </c>
      <c r="D43" s="633"/>
      <c r="E43" s="633"/>
      <c r="F43" s="633"/>
      <c r="G43" s="633"/>
      <c r="H43" s="633"/>
    </row>
    <row r="44" spans="1:35" x14ac:dyDescent="0.25">
      <c r="A44" s="258" t="s">
        <v>1978</v>
      </c>
      <c r="B44" s="633"/>
      <c r="C44" s="633">
        <v>380000</v>
      </c>
      <c r="D44" s="633"/>
      <c r="E44" s="633"/>
      <c r="F44" s="633"/>
      <c r="G44" s="633"/>
      <c r="H44" s="633"/>
    </row>
    <row r="45" spans="1:35" x14ac:dyDescent="0.25">
      <c r="A45" s="258" t="s">
        <v>1979</v>
      </c>
      <c r="B45" s="633"/>
      <c r="C45" s="633">
        <v>380000</v>
      </c>
      <c r="D45" s="633"/>
      <c r="E45" s="633"/>
      <c r="F45" s="633"/>
      <c r="G45" s="633"/>
      <c r="H45" s="633"/>
    </row>
    <row r="46" spans="1:35" x14ac:dyDescent="0.25">
      <c r="A46" s="258" t="s">
        <v>1980</v>
      </c>
      <c r="B46" s="633"/>
      <c r="C46" s="633">
        <v>135000</v>
      </c>
      <c r="D46" s="633"/>
      <c r="E46" s="633"/>
      <c r="F46" s="633"/>
      <c r="G46" s="633"/>
      <c r="H46" s="633"/>
    </row>
    <row r="47" spans="1:35" s="1032" customFormat="1" x14ac:dyDescent="0.25">
      <c r="A47" s="258" t="s">
        <v>1981</v>
      </c>
      <c r="B47" s="633"/>
      <c r="C47" s="633">
        <v>400000</v>
      </c>
      <c r="D47" s="633"/>
      <c r="E47" s="633"/>
      <c r="F47" s="633"/>
      <c r="G47" s="633"/>
      <c r="H47" s="633"/>
      <c r="I47" s="1033"/>
      <c r="J47" s="1033"/>
      <c r="K47" s="1033"/>
      <c r="L47" s="1033"/>
      <c r="M47" s="1033"/>
      <c r="N47" s="1033"/>
      <c r="O47" s="1033"/>
      <c r="P47" s="1033"/>
      <c r="Q47" s="1033"/>
      <c r="R47" s="1033"/>
      <c r="S47" s="1033"/>
      <c r="T47" s="1033"/>
      <c r="U47" s="1033"/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  <c r="AF47" s="1033"/>
      <c r="AG47" s="1033"/>
      <c r="AH47" s="1033"/>
      <c r="AI47" s="1033"/>
    </row>
    <row r="48" spans="1:35" x14ac:dyDescent="0.25">
      <c r="A48" s="258" t="s">
        <v>1982</v>
      </c>
      <c r="B48" s="633">
        <v>1192800</v>
      </c>
      <c r="C48" s="633">
        <v>1192800</v>
      </c>
      <c r="D48" s="633"/>
      <c r="E48" s="633"/>
      <c r="F48" s="633"/>
      <c r="G48" s="633"/>
      <c r="H48" s="633"/>
      <c r="I48" s="1033"/>
      <c r="J48" s="1033"/>
      <c r="K48" s="1033"/>
      <c r="L48" s="1033"/>
      <c r="M48" s="1033"/>
      <c r="N48" s="1033"/>
      <c r="O48" s="1033"/>
      <c r="P48" s="1033"/>
      <c r="Q48" s="1033"/>
      <c r="R48" s="1033"/>
      <c r="S48" s="1033"/>
      <c r="T48" s="1033"/>
      <c r="U48" s="1033"/>
      <c r="V48" s="1033"/>
      <c r="W48" s="1033"/>
      <c r="X48" s="1033"/>
      <c r="Y48" s="1033"/>
      <c r="Z48" s="1033"/>
      <c r="AA48" s="1033"/>
      <c r="AB48" s="1033"/>
      <c r="AC48" s="1033"/>
      <c r="AD48" s="1033"/>
      <c r="AE48" s="1033"/>
      <c r="AF48" s="1033"/>
      <c r="AG48" s="1033"/>
      <c r="AH48" s="1033"/>
      <c r="AI48" s="1033"/>
    </row>
    <row r="49" spans="1:35" x14ac:dyDescent="0.25">
      <c r="A49" s="258" t="s">
        <v>1983</v>
      </c>
      <c r="B49" s="633"/>
      <c r="C49" s="633">
        <v>320000</v>
      </c>
      <c r="D49" s="633"/>
      <c r="E49" s="633"/>
      <c r="F49" s="633"/>
      <c r="G49" s="633"/>
      <c r="H49" s="633"/>
      <c r="I49" s="1033"/>
      <c r="J49" s="1033"/>
      <c r="K49" s="1033"/>
      <c r="L49" s="1033"/>
      <c r="M49" s="1033"/>
      <c r="N49" s="1033"/>
      <c r="O49" s="1033"/>
      <c r="P49" s="1033"/>
      <c r="Q49" s="1033"/>
      <c r="R49" s="1033"/>
      <c r="S49" s="1033"/>
      <c r="T49" s="1033"/>
      <c r="U49" s="1033"/>
      <c r="V49" s="1033"/>
      <c r="W49" s="1033"/>
      <c r="X49" s="1033"/>
      <c r="Y49" s="1033"/>
      <c r="Z49" s="1033"/>
      <c r="AA49" s="1033"/>
      <c r="AB49" s="1033"/>
      <c r="AC49" s="1033"/>
      <c r="AD49" s="1033"/>
      <c r="AE49" s="1033"/>
      <c r="AF49" s="1033"/>
      <c r="AG49" s="1033"/>
      <c r="AH49" s="1033"/>
      <c r="AI49" s="1033"/>
    </row>
    <row r="50" spans="1:35" x14ac:dyDescent="0.25">
      <c r="A50" s="258" t="s">
        <v>2197</v>
      </c>
      <c r="B50" s="633">
        <f>37460+2577336</f>
        <v>2614796</v>
      </c>
      <c r="C50" s="633">
        <v>2108508</v>
      </c>
      <c r="D50" s="633"/>
      <c r="E50" s="633"/>
      <c r="F50" s="633"/>
      <c r="G50" s="633"/>
      <c r="H50" s="633"/>
      <c r="I50" s="1033"/>
      <c r="J50" s="1033"/>
      <c r="K50" s="1033"/>
      <c r="L50" s="1033"/>
      <c r="M50" s="1033"/>
      <c r="N50" s="1033"/>
      <c r="O50" s="1033"/>
      <c r="P50" s="1033"/>
      <c r="Q50" s="1033"/>
      <c r="R50" s="1033"/>
      <c r="S50" s="1033"/>
      <c r="T50" s="1033"/>
      <c r="U50" s="1033"/>
      <c r="V50" s="1033"/>
      <c r="W50" s="1033"/>
      <c r="X50" s="1033"/>
      <c r="Y50" s="1033"/>
      <c r="Z50" s="1033"/>
      <c r="AA50" s="1033"/>
      <c r="AB50" s="1033"/>
      <c r="AC50" s="1033"/>
      <c r="AD50" s="1033"/>
      <c r="AE50" s="1033"/>
      <c r="AF50" s="1033"/>
      <c r="AG50" s="1033"/>
      <c r="AH50" s="1033"/>
      <c r="AI50" s="1033"/>
    </row>
    <row r="51" spans="1:35" x14ac:dyDescent="0.25">
      <c r="A51" s="258" t="s">
        <v>1984</v>
      </c>
      <c r="B51" s="633"/>
      <c r="C51" s="633">
        <v>132000</v>
      </c>
      <c r="D51" s="633"/>
      <c r="E51" s="633"/>
      <c r="F51" s="633"/>
      <c r="G51" s="633"/>
      <c r="H51" s="633"/>
      <c r="I51" s="1033"/>
      <c r="J51" s="1033"/>
      <c r="K51" s="1033"/>
      <c r="L51" s="1033"/>
      <c r="M51" s="1033"/>
      <c r="N51" s="1033"/>
      <c r="O51" s="1033"/>
      <c r="P51" s="1033"/>
      <c r="Q51" s="1033"/>
      <c r="R51" s="1033"/>
      <c r="S51" s="1033"/>
      <c r="T51" s="1033"/>
      <c r="U51" s="1033"/>
      <c r="V51" s="1033"/>
      <c r="W51" s="1033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</row>
    <row r="52" spans="1:35" x14ac:dyDescent="0.25">
      <c r="A52" s="258" t="s">
        <v>1985</v>
      </c>
      <c r="B52" s="808">
        <f>3015441+78402+9968</f>
        <v>3103811</v>
      </c>
      <c r="C52" s="633">
        <v>2855582</v>
      </c>
      <c r="D52" s="633"/>
      <c r="E52" s="633"/>
      <c r="F52" s="633"/>
      <c r="G52" s="633"/>
      <c r="H52" s="633"/>
      <c r="I52" s="1033"/>
      <c r="J52" s="1033"/>
      <c r="K52" s="1033"/>
      <c r="L52" s="1033"/>
      <c r="M52" s="1033"/>
      <c r="N52" s="1033"/>
      <c r="O52" s="1033"/>
      <c r="P52" s="1033"/>
      <c r="Q52" s="1033"/>
      <c r="R52" s="1033"/>
      <c r="S52" s="1033"/>
      <c r="T52" s="1033"/>
      <c r="U52" s="1033"/>
      <c r="V52" s="1033"/>
      <c r="W52" s="1033"/>
      <c r="X52" s="1033"/>
      <c r="Y52" s="1033"/>
      <c r="Z52" s="1033"/>
      <c r="AA52" s="1033"/>
      <c r="AB52" s="1033"/>
      <c r="AC52" s="1033"/>
      <c r="AD52" s="1033"/>
      <c r="AE52" s="1033"/>
      <c r="AF52" s="1033"/>
      <c r="AG52" s="1033"/>
      <c r="AH52" s="1033"/>
      <c r="AI52" s="1033"/>
    </row>
    <row r="53" spans="1:35" x14ac:dyDescent="0.25">
      <c r="A53" s="258" t="s">
        <v>1986</v>
      </c>
      <c r="B53" s="633">
        <f>13930487+1175711+137802+26003580</f>
        <v>41247580</v>
      </c>
      <c r="C53" s="633">
        <v>26003575</v>
      </c>
      <c r="D53" s="1034">
        <f>13930364+313143+116676</f>
        <v>14360183</v>
      </c>
      <c r="E53" s="633"/>
      <c r="F53" s="633"/>
      <c r="G53" s="633"/>
      <c r="H53" s="633"/>
      <c r="I53" s="1033"/>
      <c r="J53" s="1033"/>
      <c r="K53" s="1033"/>
      <c r="L53" s="1033"/>
      <c r="M53" s="1033"/>
      <c r="N53" s="1033"/>
      <c r="O53" s="1033"/>
      <c r="P53" s="1033"/>
      <c r="Q53" s="1033"/>
      <c r="R53" s="1033"/>
      <c r="S53" s="1033"/>
      <c r="T53" s="1033"/>
      <c r="U53" s="1033"/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</row>
    <row r="54" spans="1:35" x14ac:dyDescent="0.25">
      <c r="A54" s="258" t="s">
        <v>1987</v>
      </c>
      <c r="B54" s="633">
        <v>22256243</v>
      </c>
      <c r="C54" s="633">
        <v>8903776</v>
      </c>
      <c r="D54" s="1034">
        <f>981291+366198+31769</f>
        <v>1379258</v>
      </c>
      <c r="E54" s="633"/>
      <c r="F54" s="633"/>
      <c r="G54" s="633"/>
      <c r="H54" s="633"/>
      <c r="I54" s="1033"/>
      <c r="J54" s="1033"/>
      <c r="K54" s="1033"/>
      <c r="L54" s="1033"/>
      <c r="M54" s="1033"/>
      <c r="N54" s="1033"/>
      <c r="O54" s="1033"/>
      <c r="P54" s="1033"/>
      <c r="Q54" s="1033"/>
      <c r="R54" s="1033"/>
      <c r="S54" s="1033"/>
      <c r="T54" s="1033"/>
      <c r="U54" s="1033"/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3"/>
      <c r="AH54" s="1033"/>
      <c r="AI54" s="1033"/>
    </row>
    <row r="55" spans="1:35" x14ac:dyDescent="0.25">
      <c r="A55" s="258" t="s">
        <v>1990</v>
      </c>
      <c r="B55" s="633"/>
      <c r="C55" s="633"/>
      <c r="D55" s="633"/>
      <c r="E55" s="633"/>
      <c r="F55" s="633"/>
      <c r="G55" s="633"/>
      <c r="H55" s="633"/>
      <c r="I55" s="1033"/>
      <c r="J55" s="1033"/>
      <c r="K55" s="1033"/>
      <c r="L55" s="1033"/>
      <c r="M55" s="1033"/>
      <c r="N55" s="1033"/>
      <c r="O55" s="1033"/>
      <c r="P55" s="1033"/>
      <c r="Q55" s="1033"/>
      <c r="R55" s="1033"/>
      <c r="S55" s="1033"/>
      <c r="T55" s="1033"/>
      <c r="U55" s="1033"/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3"/>
      <c r="AH55" s="1033"/>
      <c r="AI55" s="1033"/>
    </row>
    <row r="56" spans="1:35" x14ac:dyDescent="0.25">
      <c r="A56" s="258" t="s">
        <v>1989</v>
      </c>
      <c r="B56" s="634"/>
      <c r="C56" s="633"/>
      <c r="D56" s="1034">
        <f>272714</f>
        <v>272714</v>
      </c>
      <c r="E56" s="633"/>
      <c r="F56" s="633"/>
      <c r="G56" s="633"/>
      <c r="H56" s="633"/>
    </row>
    <row r="57" spans="1:35" x14ac:dyDescent="0.25">
      <c r="A57" s="258" t="s">
        <v>1991</v>
      </c>
      <c r="B57" s="633">
        <f>E57</f>
        <v>0</v>
      </c>
      <c r="C57" s="633"/>
      <c r="D57" s="633"/>
      <c r="E57" s="633"/>
      <c r="F57" s="633"/>
      <c r="G57" s="633"/>
      <c r="H57" s="633"/>
    </row>
    <row r="58" spans="1:35" x14ac:dyDescent="0.25">
      <c r="A58" s="258" t="s">
        <v>1992</v>
      </c>
      <c r="B58" s="633"/>
      <c r="C58" s="633"/>
      <c r="D58" s="633"/>
      <c r="E58" s="633"/>
      <c r="F58" s="633"/>
      <c r="G58" s="633"/>
      <c r="H58" s="633"/>
    </row>
    <row r="59" spans="1:35" x14ac:dyDescent="0.25">
      <c r="A59" s="258" t="s">
        <v>2198</v>
      </c>
      <c r="B59" s="633"/>
      <c r="C59" s="633"/>
      <c r="D59" s="1034">
        <f>12642620+1257506</f>
        <v>13900126</v>
      </c>
      <c r="E59" s="633"/>
      <c r="F59" s="633"/>
      <c r="G59" s="633"/>
      <c r="H59" s="633"/>
    </row>
    <row r="60" spans="1:35" x14ac:dyDescent="0.25">
      <c r="A60" s="258" t="s">
        <v>1993</v>
      </c>
      <c r="B60" s="633"/>
      <c r="C60" s="633"/>
      <c r="D60" s="1034">
        <f>5398723+111245</f>
        <v>5509968</v>
      </c>
      <c r="E60" s="633"/>
      <c r="F60" s="633"/>
      <c r="G60" s="633"/>
      <c r="H60" s="633"/>
    </row>
    <row r="61" spans="1:35" x14ac:dyDescent="0.25">
      <c r="A61" s="258" t="s">
        <v>2201</v>
      </c>
      <c r="B61" s="633"/>
      <c r="C61" s="633"/>
      <c r="D61" s="1034">
        <v>2235938</v>
      </c>
      <c r="E61" s="633"/>
      <c r="F61" s="633"/>
      <c r="G61" s="633"/>
      <c r="H61" s="633"/>
    </row>
    <row r="62" spans="1:35" x14ac:dyDescent="0.25">
      <c r="A62" s="258" t="s">
        <v>2202</v>
      </c>
      <c r="B62" s="1034">
        <v>4680000</v>
      </c>
      <c r="C62" s="633"/>
      <c r="D62" s="1034">
        <v>4284307</v>
      </c>
      <c r="E62" s="633"/>
      <c r="F62" s="633"/>
      <c r="G62" s="633"/>
      <c r="H62" s="633"/>
    </row>
    <row r="63" spans="1:35" x14ac:dyDescent="0.25">
      <c r="A63" s="258" t="s">
        <v>2203</v>
      </c>
      <c r="B63" s="1034">
        <f>424614+791396</f>
        <v>1216010</v>
      </c>
      <c r="C63" s="633"/>
      <c r="D63" s="1034">
        <f>71484+791396</f>
        <v>862880</v>
      </c>
      <c r="E63" s="633"/>
      <c r="F63" s="633"/>
      <c r="G63" s="633"/>
      <c r="H63" s="633"/>
    </row>
    <row r="64" spans="1:35" x14ac:dyDescent="0.25">
      <c r="A64" s="258" t="s">
        <v>2204</v>
      </c>
      <c r="B64" s="1034">
        <v>203305</v>
      </c>
      <c r="C64" s="633"/>
      <c r="D64" s="1034">
        <v>186000</v>
      </c>
      <c r="E64" s="633"/>
      <c r="F64" s="633"/>
      <c r="G64" s="633"/>
      <c r="H64" s="633"/>
    </row>
    <row r="65" spans="1:11" x14ac:dyDescent="0.25">
      <c r="A65" s="258" t="s">
        <v>2205</v>
      </c>
      <c r="B65" s="633">
        <v>100000</v>
      </c>
      <c r="C65" s="633"/>
      <c r="D65" s="1034">
        <v>99999</v>
      </c>
      <c r="E65" s="633"/>
      <c r="F65" s="633"/>
      <c r="G65" s="633"/>
      <c r="H65" s="633"/>
    </row>
    <row r="66" spans="1:11" x14ac:dyDescent="0.25">
      <c r="A66" s="258" t="s">
        <v>2206</v>
      </c>
      <c r="B66" s="633">
        <v>1500000</v>
      </c>
      <c r="C66" s="633"/>
      <c r="D66" s="1034">
        <v>1456680</v>
      </c>
      <c r="E66" s="633"/>
      <c r="F66" s="633"/>
      <c r="G66" s="633"/>
      <c r="H66" s="633"/>
    </row>
    <row r="67" spans="1:11" x14ac:dyDescent="0.25">
      <c r="A67" s="258" t="s">
        <v>2207</v>
      </c>
      <c r="B67" s="633">
        <v>1500000</v>
      </c>
      <c r="C67" s="633"/>
      <c r="D67" s="1034">
        <v>1464000</v>
      </c>
      <c r="E67" s="633"/>
      <c r="F67" s="633"/>
      <c r="G67" s="633"/>
      <c r="H67" s="633"/>
    </row>
    <row r="68" spans="1:11" x14ac:dyDescent="0.25">
      <c r="A68" s="258" t="s">
        <v>2208</v>
      </c>
      <c r="B68" s="633">
        <v>1669600</v>
      </c>
      <c r="C68" s="633"/>
      <c r="D68" s="1034">
        <v>1485000</v>
      </c>
      <c r="E68" s="633"/>
      <c r="F68" s="633"/>
      <c r="G68" s="633"/>
      <c r="H68" s="633"/>
    </row>
    <row r="69" spans="1:11" x14ac:dyDescent="0.25">
      <c r="A69" s="258" t="s">
        <v>2209</v>
      </c>
      <c r="B69" s="633">
        <v>598000</v>
      </c>
      <c r="C69" s="633"/>
      <c r="D69" s="1034">
        <v>594000</v>
      </c>
      <c r="E69" s="633"/>
      <c r="F69" s="633"/>
      <c r="G69" s="633"/>
      <c r="H69" s="633"/>
    </row>
    <row r="70" spans="1:11" x14ac:dyDescent="0.25">
      <c r="A70" s="258" t="s">
        <v>2210</v>
      </c>
      <c r="B70" s="633">
        <v>7600</v>
      </c>
      <c r="C70" s="633"/>
      <c r="D70" s="1034">
        <v>7200</v>
      </c>
      <c r="E70" s="633"/>
      <c r="F70" s="633"/>
      <c r="G70" s="633"/>
      <c r="H70" s="633"/>
    </row>
    <row r="71" spans="1:11" x14ac:dyDescent="0.25">
      <c r="A71" s="258" t="s">
        <v>2211</v>
      </c>
      <c r="B71" s="633">
        <v>6800</v>
      </c>
      <c r="C71" s="633"/>
      <c r="D71" s="1034">
        <v>6600</v>
      </c>
      <c r="E71" s="633"/>
      <c r="F71" s="633"/>
      <c r="G71" s="633"/>
      <c r="H71" s="633"/>
    </row>
    <row r="72" spans="1:11" x14ac:dyDescent="0.25">
      <c r="A72" s="258" t="s">
        <v>2212</v>
      </c>
      <c r="B72" s="633">
        <f>622800+10200+4500</f>
        <v>637500</v>
      </c>
      <c r="C72" s="633"/>
      <c r="D72" s="1034">
        <f>622800+10200+4500</f>
        <v>637500</v>
      </c>
      <c r="E72" s="633"/>
      <c r="F72" s="633"/>
      <c r="G72" s="633"/>
      <c r="H72" s="633"/>
    </row>
    <row r="73" spans="1:11" x14ac:dyDescent="0.25">
      <c r="A73" s="258" t="s">
        <v>2034</v>
      </c>
      <c r="B73" s="633">
        <v>108480000</v>
      </c>
      <c r="C73" s="633"/>
      <c r="D73" s="633"/>
      <c r="E73" s="633">
        <v>54240000</v>
      </c>
      <c r="F73" s="633">
        <v>54240000</v>
      </c>
      <c r="G73" s="633"/>
      <c r="H73" s="633"/>
      <c r="J73" t="s">
        <v>990</v>
      </c>
      <c r="K73" t="s">
        <v>2200</v>
      </c>
    </row>
    <row r="74" spans="1:11" x14ac:dyDescent="0.25">
      <c r="A74" s="258" t="s">
        <v>2119</v>
      </c>
      <c r="B74" s="633">
        <v>700000</v>
      </c>
      <c r="C74" s="633"/>
      <c r="D74" s="633"/>
      <c r="E74" s="633">
        <v>700000</v>
      </c>
      <c r="F74" s="633"/>
      <c r="G74" s="633"/>
      <c r="H74" s="633"/>
      <c r="J74" t="s">
        <v>990</v>
      </c>
    </row>
    <row r="75" spans="1:11" x14ac:dyDescent="0.25">
      <c r="A75" s="258" t="s">
        <v>2120</v>
      </c>
      <c r="B75" s="633">
        <v>60000</v>
      </c>
      <c r="C75" s="633"/>
      <c r="D75" s="633"/>
      <c r="E75" s="633">
        <v>60000</v>
      </c>
      <c r="F75" s="633"/>
      <c r="G75" s="633"/>
      <c r="H75" s="633"/>
      <c r="J75" t="s">
        <v>990</v>
      </c>
    </row>
    <row r="76" spans="1:11" x14ac:dyDescent="0.25">
      <c r="A76" s="258" t="s">
        <v>2035</v>
      </c>
      <c r="B76" s="633">
        <v>18622000</v>
      </c>
      <c r="C76" s="633"/>
      <c r="D76" s="633"/>
      <c r="E76" s="633">
        <v>18622000</v>
      </c>
      <c r="F76" s="633"/>
      <c r="G76" s="633"/>
      <c r="H76" s="633"/>
      <c r="J76" t="s">
        <v>990</v>
      </c>
    </row>
    <row r="77" spans="1:11" x14ac:dyDescent="0.25">
      <c r="A77" s="258" t="s">
        <v>2121</v>
      </c>
      <c r="B77" s="633">
        <v>340000</v>
      </c>
      <c r="C77" s="633"/>
      <c r="D77" s="633"/>
      <c r="E77" s="633">
        <v>340000</v>
      </c>
      <c r="F77" s="633"/>
      <c r="G77" s="633"/>
      <c r="H77" s="633"/>
      <c r="J77" t="s">
        <v>990</v>
      </c>
    </row>
    <row r="78" spans="1:11" x14ac:dyDescent="0.25">
      <c r="A78" s="258" t="s">
        <v>2122</v>
      </c>
      <c r="B78" s="633">
        <v>38000</v>
      </c>
      <c r="C78" s="633"/>
      <c r="D78" s="633"/>
      <c r="E78" s="633">
        <v>38000</v>
      </c>
      <c r="F78" s="633"/>
      <c r="G78" s="633"/>
      <c r="H78" s="633"/>
      <c r="J78" t="s">
        <v>990</v>
      </c>
    </row>
    <row r="79" spans="1:11" x14ac:dyDescent="0.25">
      <c r="A79" s="258" t="s">
        <v>2036</v>
      </c>
      <c r="B79" s="633">
        <v>11730000</v>
      </c>
      <c r="C79" s="633"/>
      <c r="D79" s="633"/>
      <c r="E79" s="633">
        <v>11730000</v>
      </c>
      <c r="F79" s="633"/>
      <c r="G79" s="633"/>
      <c r="H79" s="633"/>
      <c r="J79" t="s">
        <v>990</v>
      </c>
    </row>
    <row r="80" spans="1:11" x14ac:dyDescent="0.25">
      <c r="A80" s="258" t="s">
        <v>2123</v>
      </c>
      <c r="B80" s="633">
        <v>240000</v>
      </c>
      <c r="C80" s="633"/>
      <c r="D80" s="633"/>
      <c r="E80" s="633">
        <v>240000</v>
      </c>
      <c r="F80" s="633"/>
      <c r="G80" s="633"/>
      <c r="H80" s="633"/>
      <c r="J80" t="s">
        <v>990</v>
      </c>
    </row>
    <row r="81" spans="1:10" x14ac:dyDescent="0.25">
      <c r="A81" s="258" t="s">
        <v>2124</v>
      </c>
      <c r="B81" s="633">
        <v>30000</v>
      </c>
      <c r="C81" s="633"/>
      <c r="D81" s="633"/>
      <c r="E81" s="633">
        <v>30000</v>
      </c>
      <c r="F81" s="633"/>
      <c r="G81" s="633"/>
      <c r="H81" s="633"/>
      <c r="J81" t="s">
        <v>990</v>
      </c>
    </row>
    <row r="82" spans="1:10" x14ac:dyDescent="0.25">
      <c r="A82" s="258" t="s">
        <v>2038</v>
      </c>
      <c r="B82" s="633">
        <v>4880000</v>
      </c>
      <c r="C82" s="633"/>
      <c r="D82" s="633"/>
      <c r="E82" s="633">
        <v>4880000</v>
      </c>
      <c r="F82" s="633"/>
      <c r="G82" s="633"/>
      <c r="H82" s="633"/>
      <c r="J82" t="s">
        <v>998</v>
      </c>
    </row>
    <row r="83" spans="1:10" x14ac:dyDescent="0.25">
      <c r="A83" s="258" t="s">
        <v>2125</v>
      </c>
      <c r="B83" s="633">
        <v>100000</v>
      </c>
      <c r="C83" s="633"/>
      <c r="D83" s="633"/>
      <c r="E83" s="633">
        <v>100000</v>
      </c>
      <c r="F83" s="633"/>
      <c r="G83" s="633"/>
      <c r="H83" s="633"/>
      <c r="J83" t="s">
        <v>998</v>
      </c>
    </row>
    <row r="84" spans="1:10" x14ac:dyDescent="0.25">
      <c r="A84" s="258" t="s">
        <v>2126</v>
      </c>
      <c r="B84" s="633">
        <v>20000</v>
      </c>
      <c r="C84" s="633"/>
      <c r="D84" s="633"/>
      <c r="E84" s="633">
        <v>20000</v>
      </c>
      <c r="F84" s="633"/>
      <c r="G84" s="633"/>
      <c r="H84" s="633"/>
      <c r="J84" t="s">
        <v>998</v>
      </c>
    </row>
    <row r="85" spans="1:10" x14ac:dyDescent="0.25">
      <c r="A85" s="258" t="s">
        <v>2039</v>
      </c>
      <c r="B85" s="633">
        <v>4880000</v>
      </c>
      <c r="C85" s="633"/>
      <c r="D85" s="633"/>
      <c r="E85" s="633">
        <v>4880000</v>
      </c>
      <c r="F85" s="633"/>
      <c r="G85" s="633"/>
      <c r="H85" s="633"/>
      <c r="J85" t="s">
        <v>990</v>
      </c>
    </row>
    <row r="86" spans="1:10" x14ac:dyDescent="0.25">
      <c r="A86" s="258" t="s">
        <v>2127</v>
      </c>
      <c r="B86" s="633">
        <v>100000</v>
      </c>
      <c r="C86" s="633"/>
      <c r="D86" s="633"/>
      <c r="E86" s="633">
        <v>100000</v>
      </c>
      <c r="F86" s="633"/>
      <c r="G86" s="633"/>
      <c r="H86" s="633"/>
      <c r="J86" t="s">
        <v>990</v>
      </c>
    </row>
    <row r="87" spans="1:10" x14ac:dyDescent="0.25">
      <c r="A87" s="258" t="s">
        <v>2128</v>
      </c>
      <c r="B87" s="633">
        <v>20000</v>
      </c>
      <c r="C87" s="633"/>
      <c r="D87" s="633"/>
      <c r="E87" s="633">
        <v>20000</v>
      </c>
      <c r="F87" s="633"/>
      <c r="G87" s="633"/>
      <c r="H87" s="633"/>
      <c r="J87" t="s">
        <v>990</v>
      </c>
    </row>
    <row r="88" spans="1:10" x14ac:dyDescent="0.25">
      <c r="A88" s="258" t="s">
        <v>2040</v>
      </c>
      <c r="B88" s="633">
        <v>2905000</v>
      </c>
      <c r="C88" s="633"/>
      <c r="D88" s="633"/>
      <c r="E88" s="633">
        <v>2905000</v>
      </c>
      <c r="F88" s="633"/>
      <c r="G88" s="633"/>
      <c r="H88" s="633"/>
      <c r="J88" t="s">
        <v>990</v>
      </c>
    </row>
    <row r="89" spans="1:10" x14ac:dyDescent="0.25">
      <c r="A89" s="258" t="s">
        <v>2129</v>
      </c>
      <c r="B89" s="633">
        <v>80000</v>
      </c>
      <c r="C89" s="633"/>
      <c r="D89" s="633"/>
      <c r="E89" s="633">
        <v>80000</v>
      </c>
      <c r="F89" s="633"/>
      <c r="G89" s="633"/>
      <c r="H89" s="633"/>
      <c r="J89" t="s">
        <v>990</v>
      </c>
    </row>
    <row r="90" spans="1:10" x14ac:dyDescent="0.25">
      <c r="A90" s="258" t="s">
        <v>2130</v>
      </c>
      <c r="B90" s="633">
        <v>15000</v>
      </c>
      <c r="C90" s="633"/>
      <c r="D90" s="633"/>
      <c r="E90" s="633">
        <v>15000</v>
      </c>
      <c r="F90" s="633"/>
      <c r="G90" s="633"/>
      <c r="H90" s="633"/>
      <c r="J90" t="s">
        <v>990</v>
      </c>
    </row>
    <row r="91" spans="1:10" x14ac:dyDescent="0.25">
      <c r="A91" s="258" t="s">
        <v>2043</v>
      </c>
      <c r="B91" s="633">
        <v>3860000</v>
      </c>
      <c r="C91" s="633"/>
      <c r="D91" s="633"/>
      <c r="E91" s="633">
        <v>3860000</v>
      </c>
      <c r="F91" s="633"/>
      <c r="G91" s="633"/>
      <c r="H91" s="633"/>
      <c r="J91" t="s">
        <v>990</v>
      </c>
    </row>
    <row r="92" spans="1:10" x14ac:dyDescent="0.25">
      <c r="A92" s="258" t="s">
        <v>2131</v>
      </c>
      <c r="B92" s="633">
        <v>120000</v>
      </c>
      <c r="C92" s="633"/>
      <c r="D92" s="633"/>
      <c r="E92" s="633">
        <v>120000</v>
      </c>
      <c r="F92" s="633"/>
      <c r="G92" s="633"/>
      <c r="H92" s="633"/>
      <c r="J92" t="s">
        <v>990</v>
      </c>
    </row>
    <row r="93" spans="1:10" x14ac:dyDescent="0.25">
      <c r="A93" s="258" t="s">
        <v>2132</v>
      </c>
      <c r="B93" s="633">
        <v>20000</v>
      </c>
      <c r="C93" s="633"/>
      <c r="D93" s="633"/>
      <c r="E93" s="633">
        <v>20000</v>
      </c>
      <c r="F93" s="633"/>
      <c r="G93" s="633"/>
      <c r="H93" s="633"/>
      <c r="J93" t="s">
        <v>990</v>
      </c>
    </row>
    <row r="94" spans="1:10" x14ac:dyDescent="0.25">
      <c r="A94" s="258" t="s">
        <v>2044</v>
      </c>
      <c r="B94" s="633">
        <v>70000000</v>
      </c>
      <c r="C94" s="633"/>
      <c r="D94" s="633"/>
      <c r="E94" s="633">
        <v>29430000</v>
      </c>
      <c r="F94" s="633">
        <v>40570000</v>
      </c>
      <c r="G94" s="633"/>
      <c r="H94" s="633"/>
      <c r="J94" t="s">
        <v>990</v>
      </c>
    </row>
    <row r="95" spans="1:10" x14ac:dyDescent="0.25">
      <c r="A95" s="258" t="s">
        <v>2133</v>
      </c>
      <c r="B95" s="633">
        <v>520000</v>
      </c>
      <c r="C95" s="633"/>
      <c r="D95" s="633"/>
      <c r="E95" s="633">
        <v>520000</v>
      </c>
      <c r="F95" s="633"/>
      <c r="G95" s="633"/>
      <c r="H95" s="633"/>
      <c r="J95" t="s">
        <v>990</v>
      </c>
    </row>
    <row r="96" spans="1:10" x14ac:dyDescent="0.25">
      <c r="A96" s="258" t="s">
        <v>2134</v>
      </c>
      <c r="B96" s="633">
        <v>50000</v>
      </c>
      <c r="C96" s="633"/>
      <c r="D96" s="633"/>
      <c r="E96" s="633">
        <v>50000</v>
      </c>
      <c r="F96" s="633"/>
      <c r="G96" s="633"/>
      <c r="H96" s="633"/>
      <c r="J96" t="s">
        <v>990</v>
      </c>
    </row>
    <row r="97" spans="1:10" x14ac:dyDescent="0.25">
      <c r="A97" s="258" t="s">
        <v>2037</v>
      </c>
      <c r="B97" s="633">
        <v>8865000</v>
      </c>
      <c r="C97" s="633"/>
      <c r="D97" s="633"/>
      <c r="E97" s="633">
        <v>8865000</v>
      </c>
      <c r="F97" s="633"/>
      <c r="G97" s="633"/>
      <c r="H97" s="633"/>
      <c r="J97" t="s">
        <v>1713</v>
      </c>
    </row>
    <row r="98" spans="1:10" x14ac:dyDescent="0.25">
      <c r="A98" s="258" t="s">
        <v>2081</v>
      </c>
      <c r="B98" s="633">
        <v>110000</v>
      </c>
      <c r="C98" s="633"/>
      <c r="D98" s="633"/>
      <c r="E98" s="633">
        <v>110000</v>
      </c>
      <c r="F98" s="633"/>
      <c r="G98" s="633"/>
      <c r="H98" s="633"/>
      <c r="J98" t="s">
        <v>1713</v>
      </c>
    </row>
    <row r="99" spans="1:10" x14ac:dyDescent="0.25">
      <c r="A99" s="258" t="s">
        <v>2082</v>
      </c>
      <c r="B99" s="633">
        <v>25000</v>
      </c>
      <c r="C99" s="633"/>
      <c r="D99" s="633"/>
      <c r="E99" s="633">
        <v>25000</v>
      </c>
      <c r="F99" s="633"/>
      <c r="G99" s="633"/>
      <c r="H99" s="633"/>
      <c r="J99" t="s">
        <v>1713</v>
      </c>
    </row>
    <row r="100" spans="1:10" x14ac:dyDescent="0.25">
      <c r="A100" s="258" t="s">
        <v>2041</v>
      </c>
      <c r="B100" s="633">
        <v>1937000</v>
      </c>
      <c r="C100" s="633"/>
      <c r="D100" s="633"/>
      <c r="E100" s="633">
        <v>1937000</v>
      </c>
      <c r="F100" s="633"/>
      <c r="G100" s="633"/>
      <c r="H100" s="633"/>
      <c r="J100" t="s">
        <v>984</v>
      </c>
    </row>
    <row r="101" spans="1:10" x14ac:dyDescent="0.25">
      <c r="A101" s="258" t="s">
        <v>2135</v>
      </c>
      <c r="B101" s="633">
        <v>50000</v>
      </c>
      <c r="C101" s="633"/>
      <c r="D101" s="633"/>
      <c r="E101" s="633">
        <v>50000</v>
      </c>
      <c r="F101" s="633"/>
      <c r="G101" s="633"/>
      <c r="H101" s="633"/>
      <c r="J101" t="s">
        <v>984</v>
      </c>
    </row>
    <row r="102" spans="1:10" x14ac:dyDescent="0.25">
      <c r="A102" s="258" t="s">
        <v>2136</v>
      </c>
      <c r="B102" s="633">
        <v>13000</v>
      </c>
      <c r="C102" s="633"/>
      <c r="D102" s="633"/>
      <c r="E102" s="633">
        <v>13000</v>
      </c>
      <c r="F102" s="633"/>
      <c r="G102" s="633"/>
      <c r="H102" s="633"/>
      <c r="J102" t="s">
        <v>984</v>
      </c>
    </row>
    <row r="103" spans="1:10" x14ac:dyDescent="0.25">
      <c r="A103" s="258" t="s">
        <v>2042</v>
      </c>
      <c r="B103" s="633">
        <v>2430000</v>
      </c>
      <c r="C103" s="633"/>
      <c r="D103" s="633"/>
      <c r="E103" s="633">
        <v>2430000</v>
      </c>
      <c r="F103" s="633"/>
      <c r="G103" s="633"/>
      <c r="H103" s="633"/>
      <c r="J103" t="s">
        <v>984</v>
      </c>
    </row>
    <row r="104" spans="1:10" x14ac:dyDescent="0.25">
      <c r="A104" s="258" t="s">
        <v>2137</v>
      </c>
      <c r="B104" s="633">
        <v>55000</v>
      </c>
      <c r="C104" s="633"/>
      <c r="D104" s="633"/>
      <c r="E104" s="633">
        <v>55000</v>
      </c>
      <c r="F104" s="633"/>
      <c r="G104" s="633"/>
      <c r="H104" s="633"/>
      <c r="J104" t="s">
        <v>984</v>
      </c>
    </row>
    <row r="105" spans="1:10" x14ac:dyDescent="0.25">
      <c r="A105" s="258" t="s">
        <v>2138</v>
      </c>
      <c r="B105" s="633">
        <v>15000</v>
      </c>
      <c r="C105" s="633"/>
      <c r="D105" s="633"/>
      <c r="E105" s="633">
        <v>15000</v>
      </c>
      <c r="F105" s="633"/>
      <c r="G105" s="633"/>
      <c r="H105" s="633"/>
      <c r="J105" t="s">
        <v>984</v>
      </c>
    </row>
    <row r="106" spans="1:10" x14ac:dyDescent="0.25">
      <c r="A106" s="258" t="s">
        <v>2048</v>
      </c>
      <c r="B106" s="633">
        <v>2000000</v>
      </c>
      <c r="C106" s="633"/>
      <c r="D106" s="633"/>
      <c r="E106" s="633">
        <v>2000000</v>
      </c>
      <c r="F106" s="633"/>
      <c r="G106" s="633"/>
      <c r="H106" s="633"/>
      <c r="J106" t="s">
        <v>984</v>
      </c>
    </row>
    <row r="107" spans="1:10" x14ac:dyDescent="0.25">
      <c r="A107" s="258" t="s">
        <v>2139</v>
      </c>
      <c r="B107" s="633">
        <v>370000</v>
      </c>
      <c r="C107" s="633"/>
      <c r="D107" s="633"/>
      <c r="E107" s="633">
        <v>370000</v>
      </c>
      <c r="F107" s="633"/>
      <c r="G107" s="633"/>
      <c r="H107" s="633"/>
      <c r="J107" t="s">
        <v>984</v>
      </c>
    </row>
    <row r="108" spans="1:10" x14ac:dyDescent="0.25">
      <c r="A108" s="258" t="s">
        <v>2140</v>
      </c>
      <c r="B108" s="633">
        <v>40000</v>
      </c>
      <c r="C108" s="633"/>
      <c r="D108" s="633"/>
      <c r="E108" s="633">
        <v>40000</v>
      </c>
      <c r="F108" s="633"/>
      <c r="G108" s="633"/>
      <c r="H108" s="633"/>
      <c r="J108" t="s">
        <v>984</v>
      </c>
    </row>
    <row r="109" spans="1:10" x14ac:dyDescent="0.25">
      <c r="A109" s="258" t="s">
        <v>2141</v>
      </c>
      <c r="B109" s="633">
        <v>400000</v>
      </c>
      <c r="C109" s="633"/>
      <c r="D109" s="633"/>
      <c r="E109" s="633">
        <v>400000</v>
      </c>
      <c r="F109" s="633"/>
      <c r="G109" s="633"/>
      <c r="H109" s="633"/>
      <c r="J109" t="s">
        <v>990</v>
      </c>
    </row>
    <row r="110" spans="1:10" x14ac:dyDescent="0.25">
      <c r="A110" s="258" t="s">
        <v>2142</v>
      </c>
      <c r="B110" s="633">
        <v>40000</v>
      </c>
      <c r="C110" s="633"/>
      <c r="D110" s="633"/>
      <c r="E110" s="633">
        <v>40000</v>
      </c>
      <c r="F110" s="633"/>
      <c r="G110" s="633"/>
      <c r="H110" s="633"/>
      <c r="J110" t="s">
        <v>990</v>
      </c>
    </row>
    <row r="111" spans="1:10" x14ac:dyDescent="0.25">
      <c r="A111" s="258" t="s">
        <v>2047</v>
      </c>
      <c r="B111" s="633">
        <v>9913128</v>
      </c>
      <c r="C111" s="633"/>
      <c r="D111" s="633"/>
      <c r="E111" s="633">
        <v>9913128</v>
      </c>
      <c r="F111" s="633"/>
      <c r="G111" s="633"/>
      <c r="H111" s="633"/>
      <c r="J111" t="s">
        <v>984</v>
      </c>
    </row>
    <row r="112" spans="1:10" x14ac:dyDescent="0.25">
      <c r="A112" s="258" t="s">
        <v>2045</v>
      </c>
      <c r="B112" s="633">
        <v>18590000</v>
      </c>
      <c r="C112" s="633"/>
      <c r="D112" s="633"/>
      <c r="E112" s="633">
        <v>18590000</v>
      </c>
      <c r="F112" s="633"/>
      <c r="G112" s="633"/>
      <c r="H112" s="633"/>
      <c r="J112" t="s">
        <v>984</v>
      </c>
    </row>
    <row r="113" spans="1:10" x14ac:dyDescent="0.25">
      <c r="A113" s="258" t="s">
        <v>2046</v>
      </c>
      <c r="B113" s="633">
        <v>19560000</v>
      </c>
      <c r="C113" s="633"/>
      <c r="D113" s="633"/>
      <c r="E113" s="633">
        <v>19560000</v>
      </c>
      <c r="F113" s="633"/>
      <c r="G113" s="633"/>
      <c r="H113" s="633"/>
      <c r="J113" t="s">
        <v>990</v>
      </c>
    </row>
    <row r="114" spans="1:10" x14ac:dyDescent="0.25">
      <c r="A114" s="258" t="s">
        <v>2047</v>
      </c>
      <c r="B114" s="633">
        <v>11850000</v>
      </c>
      <c r="C114" s="633"/>
      <c r="D114" s="633"/>
      <c r="E114" s="633">
        <v>11850000</v>
      </c>
      <c r="F114" s="633"/>
      <c r="G114" s="633"/>
      <c r="H114" s="633"/>
      <c r="J114" t="s">
        <v>984</v>
      </c>
    </row>
    <row r="115" spans="1:10" x14ac:dyDescent="0.25">
      <c r="A115" s="258" t="s">
        <v>2144</v>
      </c>
      <c r="B115" s="633">
        <v>391400</v>
      </c>
      <c r="C115" s="633"/>
      <c r="D115" s="633"/>
      <c r="E115" s="633">
        <v>391400</v>
      </c>
      <c r="F115" s="633"/>
      <c r="G115" s="633"/>
      <c r="H115" s="633"/>
      <c r="J115" t="s">
        <v>998</v>
      </c>
    </row>
    <row r="116" spans="1:10" x14ac:dyDescent="0.25">
      <c r="A116" s="258" t="s">
        <v>2145</v>
      </c>
      <c r="B116" s="633">
        <v>95000</v>
      </c>
      <c r="C116" s="633"/>
      <c r="D116" s="633"/>
      <c r="E116" s="633">
        <v>95000</v>
      </c>
      <c r="F116" s="633"/>
      <c r="G116" s="633"/>
      <c r="H116" s="633"/>
      <c r="J116" t="s">
        <v>998</v>
      </c>
    </row>
    <row r="117" spans="1:10" x14ac:dyDescent="0.25">
      <c r="A117" s="258" t="s">
        <v>2146</v>
      </c>
      <c r="B117" s="633">
        <v>500000</v>
      </c>
      <c r="C117" s="633"/>
      <c r="D117" s="633"/>
      <c r="E117" s="633">
        <v>500000</v>
      </c>
      <c r="F117" s="633"/>
      <c r="G117" s="633"/>
      <c r="H117" s="633"/>
      <c r="J117" t="s">
        <v>998</v>
      </c>
    </row>
    <row r="118" spans="1:10" x14ac:dyDescent="0.25">
      <c r="A118" s="258" t="s">
        <v>2147</v>
      </c>
      <c r="B118" s="633">
        <v>90000</v>
      </c>
      <c r="C118" s="633"/>
      <c r="D118" s="633"/>
      <c r="E118" s="633">
        <v>90000</v>
      </c>
      <c r="F118" s="633"/>
      <c r="G118" s="633"/>
      <c r="H118" s="633"/>
      <c r="J118" t="s">
        <v>998</v>
      </c>
    </row>
    <row r="119" spans="1:10" x14ac:dyDescent="0.25">
      <c r="A119" s="258" t="s">
        <v>2148</v>
      </c>
      <c r="B119" s="633">
        <v>80000</v>
      </c>
      <c r="C119" s="633"/>
      <c r="D119" s="633"/>
      <c r="E119" s="633">
        <v>80000</v>
      </c>
      <c r="F119" s="633"/>
      <c r="G119" s="633"/>
      <c r="H119" s="633"/>
      <c r="J119" t="s">
        <v>998</v>
      </c>
    </row>
    <row r="120" spans="1:10" x14ac:dyDescent="0.25">
      <c r="A120" s="258" t="s">
        <v>2149</v>
      </c>
      <c r="B120" s="633">
        <v>700000</v>
      </c>
      <c r="C120" s="633"/>
      <c r="D120" s="633"/>
      <c r="E120" s="633">
        <v>700000</v>
      </c>
      <c r="F120" s="633"/>
      <c r="G120" s="633"/>
      <c r="H120" s="633"/>
      <c r="J120" t="s">
        <v>998</v>
      </c>
    </row>
    <row r="121" spans="1:10" x14ac:dyDescent="0.25">
      <c r="A121" s="258" t="s">
        <v>2150</v>
      </c>
      <c r="B121" s="633">
        <v>1600000</v>
      </c>
      <c r="C121" s="633"/>
      <c r="D121" s="633"/>
      <c r="E121" s="633">
        <v>1600000</v>
      </c>
      <c r="F121" s="633"/>
      <c r="G121" s="633"/>
      <c r="H121" s="633"/>
      <c r="J121" t="s">
        <v>998</v>
      </c>
    </row>
    <row r="122" spans="1:10" x14ac:dyDescent="0.25">
      <c r="A122" s="258" t="s">
        <v>2151</v>
      </c>
      <c r="B122" s="633">
        <v>80000</v>
      </c>
      <c r="C122" s="633"/>
      <c r="D122" s="633"/>
      <c r="E122" s="633">
        <v>80000</v>
      </c>
      <c r="F122" s="633"/>
      <c r="G122" s="633"/>
      <c r="H122" s="633"/>
      <c r="J122" t="s">
        <v>998</v>
      </c>
    </row>
    <row r="123" spans="1:10" x14ac:dyDescent="0.25">
      <c r="A123" s="258" t="s">
        <v>2152</v>
      </c>
      <c r="B123" s="633">
        <v>1500000</v>
      </c>
      <c r="C123" s="633"/>
      <c r="D123" s="633"/>
      <c r="E123" s="633">
        <v>1500000</v>
      </c>
      <c r="F123" s="633"/>
      <c r="G123" s="633"/>
      <c r="H123" s="633"/>
      <c r="J123" t="s">
        <v>1709</v>
      </c>
    </row>
    <row r="124" spans="1:10" x14ac:dyDescent="0.25">
      <c r="A124" s="258" t="s">
        <v>2153</v>
      </c>
      <c r="B124" s="633">
        <v>1800000</v>
      </c>
      <c r="C124" s="633"/>
      <c r="D124" s="633"/>
      <c r="E124" s="633">
        <v>1800000</v>
      </c>
      <c r="F124" s="633"/>
      <c r="G124" s="633"/>
      <c r="H124" s="633"/>
      <c r="J124" t="s">
        <v>1698</v>
      </c>
    </row>
    <row r="125" spans="1:10" x14ac:dyDescent="0.25">
      <c r="A125" s="258" t="s">
        <v>2154</v>
      </c>
      <c r="B125" s="633">
        <v>1600000</v>
      </c>
      <c r="C125" s="633"/>
      <c r="D125" s="633"/>
      <c r="E125" s="633">
        <v>1600000</v>
      </c>
      <c r="F125" s="633"/>
      <c r="G125" s="633"/>
      <c r="H125" s="633"/>
      <c r="J125" t="s">
        <v>1698</v>
      </c>
    </row>
    <row r="126" spans="1:10" x14ac:dyDescent="0.25">
      <c r="A126" s="258" t="s">
        <v>2155</v>
      </c>
      <c r="B126" s="633">
        <v>1500000</v>
      </c>
      <c r="C126" s="633"/>
      <c r="D126" s="633"/>
      <c r="E126" s="633">
        <v>1500000</v>
      </c>
      <c r="F126" s="633"/>
      <c r="G126" s="633"/>
      <c r="H126" s="633"/>
      <c r="J126" t="s">
        <v>1698</v>
      </c>
    </row>
    <row r="127" spans="1:10" x14ac:dyDescent="0.25">
      <c r="A127" s="258" t="s">
        <v>2156</v>
      </c>
      <c r="B127" s="633">
        <v>3000000</v>
      </c>
      <c r="C127" s="633"/>
      <c r="D127" s="633"/>
      <c r="E127" s="633">
        <v>3000000</v>
      </c>
      <c r="F127" s="633"/>
      <c r="G127" s="633"/>
      <c r="H127" s="633"/>
      <c r="J127" t="s">
        <v>1698</v>
      </c>
    </row>
    <row r="128" spans="1:10" x14ac:dyDescent="0.25">
      <c r="A128" s="258" t="s">
        <v>2157</v>
      </c>
      <c r="B128" s="633">
        <v>6500000</v>
      </c>
      <c r="C128" s="633"/>
      <c r="D128" s="633"/>
      <c r="E128" s="633">
        <v>6500000</v>
      </c>
      <c r="F128" s="633"/>
      <c r="G128" s="633"/>
      <c r="H128" s="633"/>
      <c r="J128" t="s">
        <v>989</v>
      </c>
    </row>
    <row r="129" spans="1:11" x14ac:dyDescent="0.25">
      <c r="A129" s="258" t="s">
        <v>2158</v>
      </c>
      <c r="B129" s="633">
        <v>1500000</v>
      </c>
      <c r="C129" s="633"/>
      <c r="D129" s="633"/>
      <c r="E129" s="633">
        <v>1500000</v>
      </c>
      <c r="F129" s="633"/>
      <c r="G129" s="633"/>
      <c r="H129" s="633"/>
      <c r="J129" t="s">
        <v>989</v>
      </c>
    </row>
    <row r="130" spans="1:11" x14ac:dyDescent="0.25">
      <c r="A130" s="258" t="s">
        <v>2159</v>
      </c>
      <c r="B130" s="633">
        <v>100000</v>
      </c>
      <c r="C130" s="633"/>
      <c r="D130" s="633"/>
      <c r="E130" s="633">
        <v>100000</v>
      </c>
      <c r="F130" s="633"/>
      <c r="G130" s="633"/>
      <c r="H130" s="633"/>
      <c r="J130" t="s">
        <v>2173</v>
      </c>
    </row>
    <row r="131" spans="1:11" x14ac:dyDescent="0.25">
      <c r="A131" s="258" t="s">
        <v>2160</v>
      </c>
      <c r="B131" s="633">
        <v>950000</v>
      </c>
      <c r="C131" s="633"/>
      <c r="D131" s="633"/>
      <c r="E131" s="633">
        <v>950000</v>
      </c>
      <c r="F131" s="633"/>
      <c r="G131" s="633"/>
      <c r="H131" s="633"/>
      <c r="J131" t="s">
        <v>2173</v>
      </c>
    </row>
    <row r="132" spans="1:11" x14ac:dyDescent="0.25">
      <c r="A132" s="258" t="s">
        <v>2161</v>
      </c>
      <c r="B132" s="633">
        <v>7600</v>
      </c>
      <c r="C132" s="633"/>
      <c r="D132" s="633"/>
      <c r="E132" s="633">
        <v>7600</v>
      </c>
      <c r="F132" s="633"/>
      <c r="G132" s="633"/>
      <c r="H132" s="633"/>
      <c r="J132" t="s">
        <v>2173</v>
      </c>
    </row>
    <row r="133" spans="1:11" x14ac:dyDescent="0.25">
      <c r="A133" s="258" t="s">
        <v>2162</v>
      </c>
      <c r="B133" s="633">
        <v>6800</v>
      </c>
      <c r="C133" s="633"/>
      <c r="D133" s="633"/>
      <c r="E133" s="633">
        <v>6800</v>
      </c>
      <c r="F133" s="633"/>
      <c r="G133" s="633"/>
      <c r="H133" s="633"/>
      <c r="J133" t="s">
        <v>2173</v>
      </c>
    </row>
    <row r="134" spans="1:11" x14ac:dyDescent="0.25">
      <c r="A134" s="258" t="s">
        <v>2163</v>
      </c>
      <c r="B134" s="633">
        <v>1500000</v>
      </c>
      <c r="C134" s="633"/>
      <c r="D134" s="633"/>
      <c r="E134" s="633">
        <v>1500000</v>
      </c>
      <c r="F134" s="633"/>
      <c r="G134" s="633"/>
      <c r="H134" s="633"/>
      <c r="J134" t="s">
        <v>2173</v>
      </c>
    </row>
    <row r="135" spans="1:11" x14ac:dyDescent="0.25">
      <c r="A135" s="258" t="s">
        <v>2164</v>
      </c>
      <c r="B135" s="633">
        <v>390000</v>
      </c>
      <c r="C135" s="633"/>
      <c r="D135" s="633"/>
      <c r="E135" s="633">
        <v>390000</v>
      </c>
      <c r="F135" s="633"/>
      <c r="G135" s="633"/>
      <c r="H135" s="633"/>
      <c r="J135" t="s">
        <v>2173</v>
      </c>
    </row>
    <row r="136" spans="1:11" x14ac:dyDescent="0.25">
      <c r="A136" s="258" t="s">
        <v>2165</v>
      </c>
      <c r="B136" s="633">
        <v>300000</v>
      </c>
      <c r="C136" s="633"/>
      <c r="D136" s="633"/>
      <c r="E136" s="633">
        <v>300000</v>
      </c>
      <c r="F136" s="633"/>
      <c r="G136" s="633"/>
      <c r="H136" s="633"/>
      <c r="J136" t="s">
        <v>2174</v>
      </c>
    </row>
    <row r="137" spans="1:11" x14ac:dyDescent="0.25">
      <c r="A137" s="258" t="s">
        <v>2166</v>
      </c>
      <c r="B137" s="633">
        <v>400000</v>
      </c>
      <c r="C137" s="633"/>
      <c r="D137" s="633"/>
      <c r="E137" s="633">
        <v>400000</v>
      </c>
      <c r="F137" s="633"/>
      <c r="G137" s="633"/>
      <c r="H137" s="633"/>
      <c r="J137" t="s">
        <v>2174</v>
      </c>
    </row>
    <row r="138" spans="1:11" x14ac:dyDescent="0.25">
      <c r="A138" s="258" t="s">
        <v>2167</v>
      </c>
      <c r="B138" s="633">
        <v>100000</v>
      </c>
      <c r="C138" s="633"/>
      <c r="D138" s="633"/>
      <c r="E138" s="633">
        <v>100000</v>
      </c>
      <c r="F138" s="633"/>
      <c r="G138" s="633"/>
      <c r="H138" s="633"/>
      <c r="J138" t="s">
        <v>2174</v>
      </c>
    </row>
    <row r="139" spans="1:11" x14ac:dyDescent="0.25">
      <c r="A139" s="258" t="s">
        <v>2168</v>
      </c>
      <c r="B139" s="633">
        <v>100000</v>
      </c>
      <c r="C139" s="633"/>
      <c r="D139" s="633"/>
      <c r="E139" s="633">
        <v>100000</v>
      </c>
      <c r="F139" s="633"/>
      <c r="G139" s="633"/>
      <c r="H139" s="633"/>
      <c r="J139" t="s">
        <v>2174</v>
      </c>
    </row>
    <row r="140" spans="1:11" x14ac:dyDescent="0.25">
      <c r="A140" s="258" t="s">
        <v>2169</v>
      </c>
      <c r="B140" s="633">
        <v>100000</v>
      </c>
      <c r="C140" s="633"/>
      <c r="D140" s="633"/>
      <c r="E140" s="633">
        <v>100000</v>
      </c>
      <c r="F140" s="633"/>
      <c r="G140" s="633"/>
      <c r="H140" s="633"/>
      <c r="J140" t="s">
        <v>2174</v>
      </c>
    </row>
    <row r="141" spans="1:11" x14ac:dyDescent="0.25">
      <c r="A141" s="258" t="s">
        <v>2170</v>
      </c>
      <c r="B141" s="633">
        <v>400000</v>
      </c>
      <c r="C141" s="633"/>
      <c r="D141" s="633"/>
      <c r="E141" s="633">
        <v>400000</v>
      </c>
      <c r="F141" s="633"/>
      <c r="G141" s="633"/>
      <c r="H141" s="633"/>
      <c r="J141" t="s">
        <v>2174</v>
      </c>
    </row>
    <row r="142" spans="1:11" x14ac:dyDescent="0.25">
      <c r="A142" s="258" t="s">
        <v>2171</v>
      </c>
      <c r="B142" s="633">
        <v>100000</v>
      </c>
      <c r="C142" s="633"/>
      <c r="D142" s="633"/>
      <c r="E142" s="633">
        <v>100000</v>
      </c>
      <c r="F142" s="633"/>
      <c r="G142" s="633"/>
      <c r="H142" s="633"/>
      <c r="J142" t="s">
        <v>2174</v>
      </c>
    </row>
    <row r="143" spans="1:11" x14ac:dyDescent="0.25">
      <c r="A143" s="258" t="s">
        <v>2172</v>
      </c>
      <c r="B143" s="633">
        <v>100000</v>
      </c>
      <c r="C143" s="633"/>
      <c r="D143" s="633"/>
      <c r="E143" s="633">
        <v>100000</v>
      </c>
      <c r="F143" s="633"/>
      <c r="G143" s="633"/>
      <c r="H143" s="633"/>
      <c r="J143" t="s">
        <v>2174</v>
      </c>
    </row>
    <row r="144" spans="1:11" x14ac:dyDescent="0.25">
      <c r="A144" s="258" t="s">
        <v>2049</v>
      </c>
      <c r="B144" s="633">
        <v>94659</v>
      </c>
      <c r="C144" s="633"/>
      <c r="D144" s="633"/>
      <c r="E144" s="633">
        <v>94659</v>
      </c>
      <c r="F144" s="633"/>
      <c r="G144" s="633"/>
      <c r="H144" s="633"/>
      <c r="J144" t="s">
        <v>995</v>
      </c>
      <c r="K144" t="s">
        <v>2199</v>
      </c>
    </row>
    <row r="145" spans="1:10" x14ac:dyDescent="0.25">
      <c r="A145" s="258" t="s">
        <v>2050</v>
      </c>
      <c r="B145" s="633">
        <v>13200</v>
      </c>
      <c r="C145" s="633"/>
      <c r="D145" s="633"/>
      <c r="E145" s="633">
        <v>13200</v>
      </c>
      <c r="F145" s="633"/>
      <c r="G145" s="633"/>
      <c r="H145" s="633"/>
      <c r="J145" t="s">
        <v>995</v>
      </c>
    </row>
    <row r="146" spans="1:10" x14ac:dyDescent="0.25">
      <c r="A146" s="258" t="s">
        <v>2051</v>
      </c>
      <c r="B146" s="633">
        <v>21840</v>
      </c>
      <c r="C146" s="633"/>
      <c r="D146" s="633"/>
      <c r="E146" s="633">
        <v>21840</v>
      </c>
      <c r="F146" s="633"/>
      <c r="G146" s="633"/>
      <c r="H146" s="633"/>
      <c r="J146" t="s">
        <v>995</v>
      </c>
    </row>
    <row r="147" spans="1:10" x14ac:dyDescent="0.25">
      <c r="A147" s="258" t="s">
        <v>2052</v>
      </c>
      <c r="B147" s="633">
        <v>3365</v>
      </c>
      <c r="C147" s="633"/>
      <c r="D147" s="633"/>
      <c r="E147" s="633">
        <v>3365</v>
      </c>
      <c r="F147" s="633"/>
      <c r="G147" s="633"/>
      <c r="H147" s="633"/>
      <c r="J147" t="s">
        <v>995</v>
      </c>
    </row>
    <row r="148" spans="1:10" x14ac:dyDescent="0.25">
      <c r="A148" s="258" t="s">
        <v>2053</v>
      </c>
      <c r="B148" s="633">
        <v>6914</v>
      </c>
      <c r="C148" s="633"/>
      <c r="D148" s="633"/>
      <c r="E148" s="633">
        <v>6914</v>
      </c>
      <c r="F148" s="633"/>
      <c r="G148" s="633"/>
      <c r="H148" s="633"/>
      <c r="J148" t="s">
        <v>995</v>
      </c>
    </row>
    <row r="149" spans="1:10" x14ac:dyDescent="0.25">
      <c r="A149" s="258" t="s">
        <v>2054</v>
      </c>
      <c r="B149" s="633">
        <v>796</v>
      </c>
      <c r="C149" s="633"/>
      <c r="D149" s="633"/>
      <c r="E149" s="633">
        <v>796</v>
      </c>
      <c r="F149" s="633"/>
      <c r="G149" s="633"/>
      <c r="H149" s="633"/>
      <c r="J149" t="s">
        <v>995</v>
      </c>
    </row>
    <row r="150" spans="1:10" x14ac:dyDescent="0.25">
      <c r="A150" s="258" t="s">
        <v>2055</v>
      </c>
      <c r="B150" s="633">
        <v>36436</v>
      </c>
      <c r="C150" s="633"/>
      <c r="D150" s="633"/>
      <c r="E150" s="633">
        <v>36436</v>
      </c>
      <c r="F150" s="633"/>
      <c r="G150" s="633"/>
      <c r="H150" s="633"/>
      <c r="J150" t="s">
        <v>995</v>
      </c>
    </row>
    <row r="151" spans="1:10" x14ac:dyDescent="0.25">
      <c r="A151" s="258" t="s">
        <v>2056</v>
      </c>
      <c r="B151" s="633">
        <v>2906</v>
      </c>
      <c r="C151" s="633"/>
      <c r="D151" s="633"/>
      <c r="E151" s="633">
        <v>2906</v>
      </c>
      <c r="F151" s="633"/>
      <c r="G151" s="633"/>
      <c r="H151" s="633"/>
      <c r="J151" t="s">
        <v>995</v>
      </c>
    </row>
    <row r="152" spans="1:10" x14ac:dyDescent="0.25">
      <c r="A152" s="258" t="s">
        <v>2057</v>
      </c>
      <c r="B152" s="633">
        <v>358684</v>
      </c>
      <c r="C152" s="633"/>
      <c r="D152" s="633"/>
      <c r="E152" s="633">
        <v>358684</v>
      </c>
      <c r="F152" s="633"/>
      <c r="G152" s="633"/>
      <c r="H152" s="633"/>
      <c r="J152" t="s">
        <v>2181</v>
      </c>
    </row>
    <row r="153" spans="1:10" x14ac:dyDescent="0.25">
      <c r="A153" s="258" t="s">
        <v>2175</v>
      </c>
      <c r="B153" s="633">
        <v>4837904</v>
      </c>
      <c r="C153" s="633"/>
      <c r="D153" s="633"/>
      <c r="E153" s="633">
        <v>4837904</v>
      </c>
      <c r="F153" s="633"/>
      <c r="G153" s="633"/>
      <c r="H153" s="633"/>
      <c r="J153" t="s">
        <v>2181</v>
      </c>
    </row>
    <row r="154" spans="1:10" x14ac:dyDescent="0.25">
      <c r="A154" s="258" t="s">
        <v>2058</v>
      </c>
      <c r="B154" s="633">
        <v>37894454</v>
      </c>
      <c r="C154" s="633"/>
      <c r="D154" s="633"/>
      <c r="E154" s="633">
        <v>37894454</v>
      </c>
      <c r="F154" s="633"/>
      <c r="G154" s="633"/>
      <c r="H154" s="633"/>
      <c r="J154" t="s">
        <v>998</v>
      </c>
    </row>
    <row r="155" spans="1:10" x14ac:dyDescent="0.25">
      <c r="A155" s="258" t="s">
        <v>2059</v>
      </c>
      <c r="B155" s="633">
        <v>660749</v>
      </c>
      <c r="C155" s="633"/>
      <c r="D155" s="633"/>
      <c r="E155" s="633">
        <v>660749</v>
      </c>
      <c r="F155" s="633"/>
      <c r="G155" s="633"/>
      <c r="H155" s="633"/>
      <c r="J155" t="s">
        <v>998</v>
      </c>
    </row>
    <row r="156" spans="1:10" x14ac:dyDescent="0.25">
      <c r="A156" s="258" t="s">
        <v>2060</v>
      </c>
      <c r="B156" s="633">
        <v>26985</v>
      </c>
      <c r="C156" s="633"/>
      <c r="D156" s="633"/>
      <c r="E156" s="633">
        <v>26985</v>
      </c>
      <c r="F156" s="633"/>
      <c r="G156" s="633"/>
      <c r="H156" s="633"/>
      <c r="J156" t="s">
        <v>2182</v>
      </c>
    </row>
    <row r="157" spans="1:10" x14ac:dyDescent="0.25">
      <c r="A157" s="258" t="s">
        <v>2061</v>
      </c>
      <c r="B157" s="633">
        <v>468828</v>
      </c>
      <c r="C157" s="633"/>
      <c r="D157" s="633"/>
      <c r="E157" s="633">
        <v>468828</v>
      </c>
      <c r="F157" s="633"/>
      <c r="G157" s="633"/>
      <c r="H157" s="633"/>
      <c r="J157" t="s">
        <v>2174</v>
      </c>
    </row>
    <row r="158" spans="1:10" x14ac:dyDescent="0.25">
      <c r="A158" s="258" t="s">
        <v>2062</v>
      </c>
      <c r="B158" s="633">
        <v>46435</v>
      </c>
      <c r="C158" s="633"/>
      <c r="D158" s="633"/>
      <c r="E158" s="633">
        <v>46435</v>
      </c>
      <c r="F158" s="633"/>
      <c r="G158" s="633"/>
      <c r="H158" s="633"/>
      <c r="J158" t="s">
        <v>2174</v>
      </c>
    </row>
    <row r="159" spans="1:10" x14ac:dyDescent="0.25">
      <c r="A159" s="258" t="s">
        <v>2063</v>
      </c>
      <c r="B159" s="633">
        <v>5136</v>
      </c>
      <c r="C159" s="633"/>
      <c r="D159" s="633"/>
      <c r="E159" s="633">
        <v>5136</v>
      </c>
      <c r="F159" s="633"/>
      <c r="G159" s="633"/>
      <c r="H159" s="633"/>
      <c r="J159" t="s">
        <v>2174</v>
      </c>
    </row>
    <row r="160" spans="1:10" x14ac:dyDescent="0.25">
      <c r="A160" s="258" t="s">
        <v>2176</v>
      </c>
      <c r="B160" s="633">
        <v>60000</v>
      </c>
      <c r="C160" s="633"/>
      <c r="D160" s="633"/>
      <c r="E160" s="633">
        <v>60000</v>
      </c>
      <c r="F160" s="633"/>
      <c r="G160" s="633"/>
      <c r="H160" s="633"/>
      <c r="J160" t="s">
        <v>1709</v>
      </c>
    </row>
    <row r="161" spans="1:10" x14ac:dyDescent="0.25">
      <c r="A161" s="258" t="s">
        <v>2064</v>
      </c>
      <c r="B161" s="633">
        <v>3148</v>
      </c>
      <c r="C161" s="633"/>
      <c r="D161" s="633"/>
      <c r="E161" s="633">
        <v>3148</v>
      </c>
      <c r="F161" s="633"/>
      <c r="G161" s="633"/>
      <c r="H161" s="633"/>
      <c r="J161" t="s">
        <v>1709</v>
      </c>
    </row>
    <row r="162" spans="1:10" x14ac:dyDescent="0.25">
      <c r="A162" s="258" t="s">
        <v>2065</v>
      </c>
      <c r="B162" s="633">
        <v>5000000</v>
      </c>
      <c r="C162" s="633"/>
      <c r="D162" s="633"/>
      <c r="E162" s="633">
        <v>5000000</v>
      </c>
      <c r="F162" s="633"/>
      <c r="G162" s="633"/>
      <c r="H162" s="633"/>
      <c r="J162" t="s">
        <v>1713</v>
      </c>
    </row>
    <row r="163" spans="1:10" x14ac:dyDescent="0.25">
      <c r="A163" s="258" t="s">
        <v>2177</v>
      </c>
      <c r="B163" s="633">
        <v>28800</v>
      </c>
      <c r="C163" s="633"/>
      <c r="D163" s="633"/>
      <c r="E163" s="633">
        <v>28800</v>
      </c>
      <c r="F163" s="633"/>
      <c r="G163" s="633"/>
      <c r="H163" s="633"/>
      <c r="J163" t="s">
        <v>988</v>
      </c>
    </row>
    <row r="164" spans="1:10" x14ac:dyDescent="0.25">
      <c r="A164" s="258" t="s">
        <v>2178</v>
      </c>
      <c r="B164" s="633">
        <v>95400</v>
      </c>
      <c r="C164" s="633"/>
      <c r="D164" s="633"/>
      <c r="E164" s="633">
        <v>95400</v>
      </c>
      <c r="F164" s="633"/>
      <c r="G164" s="633"/>
      <c r="H164" s="633"/>
      <c r="J164" t="s">
        <v>990</v>
      </c>
    </row>
    <row r="165" spans="1:10" x14ac:dyDescent="0.25">
      <c r="A165" s="258" t="s">
        <v>2179</v>
      </c>
      <c r="B165" s="633">
        <v>17520</v>
      </c>
      <c r="C165" s="633"/>
      <c r="D165" s="633"/>
      <c r="E165" s="633">
        <v>17520</v>
      </c>
      <c r="F165" s="633"/>
      <c r="G165" s="633"/>
      <c r="H165" s="633"/>
      <c r="J165" t="s">
        <v>990</v>
      </c>
    </row>
    <row r="166" spans="1:10" x14ac:dyDescent="0.25">
      <c r="A166" s="258" t="s">
        <v>2180</v>
      </c>
      <c r="B166" s="633">
        <v>27048</v>
      </c>
      <c r="C166" s="633"/>
      <c r="D166" s="633"/>
      <c r="E166" s="633">
        <v>27048</v>
      </c>
      <c r="F166" s="633"/>
      <c r="G166" s="633"/>
      <c r="H166" s="633"/>
      <c r="J166" t="s">
        <v>990</v>
      </c>
    </row>
    <row r="167" spans="1:10" x14ac:dyDescent="0.25">
      <c r="A167" s="258" t="s">
        <v>2066</v>
      </c>
      <c r="B167" s="633">
        <v>31098</v>
      </c>
      <c r="C167" s="633"/>
      <c r="D167" s="633"/>
      <c r="E167" s="633">
        <v>31098</v>
      </c>
      <c r="F167" s="633"/>
      <c r="G167" s="633"/>
      <c r="H167" s="633"/>
      <c r="J167" t="s">
        <v>990</v>
      </c>
    </row>
    <row r="168" spans="1:10" x14ac:dyDescent="0.25">
      <c r="A168" s="258" t="s">
        <v>2067</v>
      </c>
      <c r="B168" s="633">
        <v>33410</v>
      </c>
      <c r="C168" s="633"/>
      <c r="D168" s="633"/>
      <c r="E168" s="633">
        <v>33410</v>
      </c>
      <c r="F168" s="633"/>
      <c r="G168" s="633"/>
      <c r="H168" s="633"/>
      <c r="J168" t="s">
        <v>990</v>
      </c>
    </row>
    <row r="169" spans="1:10" x14ac:dyDescent="0.25">
      <c r="A169" s="258" t="s">
        <v>2068</v>
      </c>
      <c r="B169" s="633">
        <v>3967</v>
      </c>
      <c r="C169" s="633"/>
      <c r="D169" s="633"/>
      <c r="E169" s="633">
        <v>3967</v>
      </c>
      <c r="F169" s="633"/>
      <c r="G169" s="633"/>
      <c r="H169" s="633"/>
      <c r="J169" t="s">
        <v>990</v>
      </c>
    </row>
    <row r="170" spans="1:10" x14ac:dyDescent="0.25">
      <c r="A170" s="258" t="s">
        <v>2069</v>
      </c>
      <c r="B170" s="633">
        <v>49919</v>
      </c>
      <c r="C170" s="633"/>
      <c r="D170" s="633"/>
      <c r="E170" s="633">
        <v>49919</v>
      </c>
      <c r="F170" s="633"/>
      <c r="G170" s="633"/>
      <c r="H170" s="633"/>
      <c r="J170" t="s">
        <v>990</v>
      </c>
    </row>
    <row r="171" spans="1:10" x14ac:dyDescent="0.25">
      <c r="A171" s="258" t="s">
        <v>2070</v>
      </c>
      <c r="B171" s="633">
        <v>50968</v>
      </c>
      <c r="C171" s="633"/>
      <c r="D171" s="633"/>
      <c r="E171" s="633">
        <v>50968</v>
      </c>
      <c r="F171" s="633"/>
      <c r="G171" s="633"/>
      <c r="H171" s="633"/>
      <c r="J171" t="s">
        <v>990</v>
      </c>
    </row>
    <row r="172" spans="1:10" x14ac:dyDescent="0.25">
      <c r="A172" s="258" t="s">
        <v>2071</v>
      </c>
      <c r="B172" s="633">
        <f>10928755+6262873</f>
        <v>17191628</v>
      </c>
      <c r="C172" s="633"/>
      <c r="D172" s="1034">
        <v>6262873</v>
      </c>
      <c r="E172" s="633">
        <v>10928755</v>
      </c>
      <c r="F172" s="633"/>
      <c r="G172" s="633"/>
      <c r="H172" s="633"/>
      <c r="J172" t="s">
        <v>990</v>
      </c>
    </row>
    <row r="173" spans="1:10" x14ac:dyDescent="0.25">
      <c r="A173" s="258" t="s">
        <v>2072</v>
      </c>
      <c r="B173" s="633">
        <v>240000</v>
      </c>
      <c r="C173" s="633"/>
      <c r="D173" s="633"/>
      <c r="E173" s="633">
        <v>240000</v>
      </c>
      <c r="F173" s="633"/>
      <c r="G173" s="633"/>
      <c r="H173" s="633"/>
      <c r="J173" t="s">
        <v>990</v>
      </c>
    </row>
    <row r="174" spans="1:10" x14ac:dyDescent="0.25">
      <c r="A174" s="258" t="s">
        <v>2073</v>
      </c>
      <c r="B174" s="633">
        <v>25200</v>
      </c>
      <c r="C174" s="633"/>
      <c r="D174" s="633"/>
      <c r="E174" s="633">
        <v>25200</v>
      </c>
      <c r="F174" s="633"/>
      <c r="G174" s="633"/>
      <c r="H174" s="633"/>
      <c r="J174" t="s">
        <v>990</v>
      </c>
    </row>
    <row r="175" spans="1:10" x14ac:dyDescent="0.25">
      <c r="A175" s="258" t="s">
        <v>2074</v>
      </c>
      <c r="B175" s="633">
        <f>1815242+21694210+337344</f>
        <v>23846796</v>
      </c>
      <c r="C175" s="633"/>
      <c r="D175" s="1034">
        <f>21694210+337344</f>
        <v>22031554</v>
      </c>
      <c r="E175" s="633">
        <v>1815242</v>
      </c>
      <c r="F175" s="633"/>
      <c r="G175" s="633"/>
      <c r="H175" s="633"/>
      <c r="J175" t="s">
        <v>990</v>
      </c>
    </row>
    <row r="176" spans="1:10" x14ac:dyDescent="0.25">
      <c r="A176" s="258" t="s">
        <v>2075</v>
      </c>
      <c r="B176" s="633">
        <v>33600</v>
      </c>
      <c r="C176" s="633"/>
      <c r="D176" s="633"/>
      <c r="E176" s="633">
        <v>33600</v>
      </c>
      <c r="F176" s="633"/>
      <c r="G176" s="633"/>
      <c r="H176" s="633"/>
      <c r="J176" t="s">
        <v>990</v>
      </c>
    </row>
    <row r="177" spans="1:10" x14ac:dyDescent="0.25">
      <c r="A177" s="258" t="s">
        <v>2076</v>
      </c>
      <c r="B177" s="633">
        <v>99600</v>
      </c>
      <c r="C177" s="633"/>
      <c r="D177" s="633"/>
      <c r="E177" s="633">
        <v>99600</v>
      </c>
      <c r="F177" s="633"/>
      <c r="G177" s="633"/>
      <c r="H177" s="633"/>
      <c r="J177" t="s">
        <v>990</v>
      </c>
    </row>
    <row r="178" spans="1:10" x14ac:dyDescent="0.25">
      <c r="A178" s="258" t="s">
        <v>2077</v>
      </c>
      <c r="B178" s="633">
        <v>16800</v>
      </c>
      <c r="C178" s="633"/>
      <c r="D178" s="633"/>
      <c r="E178" s="633">
        <v>16800</v>
      </c>
      <c r="F178" s="633"/>
      <c r="G178" s="633"/>
      <c r="H178" s="633"/>
      <c r="J178" t="s">
        <v>990</v>
      </c>
    </row>
    <row r="179" spans="1:10" x14ac:dyDescent="0.25">
      <c r="A179" s="258" t="s">
        <v>2078</v>
      </c>
      <c r="B179" s="633">
        <f>3566190+11760000</f>
        <v>15326190</v>
      </c>
      <c r="C179" s="633"/>
      <c r="D179" s="1034">
        <v>10128072</v>
      </c>
      <c r="E179" s="633">
        <v>3566190</v>
      </c>
      <c r="F179" s="633"/>
      <c r="G179" s="633"/>
      <c r="H179" s="633"/>
      <c r="J179" t="s">
        <v>990</v>
      </c>
    </row>
    <row r="180" spans="1:10" x14ac:dyDescent="0.25">
      <c r="A180" s="258" t="s">
        <v>2079</v>
      </c>
      <c r="B180" s="633">
        <v>180000</v>
      </c>
      <c r="C180" s="633"/>
      <c r="D180" s="633"/>
      <c r="E180" s="633">
        <v>180000</v>
      </c>
      <c r="F180" s="633"/>
      <c r="G180" s="633"/>
      <c r="H180" s="633"/>
      <c r="J180" t="s">
        <v>990</v>
      </c>
    </row>
    <row r="181" spans="1:10" x14ac:dyDescent="0.25">
      <c r="A181" s="258" t="s">
        <v>2080</v>
      </c>
      <c r="B181" s="633">
        <v>16800</v>
      </c>
      <c r="C181" s="633"/>
      <c r="D181" s="633"/>
      <c r="E181" s="633">
        <v>16800</v>
      </c>
      <c r="F181" s="633"/>
      <c r="G181" s="633"/>
      <c r="H181" s="633"/>
      <c r="J181" t="s">
        <v>990</v>
      </c>
    </row>
    <row r="182" spans="1:10" x14ac:dyDescent="0.25">
      <c r="A182" s="258" t="s">
        <v>2037</v>
      </c>
      <c r="B182" s="633">
        <v>8865000</v>
      </c>
      <c r="C182" s="633"/>
      <c r="D182" s="633"/>
      <c r="E182" s="633">
        <v>8865000</v>
      </c>
      <c r="F182" s="633"/>
      <c r="G182" s="633"/>
      <c r="H182" s="633"/>
      <c r="J182" t="s">
        <v>1713</v>
      </c>
    </row>
    <row r="183" spans="1:10" x14ac:dyDescent="0.25">
      <c r="A183" s="258" t="s">
        <v>2081</v>
      </c>
      <c r="B183" s="633">
        <v>110000</v>
      </c>
      <c r="C183" s="633"/>
      <c r="D183" s="633"/>
      <c r="E183" s="633">
        <v>110000</v>
      </c>
      <c r="F183" s="633"/>
      <c r="G183" s="633"/>
      <c r="H183" s="633"/>
      <c r="J183" t="s">
        <v>1713</v>
      </c>
    </row>
    <row r="184" spans="1:10" x14ac:dyDescent="0.25">
      <c r="A184" s="258" t="s">
        <v>2082</v>
      </c>
      <c r="B184" s="633">
        <v>25000</v>
      </c>
      <c r="C184" s="633"/>
      <c r="D184" s="633"/>
      <c r="E184" s="633">
        <v>25000</v>
      </c>
      <c r="F184" s="633"/>
      <c r="G184" s="633"/>
      <c r="H184" s="633"/>
      <c r="J184" t="s">
        <v>1713</v>
      </c>
    </row>
    <row r="185" spans="1:10" x14ac:dyDescent="0.25">
      <c r="A185" s="258" t="s">
        <v>2083</v>
      </c>
      <c r="B185" s="633">
        <v>38924</v>
      </c>
      <c r="C185" s="633"/>
      <c r="D185" s="633"/>
      <c r="E185" s="633">
        <v>38924</v>
      </c>
      <c r="F185" s="633"/>
      <c r="G185" s="633"/>
      <c r="H185" s="633"/>
      <c r="J185" t="s">
        <v>984</v>
      </c>
    </row>
    <row r="186" spans="1:10" x14ac:dyDescent="0.25">
      <c r="A186" s="258" t="s">
        <v>2084</v>
      </c>
      <c r="B186" s="633">
        <v>13500</v>
      </c>
      <c r="C186" s="633"/>
      <c r="D186" s="633"/>
      <c r="E186" s="633">
        <v>13500</v>
      </c>
      <c r="F186" s="633"/>
      <c r="G186" s="633"/>
      <c r="H186" s="633"/>
      <c r="J186" t="s">
        <v>984</v>
      </c>
    </row>
    <row r="187" spans="1:10" x14ac:dyDescent="0.25">
      <c r="A187" s="258" t="s">
        <v>2085</v>
      </c>
      <c r="B187" s="633">
        <v>156842</v>
      </c>
      <c r="C187" s="633"/>
      <c r="D187" s="633"/>
      <c r="E187" s="633">
        <v>156842</v>
      </c>
      <c r="F187" s="633"/>
      <c r="G187" s="633"/>
      <c r="H187" s="633"/>
      <c r="J187" t="s">
        <v>984</v>
      </c>
    </row>
    <row r="188" spans="1:10" x14ac:dyDescent="0.25">
      <c r="A188" s="258" t="s">
        <v>2183</v>
      </c>
      <c r="B188" s="633">
        <v>11760</v>
      </c>
      <c r="C188" s="633"/>
      <c r="D188" s="633"/>
      <c r="E188" s="633">
        <v>11760</v>
      </c>
      <c r="F188" s="633"/>
      <c r="G188" s="633"/>
      <c r="H188" s="633"/>
      <c r="J188" t="s">
        <v>984</v>
      </c>
    </row>
    <row r="189" spans="1:10" x14ac:dyDescent="0.25">
      <c r="A189" s="258" t="s">
        <v>2086</v>
      </c>
      <c r="B189" s="633">
        <v>7440</v>
      </c>
      <c r="C189" s="633"/>
      <c r="D189" s="633"/>
      <c r="E189" s="633">
        <v>7440</v>
      </c>
      <c r="F189" s="633"/>
      <c r="G189" s="633"/>
      <c r="H189" s="633"/>
      <c r="J189" t="s">
        <v>984</v>
      </c>
    </row>
    <row r="190" spans="1:10" x14ac:dyDescent="0.25">
      <c r="A190" s="258" t="s">
        <v>2087</v>
      </c>
      <c r="B190" s="633">
        <v>7000000</v>
      </c>
      <c r="C190" s="633"/>
      <c r="D190" s="1034">
        <v>2074800</v>
      </c>
      <c r="E190" s="633">
        <v>4925200</v>
      </c>
      <c r="F190" s="633"/>
      <c r="G190" s="633"/>
      <c r="H190" s="633"/>
      <c r="J190" t="s">
        <v>984</v>
      </c>
    </row>
    <row r="191" spans="1:10" x14ac:dyDescent="0.25">
      <c r="A191" s="258" t="s">
        <v>2088</v>
      </c>
      <c r="B191" s="633">
        <v>600000</v>
      </c>
      <c r="C191" s="633"/>
      <c r="D191" s="633"/>
      <c r="E191" s="633">
        <v>600000</v>
      </c>
      <c r="F191" s="633"/>
      <c r="G191" s="633"/>
      <c r="H191" s="633"/>
      <c r="J191" t="s">
        <v>984</v>
      </c>
    </row>
    <row r="192" spans="1:10" x14ac:dyDescent="0.25">
      <c r="A192" s="258" t="s">
        <v>2089</v>
      </c>
      <c r="B192" s="633">
        <v>50000</v>
      </c>
      <c r="C192" s="633"/>
      <c r="D192" s="633"/>
      <c r="E192" s="633">
        <v>50000</v>
      </c>
      <c r="F192" s="633"/>
      <c r="G192" s="633"/>
      <c r="H192" s="633"/>
      <c r="J192" t="s">
        <v>984</v>
      </c>
    </row>
    <row r="193" spans="1:10" x14ac:dyDescent="0.25">
      <c r="A193" s="258" t="s">
        <v>2090</v>
      </c>
      <c r="B193" s="633">
        <v>36401</v>
      </c>
      <c r="C193" s="633"/>
      <c r="D193" s="633"/>
      <c r="E193" s="633">
        <v>36401</v>
      </c>
      <c r="F193" s="633"/>
      <c r="G193" s="633"/>
      <c r="H193" s="633"/>
      <c r="J193" t="s">
        <v>990</v>
      </c>
    </row>
    <row r="194" spans="1:10" x14ac:dyDescent="0.25">
      <c r="A194" s="258" t="s">
        <v>2091</v>
      </c>
      <c r="B194" s="633">
        <v>9968</v>
      </c>
      <c r="C194" s="633"/>
      <c r="D194" s="633"/>
      <c r="E194" s="633">
        <v>9968</v>
      </c>
      <c r="F194" s="633"/>
      <c r="G194" s="633"/>
      <c r="H194" s="633"/>
      <c r="J194" t="s">
        <v>990</v>
      </c>
    </row>
    <row r="195" spans="1:10" x14ac:dyDescent="0.25">
      <c r="A195" s="258" t="s">
        <v>2092</v>
      </c>
      <c r="B195" s="633">
        <v>207427</v>
      </c>
      <c r="C195" s="633"/>
      <c r="D195" s="633"/>
      <c r="E195" s="633">
        <v>207427</v>
      </c>
      <c r="F195" s="633"/>
      <c r="G195" s="633"/>
      <c r="H195" s="633"/>
      <c r="J195" t="s">
        <v>990</v>
      </c>
    </row>
    <row r="196" spans="1:10" x14ac:dyDescent="0.25">
      <c r="A196" s="258" t="s">
        <v>2093</v>
      </c>
      <c r="B196" s="633">
        <v>9401</v>
      </c>
      <c r="C196" s="633"/>
      <c r="D196" s="633"/>
      <c r="E196" s="633">
        <v>9401</v>
      </c>
      <c r="F196" s="633"/>
      <c r="G196" s="633"/>
      <c r="H196" s="633"/>
      <c r="J196" t="s">
        <v>990</v>
      </c>
    </row>
    <row r="197" spans="1:10" x14ac:dyDescent="0.25">
      <c r="A197" s="258" t="s">
        <v>2094</v>
      </c>
      <c r="B197" s="633">
        <v>20000</v>
      </c>
      <c r="C197" s="633"/>
      <c r="D197" s="633"/>
      <c r="E197" s="633">
        <v>20000</v>
      </c>
      <c r="F197" s="633"/>
      <c r="G197" s="633"/>
      <c r="H197" s="633"/>
      <c r="J197" t="s">
        <v>990</v>
      </c>
    </row>
    <row r="198" spans="1:10" x14ac:dyDescent="0.25">
      <c r="A198" s="258" t="s">
        <v>2095</v>
      </c>
      <c r="B198" s="633">
        <v>6666666</v>
      </c>
      <c r="C198" s="633"/>
      <c r="D198" s="633"/>
      <c r="E198" s="633">
        <v>6666666</v>
      </c>
      <c r="F198" s="633"/>
      <c r="G198" s="633"/>
      <c r="H198" s="633"/>
      <c r="J198" t="s">
        <v>990</v>
      </c>
    </row>
    <row r="199" spans="1:10" x14ac:dyDescent="0.25">
      <c r="A199" s="258" t="s">
        <v>2096</v>
      </c>
      <c r="B199" s="633">
        <v>3951443</v>
      </c>
      <c r="C199" s="633"/>
      <c r="D199" s="633"/>
      <c r="E199" s="633">
        <v>3951443</v>
      </c>
      <c r="F199" s="633"/>
      <c r="G199" s="633"/>
      <c r="H199" s="633"/>
      <c r="J199" t="s">
        <v>990</v>
      </c>
    </row>
    <row r="200" spans="1:10" x14ac:dyDescent="0.25">
      <c r="A200" s="258" t="s">
        <v>2097</v>
      </c>
      <c r="B200" s="633">
        <v>96000</v>
      </c>
      <c r="C200" s="633"/>
      <c r="D200" s="633"/>
      <c r="E200" s="633">
        <v>96000</v>
      </c>
      <c r="F200" s="633"/>
      <c r="G200" s="633"/>
      <c r="H200" s="633"/>
      <c r="J200" t="s">
        <v>990</v>
      </c>
    </row>
    <row r="201" spans="1:10" x14ac:dyDescent="0.25">
      <c r="A201" s="258" t="s">
        <v>2098</v>
      </c>
      <c r="B201" s="633">
        <v>50000</v>
      </c>
      <c r="C201" s="633"/>
      <c r="D201" s="633"/>
      <c r="E201" s="633">
        <v>50000</v>
      </c>
      <c r="F201" s="633"/>
      <c r="G201" s="633"/>
      <c r="H201" s="633"/>
      <c r="J201" t="s">
        <v>990</v>
      </c>
    </row>
    <row r="202" spans="1:10" x14ac:dyDescent="0.25">
      <c r="A202" s="258" t="s">
        <v>2099</v>
      </c>
      <c r="B202" s="633">
        <v>204000</v>
      </c>
      <c r="C202" s="633"/>
      <c r="D202" s="633"/>
      <c r="E202" s="633">
        <v>204000</v>
      </c>
      <c r="F202" s="633"/>
      <c r="G202" s="633"/>
      <c r="H202" s="633"/>
      <c r="J202" t="s">
        <v>990</v>
      </c>
    </row>
    <row r="203" spans="1:10" x14ac:dyDescent="0.25">
      <c r="A203" s="258" t="s">
        <v>2100</v>
      </c>
      <c r="B203" s="633">
        <v>50000</v>
      </c>
      <c r="C203" s="633"/>
      <c r="D203" s="633"/>
      <c r="E203" s="633">
        <v>50000</v>
      </c>
      <c r="F203" s="633"/>
      <c r="G203" s="633"/>
      <c r="H203" s="633"/>
      <c r="J203" t="s">
        <v>990</v>
      </c>
    </row>
    <row r="204" spans="1:10" x14ac:dyDescent="0.25">
      <c r="A204" s="258" t="s">
        <v>2101</v>
      </c>
      <c r="B204" s="633">
        <v>400000</v>
      </c>
      <c r="C204" s="633"/>
      <c r="D204" s="633"/>
      <c r="E204" s="633">
        <v>400000</v>
      </c>
      <c r="F204" s="633"/>
      <c r="G204" s="633"/>
      <c r="H204" s="633"/>
      <c r="J204" t="s">
        <v>990</v>
      </c>
    </row>
    <row r="205" spans="1:10" x14ac:dyDescent="0.25">
      <c r="A205" s="258" t="s">
        <v>2102</v>
      </c>
      <c r="B205" s="633">
        <v>60000</v>
      </c>
      <c r="C205" s="633"/>
      <c r="D205" s="633"/>
      <c r="E205" s="633">
        <v>60000</v>
      </c>
      <c r="F205" s="633"/>
      <c r="G205" s="633"/>
      <c r="H205" s="633"/>
      <c r="J205" t="s">
        <v>998</v>
      </c>
    </row>
    <row r="206" spans="1:10" x14ac:dyDescent="0.25">
      <c r="A206" s="258" t="s">
        <v>2103</v>
      </c>
      <c r="B206" s="633">
        <v>169562</v>
      </c>
      <c r="C206" s="633"/>
      <c r="D206" s="633"/>
      <c r="E206" s="633">
        <v>169562</v>
      </c>
      <c r="F206" s="633"/>
      <c r="G206" s="633"/>
      <c r="H206" s="633"/>
      <c r="J206" t="s">
        <v>1713</v>
      </c>
    </row>
    <row r="207" spans="1:10" x14ac:dyDescent="0.25">
      <c r="A207" s="258" t="s">
        <v>2104</v>
      </c>
      <c r="B207" s="633">
        <v>100048</v>
      </c>
      <c r="C207" s="633"/>
      <c r="D207" s="633"/>
      <c r="E207" s="633">
        <v>100048</v>
      </c>
      <c r="F207" s="633"/>
      <c r="G207" s="633"/>
      <c r="H207" s="633"/>
      <c r="J207" t="s">
        <v>1713</v>
      </c>
    </row>
    <row r="208" spans="1:10" x14ac:dyDescent="0.25">
      <c r="A208" s="258" t="s">
        <v>2105</v>
      </c>
      <c r="B208" s="633">
        <v>7506411</v>
      </c>
      <c r="C208" s="633"/>
      <c r="D208" s="633"/>
      <c r="E208" s="633">
        <v>7506411</v>
      </c>
      <c r="F208" s="633"/>
      <c r="G208" s="633"/>
      <c r="H208" s="633"/>
      <c r="J208" t="s">
        <v>1709</v>
      </c>
    </row>
    <row r="209" spans="1:10" x14ac:dyDescent="0.25">
      <c r="A209" s="258" t="s">
        <v>2106</v>
      </c>
      <c r="B209" s="633">
        <v>1075200</v>
      </c>
      <c r="C209" s="633"/>
      <c r="D209" s="633"/>
      <c r="E209" s="633">
        <v>1075200</v>
      </c>
      <c r="F209" s="633"/>
      <c r="G209" s="633"/>
      <c r="H209" s="633"/>
      <c r="J209" t="s">
        <v>998</v>
      </c>
    </row>
    <row r="210" spans="1:10" ht="16.5" thickTop="1" thickBot="1" x14ac:dyDescent="0.3">
      <c r="A210" s="635"/>
      <c r="B210" s="636">
        <f t="shared" ref="B210:H210" si="0">SUM(B5:B209)</f>
        <v>1244111272</v>
      </c>
      <c r="C210" s="632">
        <f t="shared" si="0"/>
        <v>289366082</v>
      </c>
      <c r="D210" s="632">
        <f t="shared" si="0"/>
        <v>102014136</v>
      </c>
      <c r="E210" s="632">
        <f t="shared" si="0"/>
        <v>336972877</v>
      </c>
      <c r="F210" s="632">
        <f t="shared" si="0"/>
        <v>94810000</v>
      </c>
      <c r="G210" s="632">
        <f t="shared" si="0"/>
        <v>0</v>
      </c>
      <c r="H210" s="632">
        <f t="shared" si="0"/>
        <v>0</v>
      </c>
    </row>
    <row r="211" spans="1:10" ht="15.75" thickTop="1" x14ac:dyDescent="0.25"/>
    <row r="212" spans="1:10" x14ac:dyDescent="0.25">
      <c r="C212" s="353"/>
      <c r="D212" s="353"/>
      <c r="E212" s="353"/>
      <c r="F212" s="353"/>
      <c r="G212" s="353"/>
      <c r="H212" s="353"/>
    </row>
    <row r="215" spans="1:10" x14ac:dyDescent="0.25">
      <c r="A215" t="s">
        <v>2143</v>
      </c>
    </row>
  </sheetData>
  <sheetProtection selectLockedCells="1"/>
  <autoFilter ref="A4:J210"/>
  <mergeCells count="1">
    <mergeCell ref="A3:H3"/>
  </mergeCells>
  <pageMargins left="0.18" right="0.22" top="0.25" bottom="0.19" header="0.16" footer="0.16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5"/>
  </sheetPr>
  <dimension ref="A1:Y525"/>
  <sheetViews>
    <sheetView showGridLines="0" topLeftCell="A141" zoomScale="110" zoomScaleNormal="110" workbookViewId="0">
      <selection activeCell="C162" sqref="C162"/>
    </sheetView>
  </sheetViews>
  <sheetFormatPr defaultColWidth="9.140625" defaultRowHeight="12.75" outlineLevelRow="1" x14ac:dyDescent="0.25"/>
  <cols>
    <col min="1" max="1" width="20.140625" style="806" customWidth="1"/>
    <col min="2" max="2" width="24.42578125" style="806" customWidth="1"/>
    <col min="3" max="3" width="13.7109375" style="806" customWidth="1"/>
    <col min="4" max="5" width="13.7109375" style="937" customWidth="1"/>
    <col min="6" max="6" width="8" style="806" bestFit="1" customWidth="1"/>
    <col min="7" max="18" width="0" style="806" hidden="1" customWidth="1"/>
    <col min="19" max="20" width="8" style="806" bestFit="1" customWidth="1"/>
    <col min="21" max="21" width="9.140625" style="806"/>
    <col min="22" max="22" width="13.5703125" style="806" customWidth="1"/>
    <col min="23" max="23" width="13.28515625" style="806" customWidth="1"/>
    <col min="24" max="24" width="12.5703125" style="806" customWidth="1"/>
    <col min="25" max="16384" width="9.140625" style="806"/>
  </cols>
  <sheetData>
    <row r="1" spans="1:20" x14ac:dyDescent="0.25">
      <c r="A1" s="970" t="str">
        <f>'(G1) Fjalori'!A13</f>
        <v>Verdhë = Per tu plotësuar nga Departamenti i Financës</v>
      </c>
      <c r="B1" s="971"/>
      <c r="C1" s="971"/>
      <c r="D1" s="971"/>
      <c r="E1" s="972"/>
    </row>
    <row r="3" spans="1:20" ht="21" x14ac:dyDescent="0.25">
      <c r="A3" s="1086" t="str">
        <f>'(G1) Fjalori'!A327</f>
        <v>(D1) TAVANET</v>
      </c>
      <c r="B3" s="1087"/>
      <c r="C3" s="1087"/>
      <c r="D3" s="1087"/>
      <c r="E3" s="1088"/>
    </row>
    <row r="4" spans="1:20" s="930" customFormat="1" x14ac:dyDescent="0.25">
      <c r="A4" s="929"/>
      <c r="F4" s="929"/>
    </row>
    <row r="5" spans="1:20" s="932" customFormat="1" x14ac:dyDescent="0.25">
      <c r="A5" s="931"/>
      <c r="B5" s="931"/>
      <c r="C5" s="973">
        <f>'(B1)Informacion i përgjithshëm '!$B8</f>
        <v>2022</v>
      </c>
      <c r="D5" s="973">
        <f>'(B1)Informacion i përgjithshëm '!$B9</f>
        <v>2023</v>
      </c>
      <c r="E5" s="973">
        <f>'(B1)Informacion i përgjithshëm '!$B10</f>
        <v>2024</v>
      </c>
      <c r="G5" s="932" t="s">
        <v>30</v>
      </c>
    </row>
    <row r="6" spans="1:20" s="932" customFormat="1" ht="25.5" x14ac:dyDescent="0.25">
      <c r="A6" s="931"/>
      <c r="B6" s="931"/>
      <c r="C6" s="973" t="str">
        <f>'(B1)Informacion i përgjithshëm '!A8</f>
        <v>Viti t+1 (I pritur)</v>
      </c>
      <c r="D6" s="973" t="str">
        <f>'(A1) Titulli'!A43</f>
        <v>Viti t+2 (I pritur)</v>
      </c>
      <c r="E6" s="973" t="str">
        <f>'(A1) Titulli'!A44</f>
        <v>Viti t+3 (I pritur)</v>
      </c>
    </row>
    <row r="7" spans="1:20" ht="18.75" customHeight="1" x14ac:dyDescent="0.25">
      <c r="A7" s="1082" t="str">
        <f>'(B2) Struktura Organizative'!A7</f>
        <v>Nënfunksioni 1</v>
      </c>
      <c r="B7" s="1082" t="str">
        <f>'(B2) Struktura Organizative'!B7</f>
        <v>011 Organet ekzekutive dhe legjislative, për çështjet financiare dhe fiskale, çështjet e brendshme</v>
      </c>
      <c r="C7" s="1074"/>
      <c r="D7" s="1074"/>
      <c r="E7" s="1075"/>
      <c r="G7" s="933">
        <f>C11</f>
        <v>378732688</v>
      </c>
      <c r="H7" s="933">
        <f>D11</f>
        <v>320188860</v>
      </c>
      <c r="I7" s="933">
        <f>E11</f>
        <v>319549283</v>
      </c>
      <c r="J7" s="933">
        <f>C8</f>
        <v>186080000</v>
      </c>
      <c r="K7" s="933">
        <f>D8</f>
        <v>187866000</v>
      </c>
      <c r="L7" s="933">
        <f>E8</f>
        <v>189669860</v>
      </c>
      <c r="M7" s="933">
        <f>C9</f>
        <v>110234000</v>
      </c>
      <c r="N7" s="933">
        <f>D9</f>
        <v>110726000</v>
      </c>
      <c r="O7" s="933">
        <f>E9</f>
        <v>111833200</v>
      </c>
      <c r="P7" s="933">
        <f>C10</f>
        <v>82418688</v>
      </c>
      <c r="Q7" s="933">
        <f>D10</f>
        <v>21596860</v>
      </c>
      <c r="R7" s="933">
        <f>E10</f>
        <v>18046223</v>
      </c>
    </row>
    <row r="8" spans="1:20" x14ac:dyDescent="0.15">
      <c r="A8" s="958" t="str">
        <f>'(G1) Fjalori'!A328</f>
        <v>Pagat dhe sigurimet shoqërore</v>
      </c>
      <c r="B8" s="958"/>
      <c r="C8" s="974">
        <f t="shared" ref="C8:E9" si="0">C14+C20+C26</f>
        <v>186080000</v>
      </c>
      <c r="D8" s="974">
        <f t="shared" si="0"/>
        <v>187866000</v>
      </c>
      <c r="E8" s="974">
        <f t="shared" si="0"/>
        <v>189669860</v>
      </c>
      <c r="F8" s="934" t="str">
        <f t="shared" ref="F8:R10" si="1">IF(C8&lt;0,"STOPP!","OK!")</f>
        <v>OK!</v>
      </c>
      <c r="G8" s="934" t="str">
        <f t="shared" si="1"/>
        <v>OK!</v>
      </c>
      <c r="H8" s="934" t="str">
        <f t="shared" si="1"/>
        <v>OK!</v>
      </c>
      <c r="I8" s="934" t="str">
        <f t="shared" si="1"/>
        <v>OK!</v>
      </c>
      <c r="J8" s="934" t="str">
        <f t="shared" si="1"/>
        <v>OK!</v>
      </c>
      <c r="K8" s="934" t="str">
        <f t="shared" si="1"/>
        <v>OK!</v>
      </c>
      <c r="L8" s="934" t="str">
        <f t="shared" si="1"/>
        <v>OK!</v>
      </c>
      <c r="M8" s="934" t="str">
        <f t="shared" si="1"/>
        <v>OK!</v>
      </c>
      <c r="N8" s="934" t="str">
        <f t="shared" si="1"/>
        <v>OK!</v>
      </c>
      <c r="O8" s="934" t="str">
        <f t="shared" si="1"/>
        <v>OK!</v>
      </c>
      <c r="P8" s="934" t="str">
        <f t="shared" si="1"/>
        <v>OK!</v>
      </c>
      <c r="Q8" s="934" t="str">
        <f t="shared" si="1"/>
        <v>OK!</v>
      </c>
      <c r="R8" s="934" t="str">
        <f t="shared" si="1"/>
        <v>OK!</v>
      </c>
      <c r="S8" s="934" t="str">
        <f t="shared" ref="S8:T11" si="2">IF(D8&lt;0,"STOPP!","OK!")</f>
        <v>OK!</v>
      </c>
      <c r="T8" s="934" t="str">
        <f t="shared" si="2"/>
        <v>OK!</v>
      </c>
    </row>
    <row r="9" spans="1:20" x14ac:dyDescent="0.15">
      <c r="A9" s="958" t="str">
        <f>'(G1) Fjalori'!A329</f>
        <v>Të tjera shpenzime korrente</v>
      </c>
      <c r="B9" s="958"/>
      <c r="C9" s="974">
        <f t="shared" si="0"/>
        <v>110234000</v>
      </c>
      <c r="D9" s="974">
        <f t="shared" si="0"/>
        <v>110726000</v>
      </c>
      <c r="E9" s="974">
        <f t="shared" si="0"/>
        <v>111833200</v>
      </c>
      <c r="F9" s="934" t="str">
        <f t="shared" si="1"/>
        <v>OK!</v>
      </c>
      <c r="G9" s="934" t="str">
        <f t="shared" si="1"/>
        <v>OK!</v>
      </c>
      <c r="H9" s="934" t="str">
        <f t="shared" si="1"/>
        <v>OK!</v>
      </c>
      <c r="I9" s="934" t="str">
        <f t="shared" si="1"/>
        <v>OK!</v>
      </c>
      <c r="J9" s="934" t="str">
        <f t="shared" si="1"/>
        <v>OK!</v>
      </c>
      <c r="K9" s="934" t="str">
        <f t="shared" si="1"/>
        <v>OK!</v>
      </c>
      <c r="L9" s="934" t="str">
        <f t="shared" si="1"/>
        <v>OK!</v>
      </c>
      <c r="M9" s="934" t="str">
        <f t="shared" si="1"/>
        <v>OK!</v>
      </c>
      <c r="N9" s="934" t="str">
        <f t="shared" si="1"/>
        <v>OK!</v>
      </c>
      <c r="O9" s="934" t="str">
        <f t="shared" si="1"/>
        <v>OK!</v>
      </c>
      <c r="P9" s="934" t="str">
        <f t="shared" si="1"/>
        <v>OK!</v>
      </c>
      <c r="Q9" s="934" t="str">
        <f t="shared" si="1"/>
        <v>OK!</v>
      </c>
      <c r="R9" s="934" t="str">
        <f t="shared" si="1"/>
        <v>OK!</v>
      </c>
      <c r="S9" s="934" t="str">
        <f t="shared" si="2"/>
        <v>OK!</v>
      </c>
      <c r="T9" s="934" t="str">
        <f t="shared" si="2"/>
        <v>OK!</v>
      </c>
    </row>
    <row r="10" spans="1:20" x14ac:dyDescent="0.15">
      <c r="A10" s="960" t="str">
        <f>'(G1) Fjalori'!A330</f>
        <v>Shpenzimet kapitale</v>
      </c>
      <c r="B10" s="961"/>
      <c r="C10" s="974">
        <f>C11-C8-C9</f>
        <v>82418688</v>
      </c>
      <c r="D10" s="974">
        <f>D11-D8-D9</f>
        <v>21596860</v>
      </c>
      <c r="E10" s="974">
        <f>E11-E8-E9</f>
        <v>18046223</v>
      </c>
      <c r="F10" s="934" t="str">
        <f t="shared" si="1"/>
        <v>OK!</v>
      </c>
      <c r="G10" s="934" t="str">
        <f t="shared" si="1"/>
        <v>OK!</v>
      </c>
      <c r="H10" s="934" t="str">
        <f t="shared" si="1"/>
        <v>OK!</v>
      </c>
      <c r="I10" s="934" t="str">
        <f t="shared" si="1"/>
        <v>OK!</v>
      </c>
      <c r="J10" s="934" t="str">
        <f t="shared" si="1"/>
        <v>OK!</v>
      </c>
      <c r="K10" s="934" t="str">
        <f t="shared" si="1"/>
        <v>OK!</v>
      </c>
      <c r="L10" s="934" t="str">
        <f t="shared" si="1"/>
        <v>OK!</v>
      </c>
      <c r="M10" s="934" t="str">
        <f t="shared" si="1"/>
        <v>OK!</v>
      </c>
      <c r="N10" s="934" t="str">
        <f t="shared" si="1"/>
        <v>OK!</v>
      </c>
      <c r="O10" s="934" t="str">
        <f t="shared" si="1"/>
        <v>OK!</v>
      </c>
      <c r="P10" s="934" t="str">
        <f t="shared" si="1"/>
        <v>OK!</v>
      </c>
      <c r="Q10" s="934" t="str">
        <f t="shared" si="1"/>
        <v>OK!</v>
      </c>
      <c r="R10" s="934" t="str">
        <f t="shared" si="1"/>
        <v>OK!</v>
      </c>
      <c r="S10" s="934" t="str">
        <f t="shared" si="2"/>
        <v>OK!</v>
      </c>
      <c r="T10" s="934" t="str">
        <f t="shared" si="2"/>
        <v>OK!</v>
      </c>
    </row>
    <row r="11" spans="1:20" x14ac:dyDescent="0.15">
      <c r="A11" s="963" t="str">
        <f>'(G1) Fjalori'!A740</f>
        <v>Tavanet e përgjithshme</v>
      </c>
      <c r="B11" s="964"/>
      <c r="C11" s="974">
        <f>C17+C23+C29</f>
        <v>378732688</v>
      </c>
      <c r="D11" s="974">
        <f>D17+D23+D29</f>
        <v>320188860</v>
      </c>
      <c r="E11" s="974">
        <f>E17+E23+E29</f>
        <v>319549283</v>
      </c>
      <c r="F11" s="934" t="str">
        <f>IF(C11&lt;0,"STOPP!","OK!")</f>
        <v>OK!</v>
      </c>
      <c r="G11" s="934" t="str">
        <f t="shared" ref="G11:R11" si="3">IF(D11&lt;0,"STOPP!","OK!")</f>
        <v>OK!</v>
      </c>
      <c r="H11" s="934" t="str">
        <f t="shared" si="3"/>
        <v>OK!</v>
      </c>
      <c r="I11" s="934" t="str">
        <f t="shared" si="3"/>
        <v>OK!</v>
      </c>
      <c r="J11" s="934" t="str">
        <f t="shared" si="3"/>
        <v>OK!</v>
      </c>
      <c r="K11" s="934" t="str">
        <f t="shared" si="3"/>
        <v>OK!</v>
      </c>
      <c r="L11" s="934" t="str">
        <f t="shared" si="3"/>
        <v>OK!</v>
      </c>
      <c r="M11" s="934" t="str">
        <f t="shared" si="3"/>
        <v>OK!</v>
      </c>
      <c r="N11" s="934" t="str">
        <f t="shared" si="3"/>
        <v>OK!</v>
      </c>
      <c r="O11" s="934" t="str">
        <f t="shared" si="3"/>
        <v>OK!</v>
      </c>
      <c r="P11" s="934" t="str">
        <f t="shared" si="3"/>
        <v>OK!</v>
      </c>
      <c r="Q11" s="934" t="str">
        <f t="shared" si="3"/>
        <v>OK!</v>
      </c>
      <c r="R11" s="934" t="str">
        <f t="shared" si="3"/>
        <v>OK!</v>
      </c>
      <c r="S11" s="934" t="str">
        <f t="shared" si="2"/>
        <v>OK!</v>
      </c>
      <c r="T11" s="934" t="str">
        <f t="shared" si="2"/>
        <v>OK!</v>
      </c>
    </row>
    <row r="12" spans="1:20" x14ac:dyDescent="0.15">
      <c r="A12" s="1018" t="str">
        <f>'(G1) Fjalori'!A753</f>
        <v>Angazhimet kujtesë</v>
      </c>
      <c r="B12" s="1019"/>
      <c r="C12" s="1019">
        <f>'(C5) Angazhimet'!D15</f>
        <v>0</v>
      </c>
      <c r="D12" s="1020">
        <f>'(C5) Angazhimet'!E15</f>
        <v>0</v>
      </c>
      <c r="E12" s="1020">
        <f>'(C5) Angazhimet'!F15</f>
        <v>0</v>
      </c>
      <c r="F12" s="934" t="str">
        <f>IF(C12&gt;C11,"STOPP!","OK!")</f>
        <v>OK!</v>
      </c>
      <c r="G12" s="934" t="str">
        <f t="shared" ref="G12:R12" si="4">IF(D12&lt;0,"STOPP!","OK!")</f>
        <v>OK!</v>
      </c>
      <c r="H12" s="934" t="str">
        <f t="shared" si="4"/>
        <v>OK!</v>
      </c>
      <c r="I12" s="934" t="str">
        <f t="shared" si="4"/>
        <v>OK!</v>
      </c>
      <c r="J12" s="934" t="str">
        <f t="shared" si="4"/>
        <v>OK!</v>
      </c>
      <c r="K12" s="934" t="str">
        <f t="shared" si="4"/>
        <v>OK!</v>
      </c>
      <c r="L12" s="934" t="str">
        <f t="shared" si="4"/>
        <v>OK!</v>
      </c>
      <c r="M12" s="934" t="str">
        <f t="shared" si="4"/>
        <v>OK!</v>
      </c>
      <c r="N12" s="934" t="str">
        <f t="shared" si="4"/>
        <v>OK!</v>
      </c>
      <c r="O12" s="934" t="str">
        <f t="shared" si="4"/>
        <v>OK!</v>
      </c>
      <c r="P12" s="934" t="str">
        <f t="shared" si="4"/>
        <v>OK!</v>
      </c>
      <c r="Q12" s="934" t="str">
        <f t="shared" si="4"/>
        <v>OK!</v>
      </c>
      <c r="R12" s="934" t="str">
        <f t="shared" si="4"/>
        <v>OK!</v>
      </c>
      <c r="S12" s="934" t="str">
        <f>IF(D12&gt;D11,"STOPP!","OK!")</f>
        <v>OK!</v>
      </c>
      <c r="T12" s="934" t="str">
        <f>IF(E12&gt;E11,"STOPP!","OK!")</f>
        <v>OK!</v>
      </c>
    </row>
    <row r="13" spans="1:20" ht="18" customHeight="1" x14ac:dyDescent="0.15">
      <c r="A13" s="1021" t="str">
        <f>'(B3) Struktura Funksionale'!B8</f>
        <v>01110</v>
      </c>
      <c r="B13" s="1089" t="str">
        <f>'(B3) Struktura Funksionale'!C8</f>
        <v>Planifikimi Menaxhimi dhe Administrimi</v>
      </c>
      <c r="C13" s="1090"/>
      <c r="D13" s="1090"/>
      <c r="E13" s="1091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</row>
    <row r="14" spans="1:20" x14ac:dyDescent="0.15">
      <c r="A14" s="958" t="str">
        <f>A$8</f>
        <v>Pagat dhe sigurimet shoqërore</v>
      </c>
      <c r="B14" s="958"/>
      <c r="C14" s="1017">
        <v>178600000</v>
      </c>
      <c r="D14" s="1017">
        <v>180386000</v>
      </c>
      <c r="E14" s="1017">
        <v>182189860</v>
      </c>
      <c r="F14" s="934" t="str">
        <f t="shared" ref="F14:R17" si="5">IF(C14&lt;0,"STOPP!","OK!")</f>
        <v>OK!</v>
      </c>
      <c r="G14" s="934" t="str">
        <f t="shared" si="5"/>
        <v>OK!</v>
      </c>
      <c r="H14" s="934" t="str">
        <f t="shared" si="5"/>
        <v>OK!</v>
      </c>
      <c r="I14" s="934" t="str">
        <f t="shared" si="5"/>
        <v>OK!</v>
      </c>
      <c r="J14" s="934" t="str">
        <f t="shared" si="5"/>
        <v>OK!</v>
      </c>
      <c r="K14" s="934" t="str">
        <f t="shared" si="5"/>
        <v>OK!</v>
      </c>
      <c r="L14" s="934" t="str">
        <f t="shared" si="5"/>
        <v>OK!</v>
      </c>
      <c r="M14" s="934" t="str">
        <f t="shared" si="5"/>
        <v>OK!</v>
      </c>
      <c r="N14" s="934" t="str">
        <f t="shared" si="5"/>
        <v>OK!</v>
      </c>
      <c r="O14" s="934" t="str">
        <f t="shared" si="5"/>
        <v>OK!</v>
      </c>
      <c r="P14" s="934" t="str">
        <f t="shared" si="5"/>
        <v>OK!</v>
      </c>
      <c r="Q14" s="934" t="str">
        <f t="shared" si="5"/>
        <v>OK!</v>
      </c>
      <c r="R14" s="934" t="str">
        <f t="shared" si="5"/>
        <v>OK!</v>
      </c>
      <c r="S14" s="934" t="str">
        <f t="shared" ref="S14:T17" si="6">IF(D14&lt;0,"STOPP!","OK!")</f>
        <v>OK!</v>
      </c>
      <c r="T14" s="934" t="str">
        <f t="shared" si="6"/>
        <v>OK!</v>
      </c>
    </row>
    <row r="15" spans="1:20" x14ac:dyDescent="0.15">
      <c r="A15" s="958" t="str">
        <f>A$9</f>
        <v>Të tjera shpenzime korrente</v>
      </c>
      <c r="B15" s="958"/>
      <c r="C15" s="967">
        <v>109630000</v>
      </c>
      <c r="D15" s="967">
        <v>110122000</v>
      </c>
      <c r="E15" s="967">
        <v>111229200</v>
      </c>
      <c r="F15" s="934" t="str">
        <f t="shared" si="5"/>
        <v>OK!</v>
      </c>
      <c r="G15" s="934" t="str">
        <f t="shared" si="5"/>
        <v>OK!</v>
      </c>
      <c r="H15" s="934" t="str">
        <f t="shared" si="5"/>
        <v>OK!</v>
      </c>
      <c r="I15" s="934" t="str">
        <f t="shared" si="5"/>
        <v>OK!</v>
      </c>
      <c r="J15" s="934" t="str">
        <f t="shared" si="5"/>
        <v>OK!</v>
      </c>
      <c r="K15" s="934" t="str">
        <f t="shared" si="5"/>
        <v>OK!</v>
      </c>
      <c r="L15" s="934" t="str">
        <f t="shared" si="5"/>
        <v>OK!</v>
      </c>
      <c r="M15" s="934" t="str">
        <f t="shared" si="5"/>
        <v>OK!</v>
      </c>
      <c r="N15" s="934" t="str">
        <f t="shared" si="5"/>
        <v>OK!</v>
      </c>
      <c r="O15" s="934" t="str">
        <f t="shared" si="5"/>
        <v>OK!</v>
      </c>
      <c r="P15" s="934" t="str">
        <f t="shared" si="5"/>
        <v>OK!</v>
      </c>
      <c r="Q15" s="934" t="str">
        <f t="shared" si="5"/>
        <v>OK!</v>
      </c>
      <c r="R15" s="934" t="str">
        <f t="shared" si="5"/>
        <v>OK!</v>
      </c>
      <c r="S15" s="934" t="str">
        <f t="shared" si="6"/>
        <v>OK!</v>
      </c>
      <c r="T15" s="934" t="str">
        <f t="shared" si="6"/>
        <v>OK!</v>
      </c>
    </row>
    <row r="16" spans="1:20" x14ac:dyDescent="0.15">
      <c r="A16" s="960" t="str">
        <f>A$10</f>
        <v>Shpenzimet kapitale</v>
      </c>
      <c r="B16" s="961"/>
      <c r="C16" s="974">
        <f>C17-C14-C15</f>
        <v>82418688</v>
      </c>
      <c r="D16" s="974">
        <f>D17-D14-D15</f>
        <v>21596860</v>
      </c>
      <c r="E16" s="974">
        <f>E17-E14-E15</f>
        <v>18046223</v>
      </c>
      <c r="F16" s="934" t="str">
        <f t="shared" si="5"/>
        <v>OK!</v>
      </c>
      <c r="G16" s="934" t="str">
        <f t="shared" si="5"/>
        <v>OK!</v>
      </c>
      <c r="H16" s="934" t="str">
        <f t="shared" si="5"/>
        <v>OK!</v>
      </c>
      <c r="I16" s="934" t="str">
        <f t="shared" si="5"/>
        <v>OK!</v>
      </c>
      <c r="J16" s="934" t="str">
        <f t="shared" si="5"/>
        <v>OK!</v>
      </c>
      <c r="K16" s="934" t="str">
        <f t="shared" si="5"/>
        <v>OK!</v>
      </c>
      <c r="L16" s="934" t="str">
        <f t="shared" si="5"/>
        <v>OK!</v>
      </c>
      <c r="M16" s="934" t="str">
        <f t="shared" si="5"/>
        <v>OK!</v>
      </c>
      <c r="N16" s="934" t="str">
        <f t="shared" si="5"/>
        <v>OK!</v>
      </c>
      <c r="O16" s="934" t="str">
        <f t="shared" si="5"/>
        <v>OK!</v>
      </c>
      <c r="P16" s="934" t="str">
        <f t="shared" si="5"/>
        <v>OK!</v>
      </c>
      <c r="Q16" s="934" t="str">
        <f t="shared" si="5"/>
        <v>OK!</v>
      </c>
      <c r="R16" s="934" t="str">
        <f t="shared" si="5"/>
        <v>OK!</v>
      </c>
      <c r="S16" s="934" t="str">
        <f t="shared" si="6"/>
        <v>OK!</v>
      </c>
      <c r="T16" s="934" t="str">
        <f t="shared" si="6"/>
        <v>OK!</v>
      </c>
    </row>
    <row r="17" spans="1:20" x14ac:dyDescent="0.15">
      <c r="A17" s="963" t="str">
        <f>A$11</f>
        <v>Tavanet e përgjithshme</v>
      </c>
      <c r="B17" s="964"/>
      <c r="C17" s="968">
        <f>414305425-103700000-64000000+44973263+3070000+76000000</f>
        <v>370648688</v>
      </c>
      <c r="D17" s="969">
        <f>428867000-104100000-65400000+21000000+1687860+450000+55100000-25500000</f>
        <v>312104860</v>
      </c>
      <c r="E17" s="969">
        <f>444200000-105200000-67000000+29452746-129668+1070685+29900000-21368480+540000</f>
        <v>311465283</v>
      </c>
      <c r="F17" s="934" t="str">
        <f t="shared" si="5"/>
        <v>OK!</v>
      </c>
      <c r="G17" s="934" t="str">
        <f t="shared" si="5"/>
        <v>OK!</v>
      </c>
      <c r="H17" s="934" t="str">
        <f t="shared" si="5"/>
        <v>OK!</v>
      </c>
      <c r="I17" s="934" t="str">
        <f t="shared" si="5"/>
        <v>OK!</v>
      </c>
      <c r="J17" s="934" t="str">
        <f t="shared" si="5"/>
        <v>OK!</v>
      </c>
      <c r="K17" s="934" t="str">
        <f t="shared" si="5"/>
        <v>OK!</v>
      </c>
      <c r="L17" s="934" t="str">
        <f t="shared" si="5"/>
        <v>OK!</v>
      </c>
      <c r="M17" s="934" t="str">
        <f t="shared" si="5"/>
        <v>OK!</v>
      </c>
      <c r="N17" s="934" t="str">
        <f t="shared" si="5"/>
        <v>OK!</v>
      </c>
      <c r="O17" s="934" t="str">
        <f t="shared" si="5"/>
        <v>OK!</v>
      </c>
      <c r="P17" s="934" t="str">
        <f t="shared" si="5"/>
        <v>OK!</v>
      </c>
      <c r="Q17" s="934" t="str">
        <f t="shared" si="5"/>
        <v>OK!</v>
      </c>
      <c r="R17" s="934" t="str">
        <f t="shared" si="5"/>
        <v>OK!</v>
      </c>
      <c r="S17" s="934" t="str">
        <f t="shared" si="6"/>
        <v>OK!</v>
      </c>
      <c r="T17" s="934" t="str">
        <f t="shared" si="6"/>
        <v>OK!</v>
      </c>
    </row>
    <row r="18" spans="1:20" x14ac:dyDescent="0.15">
      <c r="A18" s="965" t="str">
        <f>A$12</f>
        <v>Angazhimet kujtesë</v>
      </c>
      <c r="B18" s="959"/>
      <c r="C18" s="959">
        <f>'(C5) Angazhimet'!D9</f>
        <v>0</v>
      </c>
      <c r="D18" s="962">
        <f>'(C5) Angazhimet'!E9</f>
        <v>0</v>
      </c>
      <c r="E18" s="959">
        <f>'(C5) Angazhimet'!F9</f>
        <v>0</v>
      </c>
      <c r="F18" s="934" t="str">
        <f>IF(C18&gt;C17,"STOPP!","OK!")</f>
        <v>OK!</v>
      </c>
      <c r="G18" s="934" t="str">
        <f t="shared" ref="G18:R18" si="7">IF(D18&lt;0,"STOPP!","OK!")</f>
        <v>OK!</v>
      </c>
      <c r="H18" s="934" t="str">
        <f t="shared" si="7"/>
        <v>OK!</v>
      </c>
      <c r="I18" s="934" t="str">
        <f t="shared" si="7"/>
        <v>OK!</v>
      </c>
      <c r="J18" s="934" t="str">
        <f t="shared" si="7"/>
        <v>OK!</v>
      </c>
      <c r="K18" s="934" t="str">
        <f t="shared" si="7"/>
        <v>OK!</v>
      </c>
      <c r="L18" s="934" t="str">
        <f t="shared" si="7"/>
        <v>OK!</v>
      </c>
      <c r="M18" s="934" t="str">
        <f t="shared" si="7"/>
        <v>OK!</v>
      </c>
      <c r="N18" s="934" t="str">
        <f t="shared" si="7"/>
        <v>OK!</v>
      </c>
      <c r="O18" s="934" t="str">
        <f t="shared" si="7"/>
        <v>OK!</v>
      </c>
      <c r="P18" s="934" t="str">
        <f t="shared" si="7"/>
        <v>OK!</v>
      </c>
      <c r="Q18" s="934" t="str">
        <f t="shared" si="7"/>
        <v>OK!</v>
      </c>
      <c r="R18" s="934" t="str">
        <f t="shared" si="7"/>
        <v>OK!</v>
      </c>
      <c r="S18" s="934" t="str">
        <f>IF(D18&gt;D17,"STOPP!","OK!")</f>
        <v>OK!</v>
      </c>
      <c r="T18" s="934" t="str">
        <f>IF(E18&gt;E17,"STOPP!","OK!")</f>
        <v>OK!</v>
      </c>
    </row>
    <row r="19" spans="1:20" ht="15.75" customHeight="1" x14ac:dyDescent="0.15">
      <c r="A19" s="1089" t="str">
        <f>'(B3) Struktura Funksionale'!B9</f>
        <v>01120</v>
      </c>
      <c r="B19" s="1089" t="str">
        <f>'(B3) Struktura Funksionale'!C9</f>
        <v>Çështje financiare dhe fiskale</v>
      </c>
      <c r="C19" s="1090"/>
      <c r="D19" s="1090"/>
      <c r="E19" s="1091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</row>
    <row r="20" spans="1:20" x14ac:dyDescent="0.15">
      <c r="A20" s="958" t="str">
        <f>A$8</f>
        <v>Pagat dhe sigurimet shoqërore</v>
      </c>
      <c r="B20" s="958"/>
      <c r="C20" s="966"/>
      <c r="D20" s="966"/>
      <c r="E20" s="966"/>
      <c r="F20" s="934" t="str">
        <f t="shared" ref="F20:R23" si="8">IF(C20&lt;0,"STOPP!","OK!")</f>
        <v>OK!</v>
      </c>
      <c r="G20" s="934" t="str">
        <f t="shared" si="8"/>
        <v>OK!</v>
      </c>
      <c r="H20" s="934" t="str">
        <f t="shared" si="8"/>
        <v>OK!</v>
      </c>
      <c r="I20" s="934" t="str">
        <f t="shared" si="8"/>
        <v>OK!</v>
      </c>
      <c r="J20" s="934" t="str">
        <f t="shared" si="8"/>
        <v>OK!</v>
      </c>
      <c r="K20" s="934" t="str">
        <f t="shared" si="8"/>
        <v>OK!</v>
      </c>
      <c r="L20" s="934" t="str">
        <f t="shared" si="8"/>
        <v>OK!</v>
      </c>
      <c r="M20" s="934" t="str">
        <f t="shared" si="8"/>
        <v>OK!</v>
      </c>
      <c r="N20" s="934" t="str">
        <f t="shared" si="8"/>
        <v>OK!</v>
      </c>
      <c r="O20" s="934" t="str">
        <f t="shared" si="8"/>
        <v>OK!</v>
      </c>
      <c r="P20" s="934" t="str">
        <f t="shared" si="8"/>
        <v>OK!</v>
      </c>
      <c r="Q20" s="934" t="str">
        <f t="shared" si="8"/>
        <v>OK!</v>
      </c>
      <c r="R20" s="934" t="str">
        <f t="shared" si="8"/>
        <v>OK!</v>
      </c>
      <c r="S20" s="934" t="str">
        <f t="shared" ref="S20:T23" si="9">IF(D20&lt;0,"STOPP!","OK!")</f>
        <v>OK!</v>
      </c>
      <c r="T20" s="934" t="str">
        <f t="shared" si="9"/>
        <v>OK!</v>
      </c>
    </row>
    <row r="21" spans="1:20" x14ac:dyDescent="0.15">
      <c r="A21" s="958" t="str">
        <f>A$9</f>
        <v>Të tjera shpenzime korrente</v>
      </c>
      <c r="B21" s="958"/>
      <c r="C21" s="967"/>
      <c r="D21" s="967"/>
      <c r="E21" s="967"/>
      <c r="F21" s="934" t="str">
        <f t="shared" si="8"/>
        <v>OK!</v>
      </c>
      <c r="G21" s="934" t="str">
        <f t="shared" si="8"/>
        <v>OK!</v>
      </c>
      <c r="H21" s="934" t="str">
        <f t="shared" si="8"/>
        <v>OK!</v>
      </c>
      <c r="I21" s="934" t="str">
        <f t="shared" si="8"/>
        <v>OK!</v>
      </c>
      <c r="J21" s="934" t="str">
        <f t="shared" si="8"/>
        <v>OK!</v>
      </c>
      <c r="K21" s="934" t="str">
        <f t="shared" si="8"/>
        <v>OK!</v>
      </c>
      <c r="L21" s="934" t="str">
        <f t="shared" si="8"/>
        <v>OK!</v>
      </c>
      <c r="M21" s="934" t="str">
        <f t="shared" si="8"/>
        <v>OK!</v>
      </c>
      <c r="N21" s="934" t="str">
        <f t="shared" si="8"/>
        <v>OK!</v>
      </c>
      <c r="O21" s="934" t="str">
        <f t="shared" si="8"/>
        <v>OK!</v>
      </c>
      <c r="P21" s="934" t="str">
        <f t="shared" si="8"/>
        <v>OK!</v>
      </c>
      <c r="Q21" s="934" t="str">
        <f t="shared" si="8"/>
        <v>OK!</v>
      </c>
      <c r="R21" s="934" t="str">
        <f t="shared" si="8"/>
        <v>OK!</v>
      </c>
      <c r="S21" s="934" t="str">
        <f t="shared" si="9"/>
        <v>OK!</v>
      </c>
      <c r="T21" s="934" t="str">
        <f t="shared" si="9"/>
        <v>OK!</v>
      </c>
    </row>
    <row r="22" spans="1:20" x14ac:dyDescent="0.15">
      <c r="A22" s="960" t="str">
        <f>A$10</f>
        <v>Shpenzimet kapitale</v>
      </c>
      <c r="B22" s="961"/>
      <c r="C22" s="959">
        <f>C23-C20-C21</f>
        <v>0</v>
      </c>
      <c r="D22" s="959">
        <f>D23-D20-D21</f>
        <v>0</v>
      </c>
      <c r="E22" s="959">
        <f>E23-E20-E21</f>
        <v>0</v>
      </c>
      <c r="F22" s="934" t="str">
        <f t="shared" si="8"/>
        <v>OK!</v>
      </c>
      <c r="G22" s="934" t="str">
        <f t="shared" si="8"/>
        <v>OK!</v>
      </c>
      <c r="H22" s="934" t="str">
        <f t="shared" si="8"/>
        <v>OK!</v>
      </c>
      <c r="I22" s="934" t="str">
        <f t="shared" si="8"/>
        <v>OK!</v>
      </c>
      <c r="J22" s="934" t="str">
        <f t="shared" si="8"/>
        <v>OK!</v>
      </c>
      <c r="K22" s="934" t="str">
        <f t="shared" si="8"/>
        <v>OK!</v>
      </c>
      <c r="L22" s="934" t="str">
        <f t="shared" si="8"/>
        <v>OK!</v>
      </c>
      <c r="M22" s="934" t="str">
        <f t="shared" si="8"/>
        <v>OK!</v>
      </c>
      <c r="N22" s="934" t="str">
        <f t="shared" si="8"/>
        <v>OK!</v>
      </c>
      <c r="O22" s="934" t="str">
        <f t="shared" si="8"/>
        <v>OK!</v>
      </c>
      <c r="P22" s="934" t="str">
        <f t="shared" si="8"/>
        <v>OK!</v>
      </c>
      <c r="Q22" s="934" t="str">
        <f t="shared" si="8"/>
        <v>OK!</v>
      </c>
      <c r="R22" s="934" t="str">
        <f t="shared" si="8"/>
        <v>OK!</v>
      </c>
      <c r="S22" s="934" t="str">
        <f t="shared" si="9"/>
        <v>OK!</v>
      </c>
      <c r="T22" s="934" t="str">
        <f t="shared" si="9"/>
        <v>OK!</v>
      </c>
    </row>
    <row r="23" spans="1:20" x14ac:dyDescent="0.15">
      <c r="A23" s="963" t="str">
        <f>A$11</f>
        <v>Tavanet e përgjithshme</v>
      </c>
      <c r="B23" s="964"/>
      <c r="C23" s="968"/>
      <c r="D23" s="969"/>
      <c r="E23" s="969"/>
      <c r="F23" s="934" t="str">
        <f t="shared" si="8"/>
        <v>OK!</v>
      </c>
      <c r="G23" s="934" t="str">
        <f t="shared" si="8"/>
        <v>OK!</v>
      </c>
      <c r="H23" s="934" t="str">
        <f t="shared" si="8"/>
        <v>OK!</v>
      </c>
      <c r="I23" s="934" t="str">
        <f t="shared" si="8"/>
        <v>OK!</v>
      </c>
      <c r="J23" s="934" t="str">
        <f t="shared" si="8"/>
        <v>OK!</v>
      </c>
      <c r="K23" s="934" t="str">
        <f t="shared" si="8"/>
        <v>OK!</v>
      </c>
      <c r="L23" s="934" t="str">
        <f t="shared" si="8"/>
        <v>OK!</v>
      </c>
      <c r="M23" s="934" t="str">
        <f t="shared" si="8"/>
        <v>OK!</v>
      </c>
      <c r="N23" s="934" t="str">
        <f t="shared" si="8"/>
        <v>OK!</v>
      </c>
      <c r="O23" s="934" t="str">
        <f t="shared" si="8"/>
        <v>OK!</v>
      </c>
      <c r="P23" s="934" t="str">
        <f t="shared" si="8"/>
        <v>OK!</v>
      </c>
      <c r="Q23" s="934" t="str">
        <f t="shared" si="8"/>
        <v>OK!</v>
      </c>
      <c r="R23" s="934" t="str">
        <f t="shared" si="8"/>
        <v>OK!</v>
      </c>
      <c r="S23" s="934" t="str">
        <f t="shared" si="9"/>
        <v>OK!</v>
      </c>
      <c r="T23" s="934" t="str">
        <f t="shared" si="9"/>
        <v>OK!</v>
      </c>
    </row>
    <row r="24" spans="1:20" x14ac:dyDescent="0.15">
      <c r="A24" s="965" t="str">
        <f>A$12</f>
        <v>Angazhimet kujtesë</v>
      </c>
      <c r="B24" s="959"/>
      <c r="C24" s="959">
        <f>'(C5) Angazhimet'!D10</f>
        <v>0</v>
      </c>
      <c r="D24" s="959">
        <f>'(C5) Angazhimet'!E10</f>
        <v>0</v>
      </c>
      <c r="E24" s="959">
        <f>'(C5) Angazhimet'!F10</f>
        <v>0</v>
      </c>
      <c r="F24" s="934" t="str">
        <f>IF(C24&gt;C23,"STOPP!","OK!")</f>
        <v>OK!</v>
      </c>
      <c r="G24" s="934" t="str">
        <f t="shared" ref="G24:R24" si="10">IF(D24&lt;0,"STOPP!","OK!")</f>
        <v>OK!</v>
      </c>
      <c r="H24" s="934" t="str">
        <f t="shared" si="10"/>
        <v>OK!</v>
      </c>
      <c r="I24" s="934" t="str">
        <f t="shared" si="10"/>
        <v>OK!</v>
      </c>
      <c r="J24" s="934" t="str">
        <f t="shared" si="10"/>
        <v>OK!</v>
      </c>
      <c r="K24" s="934" t="str">
        <f t="shared" si="10"/>
        <v>OK!</v>
      </c>
      <c r="L24" s="934" t="str">
        <f t="shared" si="10"/>
        <v>OK!</v>
      </c>
      <c r="M24" s="934" t="str">
        <f t="shared" si="10"/>
        <v>OK!</v>
      </c>
      <c r="N24" s="934" t="str">
        <f t="shared" si="10"/>
        <v>OK!</v>
      </c>
      <c r="O24" s="934" t="str">
        <f t="shared" si="10"/>
        <v>OK!</v>
      </c>
      <c r="P24" s="934" t="str">
        <f t="shared" si="10"/>
        <v>OK!</v>
      </c>
      <c r="Q24" s="934" t="str">
        <f t="shared" si="10"/>
        <v>OK!</v>
      </c>
      <c r="R24" s="934" t="str">
        <f t="shared" si="10"/>
        <v>OK!</v>
      </c>
      <c r="S24" s="934" t="str">
        <f>IF(D24&gt;D23,"STOPP!","OK!")</f>
        <v>OK!</v>
      </c>
      <c r="T24" s="934" t="str">
        <f>IF(E24&gt;E23,"STOPP!","OK!")</f>
        <v>OK!</v>
      </c>
    </row>
    <row r="25" spans="1:20" ht="15.75" x14ac:dyDescent="0.15">
      <c r="A25" s="1021" t="str">
        <f>'(B3) Struktura Funksionale'!B11</f>
        <v>01170</v>
      </c>
      <c r="B25" s="1089" t="str">
        <f>'(B3) Struktura Funksionale'!C11</f>
        <v>Gjendja civile</v>
      </c>
      <c r="C25" s="1090"/>
      <c r="D25" s="1090"/>
      <c r="E25" s="1091"/>
      <c r="F25" s="934"/>
      <c r="G25" s="934"/>
      <c r="H25" s="934"/>
      <c r="I25" s="934"/>
      <c r="J25" s="934"/>
      <c r="K25" s="934"/>
      <c r="L25" s="934"/>
      <c r="M25" s="934"/>
      <c r="N25" s="934"/>
      <c r="O25" s="934"/>
      <c r="P25" s="934"/>
      <c r="Q25" s="934"/>
      <c r="R25" s="934"/>
      <c r="S25" s="934"/>
      <c r="T25" s="934"/>
    </row>
    <row r="26" spans="1:20" x14ac:dyDescent="0.15">
      <c r="A26" s="958" t="str">
        <f>A$8</f>
        <v>Pagat dhe sigurimet shoqërore</v>
      </c>
      <c r="B26" s="958"/>
      <c r="C26" s="966">
        <v>7480000</v>
      </c>
      <c r="D26" s="966">
        <v>7480000</v>
      </c>
      <c r="E26" s="966">
        <v>7480000</v>
      </c>
      <c r="F26" s="934" t="str">
        <f t="shared" ref="F26:R29" si="11">IF(C26&lt;0,"STOPP!","OK!")</f>
        <v>OK!</v>
      </c>
      <c r="G26" s="934" t="str">
        <f t="shared" si="11"/>
        <v>OK!</v>
      </c>
      <c r="H26" s="934" t="str">
        <f t="shared" si="11"/>
        <v>OK!</v>
      </c>
      <c r="I26" s="934" t="str">
        <f t="shared" si="11"/>
        <v>OK!</v>
      </c>
      <c r="J26" s="934" t="str">
        <f t="shared" si="11"/>
        <v>OK!</v>
      </c>
      <c r="K26" s="934" t="str">
        <f t="shared" si="11"/>
        <v>OK!</v>
      </c>
      <c r="L26" s="934" t="str">
        <f t="shared" si="11"/>
        <v>OK!</v>
      </c>
      <c r="M26" s="934" t="str">
        <f t="shared" si="11"/>
        <v>OK!</v>
      </c>
      <c r="N26" s="934" t="str">
        <f t="shared" si="11"/>
        <v>OK!</v>
      </c>
      <c r="O26" s="934" t="str">
        <f t="shared" si="11"/>
        <v>OK!</v>
      </c>
      <c r="P26" s="934" t="str">
        <f t="shared" si="11"/>
        <v>OK!</v>
      </c>
      <c r="Q26" s="934" t="str">
        <f t="shared" si="11"/>
        <v>OK!</v>
      </c>
      <c r="R26" s="934" t="str">
        <f t="shared" si="11"/>
        <v>OK!</v>
      </c>
      <c r="S26" s="934" t="str">
        <f t="shared" ref="S26:T29" si="12">IF(D26&lt;0,"STOPP!","OK!")</f>
        <v>OK!</v>
      </c>
      <c r="T26" s="934" t="str">
        <f t="shared" si="12"/>
        <v>OK!</v>
      </c>
    </row>
    <row r="27" spans="1:20" x14ac:dyDescent="0.15">
      <c r="A27" s="958" t="str">
        <f>A$9</f>
        <v>Të tjera shpenzime korrente</v>
      </c>
      <c r="B27" s="958"/>
      <c r="C27" s="967">
        <v>604000</v>
      </c>
      <c r="D27" s="967">
        <v>604000</v>
      </c>
      <c r="E27" s="967">
        <v>604000</v>
      </c>
      <c r="F27" s="934" t="str">
        <f t="shared" si="11"/>
        <v>OK!</v>
      </c>
      <c r="G27" s="934" t="str">
        <f t="shared" si="11"/>
        <v>OK!</v>
      </c>
      <c r="H27" s="934" t="str">
        <f t="shared" si="11"/>
        <v>OK!</v>
      </c>
      <c r="I27" s="934" t="str">
        <f t="shared" si="11"/>
        <v>OK!</v>
      </c>
      <c r="J27" s="934" t="str">
        <f t="shared" si="11"/>
        <v>OK!</v>
      </c>
      <c r="K27" s="934" t="str">
        <f t="shared" si="11"/>
        <v>OK!</v>
      </c>
      <c r="L27" s="934" t="str">
        <f t="shared" si="11"/>
        <v>OK!</v>
      </c>
      <c r="M27" s="934" t="str">
        <f t="shared" si="11"/>
        <v>OK!</v>
      </c>
      <c r="N27" s="934" t="str">
        <f t="shared" si="11"/>
        <v>OK!</v>
      </c>
      <c r="O27" s="934" t="str">
        <f t="shared" si="11"/>
        <v>OK!</v>
      </c>
      <c r="P27" s="934" t="str">
        <f t="shared" si="11"/>
        <v>OK!</v>
      </c>
      <c r="Q27" s="934" t="str">
        <f t="shared" si="11"/>
        <v>OK!</v>
      </c>
      <c r="R27" s="934" t="str">
        <f t="shared" si="11"/>
        <v>OK!</v>
      </c>
      <c r="S27" s="934" t="str">
        <f t="shared" si="12"/>
        <v>OK!</v>
      </c>
      <c r="T27" s="934" t="str">
        <f t="shared" si="12"/>
        <v>OK!</v>
      </c>
    </row>
    <row r="28" spans="1:20" x14ac:dyDescent="0.15">
      <c r="A28" s="960" t="str">
        <f>A$10</f>
        <v>Shpenzimet kapitale</v>
      </c>
      <c r="B28" s="961"/>
      <c r="C28" s="959">
        <f>C29-C26-C27</f>
        <v>0</v>
      </c>
      <c r="D28" s="959">
        <f>D29-D26-D27</f>
        <v>0</v>
      </c>
      <c r="E28" s="959">
        <f>E29-E26-E27</f>
        <v>0</v>
      </c>
      <c r="F28" s="934" t="str">
        <f t="shared" si="11"/>
        <v>OK!</v>
      </c>
      <c r="G28" s="934" t="str">
        <f t="shared" si="11"/>
        <v>OK!</v>
      </c>
      <c r="H28" s="934" t="str">
        <f t="shared" si="11"/>
        <v>OK!</v>
      </c>
      <c r="I28" s="934" t="str">
        <f t="shared" si="11"/>
        <v>OK!</v>
      </c>
      <c r="J28" s="934" t="str">
        <f t="shared" si="11"/>
        <v>OK!</v>
      </c>
      <c r="K28" s="934" t="str">
        <f t="shared" si="11"/>
        <v>OK!</v>
      </c>
      <c r="L28" s="934" t="str">
        <f t="shared" si="11"/>
        <v>OK!</v>
      </c>
      <c r="M28" s="934" t="str">
        <f t="shared" si="11"/>
        <v>OK!</v>
      </c>
      <c r="N28" s="934" t="str">
        <f t="shared" si="11"/>
        <v>OK!</v>
      </c>
      <c r="O28" s="934" t="str">
        <f t="shared" si="11"/>
        <v>OK!</v>
      </c>
      <c r="P28" s="934" t="str">
        <f t="shared" si="11"/>
        <v>OK!</v>
      </c>
      <c r="Q28" s="934" t="str">
        <f t="shared" si="11"/>
        <v>OK!</v>
      </c>
      <c r="R28" s="934" t="str">
        <f t="shared" si="11"/>
        <v>OK!</v>
      </c>
      <c r="S28" s="934" t="str">
        <f t="shared" si="12"/>
        <v>OK!</v>
      </c>
      <c r="T28" s="934" t="str">
        <f t="shared" si="12"/>
        <v>OK!</v>
      </c>
    </row>
    <row r="29" spans="1:20" x14ac:dyDescent="0.15">
      <c r="A29" s="963" t="str">
        <f>A$11</f>
        <v>Tavanet e përgjithshme</v>
      </c>
      <c r="B29" s="964"/>
      <c r="C29" s="966">
        <v>8084000</v>
      </c>
      <c r="D29" s="966">
        <v>8084000</v>
      </c>
      <c r="E29" s="966">
        <v>8084000</v>
      </c>
      <c r="F29" s="934" t="str">
        <f t="shared" si="11"/>
        <v>OK!</v>
      </c>
      <c r="G29" s="934" t="str">
        <f t="shared" si="11"/>
        <v>OK!</v>
      </c>
      <c r="H29" s="934" t="str">
        <f t="shared" si="11"/>
        <v>OK!</v>
      </c>
      <c r="I29" s="934" t="str">
        <f t="shared" si="11"/>
        <v>OK!</v>
      </c>
      <c r="J29" s="934" t="str">
        <f t="shared" si="11"/>
        <v>OK!</v>
      </c>
      <c r="K29" s="934" t="str">
        <f t="shared" si="11"/>
        <v>OK!</v>
      </c>
      <c r="L29" s="934" t="str">
        <f t="shared" si="11"/>
        <v>OK!</v>
      </c>
      <c r="M29" s="934" t="str">
        <f t="shared" si="11"/>
        <v>OK!</v>
      </c>
      <c r="N29" s="934" t="str">
        <f t="shared" si="11"/>
        <v>OK!</v>
      </c>
      <c r="O29" s="934" t="str">
        <f t="shared" si="11"/>
        <v>OK!</v>
      </c>
      <c r="P29" s="934" t="str">
        <f t="shared" si="11"/>
        <v>OK!</v>
      </c>
      <c r="Q29" s="934" t="str">
        <f t="shared" si="11"/>
        <v>OK!</v>
      </c>
      <c r="R29" s="934" t="str">
        <f t="shared" si="11"/>
        <v>OK!</v>
      </c>
      <c r="S29" s="934" t="str">
        <f t="shared" si="12"/>
        <v>OK!</v>
      </c>
      <c r="T29" s="934" t="str">
        <f t="shared" si="12"/>
        <v>OK!</v>
      </c>
    </row>
    <row r="30" spans="1:20" x14ac:dyDescent="0.15">
      <c r="A30" s="965" t="str">
        <f>A$12</f>
        <v>Angazhimet kujtesë</v>
      </c>
      <c r="B30" s="959"/>
      <c r="C30" s="959">
        <f>'(C5) Angazhimet'!D12</f>
        <v>0</v>
      </c>
      <c r="D30" s="959">
        <f>'(C5) Angazhimet'!E12</f>
        <v>0</v>
      </c>
      <c r="E30" s="959">
        <f>'(C5) Angazhimet'!F12</f>
        <v>0</v>
      </c>
      <c r="F30" s="934" t="str">
        <f>IF(C30&gt;C29,"STOPP!","OK!")</f>
        <v>OK!</v>
      </c>
      <c r="G30" s="934" t="str">
        <f t="shared" ref="G30:R30" si="13">IF(D30&lt;0,"STOPP!","OK!")</f>
        <v>OK!</v>
      </c>
      <c r="H30" s="934" t="str">
        <f t="shared" si="13"/>
        <v>OK!</v>
      </c>
      <c r="I30" s="934" t="str">
        <f t="shared" si="13"/>
        <v>OK!</v>
      </c>
      <c r="J30" s="934" t="str">
        <f t="shared" si="13"/>
        <v>OK!</v>
      </c>
      <c r="K30" s="934" t="str">
        <f t="shared" si="13"/>
        <v>OK!</v>
      </c>
      <c r="L30" s="934" t="str">
        <f t="shared" si="13"/>
        <v>OK!</v>
      </c>
      <c r="M30" s="934" t="str">
        <f t="shared" si="13"/>
        <v>OK!</v>
      </c>
      <c r="N30" s="934" t="str">
        <f t="shared" si="13"/>
        <v>OK!</v>
      </c>
      <c r="O30" s="934" t="str">
        <f t="shared" si="13"/>
        <v>OK!</v>
      </c>
      <c r="P30" s="934" t="str">
        <f t="shared" si="13"/>
        <v>OK!</v>
      </c>
      <c r="Q30" s="934" t="str">
        <f t="shared" si="13"/>
        <v>OK!</v>
      </c>
      <c r="R30" s="934" t="str">
        <f t="shared" si="13"/>
        <v>OK!</v>
      </c>
      <c r="S30" s="934" t="str">
        <f>IF(D30&gt;D29,"STOPP!","OK!")</f>
        <v>OK!</v>
      </c>
      <c r="T30" s="934" t="str">
        <f>IF(E30&gt;E29,"STOPP!","OK!")</f>
        <v>OK!</v>
      </c>
    </row>
    <row r="31" spans="1:20" ht="18.75" customHeight="1" x14ac:dyDescent="0.25">
      <c r="A31" s="1076" t="str">
        <f>'(B2) Struktura Organizative'!A8</f>
        <v>Nënfunksioni 2</v>
      </c>
      <c r="B31" s="1076" t="str">
        <f>'(B2) Struktura Organizative'!B8</f>
        <v>017 Shërbime të  huamarrjes vendore</v>
      </c>
      <c r="C31" s="1077"/>
      <c r="D31" s="1077"/>
      <c r="E31" s="1078"/>
      <c r="G31" s="933">
        <f>C35</f>
        <v>0</v>
      </c>
      <c r="H31" s="933">
        <f>D35</f>
        <v>0</v>
      </c>
      <c r="I31" s="933">
        <f>E35</f>
        <v>0</v>
      </c>
      <c r="J31" s="933">
        <f>C32</f>
        <v>0</v>
      </c>
      <c r="K31" s="933">
        <f>D32</f>
        <v>0</v>
      </c>
      <c r="L31" s="933">
        <f>E32</f>
        <v>0</v>
      </c>
      <c r="M31" s="933">
        <f>C33</f>
        <v>0</v>
      </c>
      <c r="N31" s="933">
        <f>D33</f>
        <v>0</v>
      </c>
      <c r="O31" s="933">
        <f>E33</f>
        <v>0</v>
      </c>
      <c r="P31" s="933">
        <f>C34</f>
        <v>0</v>
      </c>
      <c r="Q31" s="933">
        <f>D34</f>
        <v>0</v>
      </c>
      <c r="R31" s="933">
        <f>E34</f>
        <v>0</v>
      </c>
    </row>
    <row r="32" spans="1:20" x14ac:dyDescent="0.15">
      <c r="A32" s="958" t="str">
        <f>A$8</f>
        <v>Pagat dhe sigurimet shoqërore</v>
      </c>
      <c r="B32" s="958"/>
      <c r="C32" s="959">
        <f t="shared" ref="C32:E33" si="14">C38+C44+C50</f>
        <v>0</v>
      </c>
      <c r="D32" s="959">
        <f t="shared" si="14"/>
        <v>0</v>
      </c>
      <c r="E32" s="959">
        <f t="shared" si="14"/>
        <v>0</v>
      </c>
      <c r="F32" s="934" t="str">
        <f t="shared" ref="F32:R35" si="15">IF(C32&lt;0,"STOPP!","OK!")</f>
        <v>OK!</v>
      </c>
      <c r="G32" s="934" t="str">
        <f t="shared" si="15"/>
        <v>OK!</v>
      </c>
      <c r="H32" s="934" t="str">
        <f t="shared" si="15"/>
        <v>OK!</v>
      </c>
      <c r="I32" s="934" t="str">
        <f t="shared" si="15"/>
        <v>OK!</v>
      </c>
      <c r="J32" s="934" t="str">
        <f t="shared" si="15"/>
        <v>OK!</v>
      </c>
      <c r="K32" s="934" t="str">
        <f t="shared" si="15"/>
        <v>OK!</v>
      </c>
      <c r="L32" s="934" t="str">
        <f t="shared" si="15"/>
        <v>OK!</v>
      </c>
      <c r="M32" s="934" t="str">
        <f t="shared" si="15"/>
        <v>OK!</v>
      </c>
      <c r="N32" s="934" t="str">
        <f t="shared" si="15"/>
        <v>OK!</v>
      </c>
      <c r="O32" s="934" t="str">
        <f t="shared" si="15"/>
        <v>OK!</v>
      </c>
      <c r="P32" s="934" t="str">
        <f t="shared" si="15"/>
        <v>OK!</v>
      </c>
      <c r="Q32" s="934" t="str">
        <f t="shared" si="15"/>
        <v>OK!</v>
      </c>
      <c r="R32" s="934" t="str">
        <f t="shared" si="15"/>
        <v>OK!</v>
      </c>
      <c r="S32" s="934" t="str">
        <f t="shared" ref="S32:T35" si="16">IF(D32&lt;0,"STOPP!","OK!")</f>
        <v>OK!</v>
      </c>
      <c r="T32" s="934" t="str">
        <f t="shared" si="16"/>
        <v>OK!</v>
      </c>
    </row>
    <row r="33" spans="1:20" x14ac:dyDescent="0.15">
      <c r="A33" s="958" t="str">
        <f>A$9</f>
        <v>Të tjera shpenzime korrente</v>
      </c>
      <c r="B33" s="958"/>
      <c r="C33" s="959">
        <f t="shared" si="14"/>
        <v>0</v>
      </c>
      <c r="D33" s="959">
        <f t="shared" si="14"/>
        <v>0</v>
      </c>
      <c r="E33" s="959">
        <f t="shared" si="14"/>
        <v>0</v>
      </c>
      <c r="F33" s="934" t="str">
        <f t="shared" si="15"/>
        <v>OK!</v>
      </c>
      <c r="G33" s="934" t="str">
        <f t="shared" si="15"/>
        <v>OK!</v>
      </c>
      <c r="H33" s="934" t="str">
        <f t="shared" si="15"/>
        <v>OK!</v>
      </c>
      <c r="I33" s="934" t="str">
        <f t="shared" si="15"/>
        <v>OK!</v>
      </c>
      <c r="J33" s="934" t="str">
        <f t="shared" si="15"/>
        <v>OK!</v>
      </c>
      <c r="K33" s="934" t="str">
        <f t="shared" si="15"/>
        <v>OK!</v>
      </c>
      <c r="L33" s="934" t="str">
        <f t="shared" si="15"/>
        <v>OK!</v>
      </c>
      <c r="M33" s="934" t="str">
        <f t="shared" si="15"/>
        <v>OK!</v>
      </c>
      <c r="N33" s="934" t="str">
        <f t="shared" si="15"/>
        <v>OK!</v>
      </c>
      <c r="O33" s="934" t="str">
        <f t="shared" si="15"/>
        <v>OK!</v>
      </c>
      <c r="P33" s="934" t="str">
        <f t="shared" si="15"/>
        <v>OK!</v>
      </c>
      <c r="Q33" s="934" t="str">
        <f t="shared" si="15"/>
        <v>OK!</v>
      </c>
      <c r="R33" s="934" t="str">
        <f t="shared" si="15"/>
        <v>OK!</v>
      </c>
      <c r="S33" s="934" t="str">
        <f t="shared" si="16"/>
        <v>OK!</v>
      </c>
      <c r="T33" s="934" t="str">
        <f t="shared" si="16"/>
        <v>OK!</v>
      </c>
    </row>
    <row r="34" spans="1:20" x14ac:dyDescent="0.15">
      <c r="A34" s="960" t="str">
        <f>A$10</f>
        <v>Shpenzimet kapitale</v>
      </c>
      <c r="B34" s="961"/>
      <c r="C34" s="959">
        <f>C35-C32-C33</f>
        <v>0</v>
      </c>
      <c r="D34" s="962">
        <f>D35-D32-D33</f>
        <v>0</v>
      </c>
      <c r="E34" s="962">
        <f>E35-E32-E33</f>
        <v>0</v>
      </c>
      <c r="F34" s="934" t="str">
        <f t="shared" si="15"/>
        <v>OK!</v>
      </c>
      <c r="G34" s="934" t="str">
        <f t="shared" si="15"/>
        <v>OK!</v>
      </c>
      <c r="H34" s="934" t="str">
        <f t="shared" si="15"/>
        <v>OK!</v>
      </c>
      <c r="I34" s="934" t="str">
        <f t="shared" si="15"/>
        <v>OK!</v>
      </c>
      <c r="J34" s="934" t="str">
        <f t="shared" si="15"/>
        <v>OK!</v>
      </c>
      <c r="K34" s="934" t="str">
        <f t="shared" si="15"/>
        <v>OK!</v>
      </c>
      <c r="L34" s="934" t="str">
        <f t="shared" si="15"/>
        <v>OK!</v>
      </c>
      <c r="M34" s="934" t="str">
        <f t="shared" si="15"/>
        <v>OK!</v>
      </c>
      <c r="N34" s="934" t="str">
        <f t="shared" si="15"/>
        <v>OK!</v>
      </c>
      <c r="O34" s="934" t="str">
        <f t="shared" si="15"/>
        <v>OK!</v>
      </c>
      <c r="P34" s="934" t="str">
        <f t="shared" si="15"/>
        <v>OK!</v>
      </c>
      <c r="Q34" s="934" t="str">
        <f t="shared" si="15"/>
        <v>OK!</v>
      </c>
      <c r="R34" s="934" t="str">
        <f t="shared" si="15"/>
        <v>OK!</v>
      </c>
      <c r="S34" s="934" t="str">
        <f t="shared" si="16"/>
        <v>OK!</v>
      </c>
      <c r="T34" s="934" t="str">
        <f t="shared" si="16"/>
        <v>OK!</v>
      </c>
    </row>
    <row r="35" spans="1:20" x14ac:dyDescent="0.15">
      <c r="A35" s="963" t="str">
        <f>A$11</f>
        <v>Tavanet e përgjithshme</v>
      </c>
      <c r="B35" s="964"/>
      <c r="C35" s="959">
        <f>C41+C47+C53</f>
        <v>0</v>
      </c>
      <c r="D35" s="959">
        <f>D41+D47+D53</f>
        <v>0</v>
      </c>
      <c r="E35" s="959">
        <f>E41+E47+E53</f>
        <v>0</v>
      </c>
      <c r="F35" s="934" t="str">
        <f t="shared" si="15"/>
        <v>OK!</v>
      </c>
      <c r="G35" s="934" t="str">
        <f t="shared" si="15"/>
        <v>OK!</v>
      </c>
      <c r="H35" s="934" t="str">
        <f t="shared" si="15"/>
        <v>OK!</v>
      </c>
      <c r="I35" s="934" t="str">
        <f t="shared" si="15"/>
        <v>OK!</v>
      </c>
      <c r="J35" s="934" t="str">
        <f t="shared" si="15"/>
        <v>OK!</v>
      </c>
      <c r="K35" s="934" t="str">
        <f t="shared" si="15"/>
        <v>OK!</v>
      </c>
      <c r="L35" s="934" t="str">
        <f t="shared" si="15"/>
        <v>OK!</v>
      </c>
      <c r="M35" s="934" t="str">
        <f t="shared" si="15"/>
        <v>OK!</v>
      </c>
      <c r="N35" s="934" t="str">
        <f t="shared" si="15"/>
        <v>OK!</v>
      </c>
      <c r="O35" s="934" t="str">
        <f t="shared" si="15"/>
        <v>OK!</v>
      </c>
      <c r="P35" s="934" t="str">
        <f t="shared" si="15"/>
        <v>OK!</v>
      </c>
      <c r="Q35" s="934" t="str">
        <f t="shared" si="15"/>
        <v>OK!</v>
      </c>
      <c r="R35" s="934" t="str">
        <f t="shared" si="15"/>
        <v>OK!</v>
      </c>
      <c r="S35" s="934" t="str">
        <f t="shared" si="16"/>
        <v>OK!</v>
      </c>
      <c r="T35" s="934" t="str">
        <f t="shared" si="16"/>
        <v>OK!</v>
      </c>
    </row>
    <row r="36" spans="1:20" x14ac:dyDescent="0.15">
      <c r="A36" s="965" t="str">
        <f>A$12</f>
        <v>Angazhimet kujtesë</v>
      </c>
      <c r="B36" s="959"/>
      <c r="C36" s="959">
        <f>'(C5) Angazhimet'!D22</f>
        <v>0</v>
      </c>
      <c r="D36" s="962">
        <f>'(C5) Angazhimet'!E22</f>
        <v>0</v>
      </c>
      <c r="E36" s="962">
        <f>'(C5) Angazhimet'!F22</f>
        <v>0</v>
      </c>
      <c r="F36" s="934" t="str">
        <f>IF(C36&gt;C35,"STOPP!","OK!")</f>
        <v>OK!</v>
      </c>
      <c r="G36" s="934" t="str">
        <f t="shared" ref="G36:R36" si="17">IF(D36&lt;0,"STOPP!","OK!")</f>
        <v>OK!</v>
      </c>
      <c r="H36" s="934" t="str">
        <f t="shared" si="17"/>
        <v>OK!</v>
      </c>
      <c r="I36" s="934" t="str">
        <f t="shared" si="17"/>
        <v>OK!</v>
      </c>
      <c r="J36" s="934" t="str">
        <f t="shared" si="17"/>
        <v>OK!</v>
      </c>
      <c r="K36" s="934" t="str">
        <f t="shared" si="17"/>
        <v>OK!</v>
      </c>
      <c r="L36" s="934" t="str">
        <f t="shared" si="17"/>
        <v>OK!</v>
      </c>
      <c r="M36" s="934" t="str">
        <f t="shared" si="17"/>
        <v>OK!</v>
      </c>
      <c r="N36" s="934" t="str">
        <f t="shared" si="17"/>
        <v>OK!</v>
      </c>
      <c r="O36" s="934" t="str">
        <f t="shared" si="17"/>
        <v>OK!</v>
      </c>
      <c r="P36" s="934" t="str">
        <f t="shared" si="17"/>
        <v>OK!</v>
      </c>
      <c r="Q36" s="934" t="str">
        <f t="shared" si="17"/>
        <v>OK!</v>
      </c>
      <c r="R36" s="934" t="str">
        <f t="shared" si="17"/>
        <v>OK!</v>
      </c>
      <c r="S36" s="934" t="str">
        <f>IF(D36&gt;D35,"STOPP!","OK!")</f>
        <v>OK!</v>
      </c>
      <c r="T36" s="934" t="str">
        <f>IF(E36&gt;E35,"STOPP!","OK!")</f>
        <v>OK!</v>
      </c>
    </row>
    <row r="37" spans="1:20" ht="15.75" hidden="1" customHeight="1" x14ac:dyDescent="0.15">
      <c r="A37" s="1079" t="str">
        <f>'(B3) Struktura Funksionale'!B15</f>
        <v>01310</v>
      </c>
      <c r="B37" s="1079" t="str">
        <f>'(B3) Struktura Funksionale'!C15</f>
        <v>Planifikimi i përgjithshëm dhe Shërbimet Statistikore</v>
      </c>
      <c r="C37" s="1080"/>
      <c r="D37" s="1080"/>
      <c r="E37" s="1081"/>
      <c r="F37" s="934"/>
      <c r="G37" s="934"/>
      <c r="H37" s="934"/>
      <c r="I37" s="934"/>
      <c r="J37" s="934"/>
      <c r="K37" s="934"/>
      <c r="L37" s="934"/>
      <c r="M37" s="934"/>
      <c r="N37" s="934"/>
      <c r="O37" s="934"/>
      <c r="P37" s="934"/>
      <c r="Q37" s="934"/>
      <c r="R37" s="934"/>
      <c r="S37" s="934"/>
      <c r="T37" s="934"/>
    </row>
    <row r="38" spans="1:20" ht="12.75" hidden="1" customHeight="1" x14ac:dyDescent="0.15">
      <c r="A38" s="958" t="str">
        <f>A$8</f>
        <v>Pagat dhe sigurimet shoqërore</v>
      </c>
      <c r="B38" s="958"/>
      <c r="C38" s="966"/>
      <c r="D38" s="966"/>
      <c r="E38" s="966"/>
      <c r="F38" s="934" t="str">
        <f t="shared" ref="F38:R41" si="18">IF(C38&lt;0,"STOPP!","OK!")</f>
        <v>OK!</v>
      </c>
      <c r="G38" s="934" t="str">
        <f t="shared" si="18"/>
        <v>OK!</v>
      </c>
      <c r="H38" s="934" t="str">
        <f t="shared" si="18"/>
        <v>OK!</v>
      </c>
      <c r="I38" s="934" t="str">
        <f t="shared" si="18"/>
        <v>OK!</v>
      </c>
      <c r="J38" s="934" t="str">
        <f t="shared" si="18"/>
        <v>OK!</v>
      </c>
      <c r="K38" s="934" t="str">
        <f t="shared" si="18"/>
        <v>OK!</v>
      </c>
      <c r="L38" s="934" t="str">
        <f t="shared" si="18"/>
        <v>OK!</v>
      </c>
      <c r="M38" s="934" t="str">
        <f t="shared" si="18"/>
        <v>OK!</v>
      </c>
      <c r="N38" s="934" t="str">
        <f t="shared" si="18"/>
        <v>OK!</v>
      </c>
      <c r="O38" s="934" t="str">
        <f t="shared" si="18"/>
        <v>OK!</v>
      </c>
      <c r="P38" s="934" t="str">
        <f t="shared" si="18"/>
        <v>OK!</v>
      </c>
      <c r="Q38" s="934" t="str">
        <f t="shared" si="18"/>
        <v>OK!</v>
      </c>
      <c r="R38" s="934" t="str">
        <f t="shared" si="18"/>
        <v>OK!</v>
      </c>
      <c r="S38" s="934" t="str">
        <f t="shared" ref="S38:T41" si="19">IF(D38&lt;0,"STOPP!","OK!")</f>
        <v>OK!</v>
      </c>
      <c r="T38" s="934" t="str">
        <f t="shared" si="19"/>
        <v>OK!</v>
      </c>
    </row>
    <row r="39" spans="1:20" ht="12.75" hidden="1" customHeight="1" x14ac:dyDescent="0.15">
      <c r="A39" s="958" t="str">
        <f>A$9</f>
        <v>Të tjera shpenzime korrente</v>
      </c>
      <c r="B39" s="958"/>
      <c r="C39" s="967"/>
      <c r="D39" s="967"/>
      <c r="E39" s="967"/>
      <c r="F39" s="934" t="str">
        <f t="shared" si="18"/>
        <v>OK!</v>
      </c>
      <c r="G39" s="934" t="str">
        <f t="shared" si="18"/>
        <v>OK!</v>
      </c>
      <c r="H39" s="934" t="str">
        <f t="shared" si="18"/>
        <v>OK!</v>
      </c>
      <c r="I39" s="934" t="str">
        <f t="shared" si="18"/>
        <v>OK!</v>
      </c>
      <c r="J39" s="934" t="str">
        <f t="shared" si="18"/>
        <v>OK!</v>
      </c>
      <c r="K39" s="934" t="str">
        <f t="shared" si="18"/>
        <v>OK!</v>
      </c>
      <c r="L39" s="934" t="str">
        <f t="shared" si="18"/>
        <v>OK!</v>
      </c>
      <c r="M39" s="934" t="str">
        <f t="shared" si="18"/>
        <v>OK!</v>
      </c>
      <c r="N39" s="934" t="str">
        <f t="shared" si="18"/>
        <v>OK!</v>
      </c>
      <c r="O39" s="934" t="str">
        <f t="shared" si="18"/>
        <v>OK!</v>
      </c>
      <c r="P39" s="934" t="str">
        <f t="shared" si="18"/>
        <v>OK!</v>
      </c>
      <c r="Q39" s="934" t="str">
        <f t="shared" si="18"/>
        <v>OK!</v>
      </c>
      <c r="R39" s="934" t="str">
        <f t="shared" si="18"/>
        <v>OK!</v>
      </c>
      <c r="S39" s="934" t="str">
        <f t="shared" si="19"/>
        <v>OK!</v>
      </c>
      <c r="T39" s="934" t="str">
        <f t="shared" si="19"/>
        <v>OK!</v>
      </c>
    </row>
    <row r="40" spans="1:20" ht="12.75" hidden="1" customHeight="1" x14ac:dyDescent="0.15">
      <c r="A40" s="960" t="str">
        <f>A$10</f>
        <v>Shpenzimet kapitale</v>
      </c>
      <c r="B40" s="961"/>
      <c r="C40" s="959">
        <f>C41-C38-C39</f>
        <v>0</v>
      </c>
      <c r="D40" s="962">
        <f>D41-D38-D39</f>
        <v>0</v>
      </c>
      <c r="E40" s="962">
        <f>E41-E38-E39</f>
        <v>0</v>
      </c>
      <c r="F40" s="934" t="str">
        <f t="shared" si="18"/>
        <v>OK!</v>
      </c>
      <c r="G40" s="934" t="str">
        <f t="shared" si="18"/>
        <v>OK!</v>
      </c>
      <c r="H40" s="934" t="str">
        <f t="shared" si="18"/>
        <v>OK!</v>
      </c>
      <c r="I40" s="934" t="str">
        <f t="shared" si="18"/>
        <v>OK!</v>
      </c>
      <c r="J40" s="934" t="str">
        <f t="shared" si="18"/>
        <v>OK!</v>
      </c>
      <c r="K40" s="934" t="str">
        <f t="shared" si="18"/>
        <v>OK!</v>
      </c>
      <c r="L40" s="934" t="str">
        <f t="shared" si="18"/>
        <v>OK!</v>
      </c>
      <c r="M40" s="934" t="str">
        <f t="shared" si="18"/>
        <v>OK!</v>
      </c>
      <c r="N40" s="934" t="str">
        <f t="shared" si="18"/>
        <v>OK!</v>
      </c>
      <c r="O40" s="934" t="str">
        <f t="shared" si="18"/>
        <v>OK!</v>
      </c>
      <c r="P40" s="934" t="str">
        <f t="shared" si="18"/>
        <v>OK!</v>
      </c>
      <c r="Q40" s="934" t="str">
        <f t="shared" si="18"/>
        <v>OK!</v>
      </c>
      <c r="R40" s="934" t="str">
        <f t="shared" si="18"/>
        <v>OK!</v>
      </c>
      <c r="S40" s="934" t="str">
        <f t="shared" si="19"/>
        <v>OK!</v>
      </c>
      <c r="T40" s="934" t="str">
        <f t="shared" si="19"/>
        <v>OK!</v>
      </c>
    </row>
    <row r="41" spans="1:20" ht="12.75" hidden="1" customHeight="1" x14ac:dyDescent="0.15">
      <c r="A41" s="963" t="str">
        <f>A$11</f>
        <v>Tavanet e përgjithshme</v>
      </c>
      <c r="B41" s="964"/>
      <c r="C41" s="968"/>
      <c r="D41" s="969"/>
      <c r="E41" s="969"/>
      <c r="F41" s="934" t="str">
        <f t="shared" si="18"/>
        <v>OK!</v>
      </c>
      <c r="G41" s="934" t="str">
        <f t="shared" si="18"/>
        <v>OK!</v>
      </c>
      <c r="H41" s="934" t="str">
        <f t="shared" si="18"/>
        <v>OK!</v>
      </c>
      <c r="I41" s="934" t="str">
        <f t="shared" si="18"/>
        <v>OK!</v>
      </c>
      <c r="J41" s="934" t="str">
        <f t="shared" si="18"/>
        <v>OK!</v>
      </c>
      <c r="K41" s="934" t="str">
        <f t="shared" si="18"/>
        <v>OK!</v>
      </c>
      <c r="L41" s="934" t="str">
        <f t="shared" si="18"/>
        <v>OK!</v>
      </c>
      <c r="M41" s="934" t="str">
        <f t="shared" si="18"/>
        <v>OK!</v>
      </c>
      <c r="N41" s="934" t="str">
        <f t="shared" si="18"/>
        <v>OK!</v>
      </c>
      <c r="O41" s="934" t="str">
        <f t="shared" si="18"/>
        <v>OK!</v>
      </c>
      <c r="P41" s="934" t="str">
        <f t="shared" si="18"/>
        <v>OK!</v>
      </c>
      <c r="Q41" s="934" t="str">
        <f t="shared" si="18"/>
        <v>OK!</v>
      </c>
      <c r="R41" s="934" t="str">
        <f t="shared" si="18"/>
        <v>OK!</v>
      </c>
      <c r="S41" s="934" t="str">
        <f t="shared" si="19"/>
        <v>OK!</v>
      </c>
      <c r="T41" s="934" t="str">
        <f t="shared" si="19"/>
        <v>OK!</v>
      </c>
    </row>
    <row r="42" spans="1:20" ht="12.75" hidden="1" customHeight="1" x14ac:dyDescent="0.15">
      <c r="A42" s="965" t="str">
        <f>A$12</f>
        <v>Angazhimet kujtesë</v>
      </c>
      <c r="B42" s="959"/>
      <c r="C42" s="959">
        <f>'(C5) Angazhimet'!D17</f>
        <v>0</v>
      </c>
      <c r="D42" s="959">
        <f>'(C5) Angazhimet'!E17</f>
        <v>0</v>
      </c>
      <c r="E42" s="959">
        <f>'(C5) Angazhimet'!F17</f>
        <v>0</v>
      </c>
      <c r="F42" s="934" t="str">
        <f>IF(C42&gt;C41,"STOPP!","OK!")</f>
        <v>OK!</v>
      </c>
      <c r="G42" s="934" t="str">
        <f t="shared" ref="G42:R42" si="20">IF(D42&lt;0,"STOPP!","OK!")</f>
        <v>OK!</v>
      </c>
      <c r="H42" s="934" t="str">
        <f t="shared" si="20"/>
        <v>OK!</v>
      </c>
      <c r="I42" s="934" t="str">
        <f t="shared" si="20"/>
        <v>OK!</v>
      </c>
      <c r="J42" s="934" t="str">
        <f t="shared" si="20"/>
        <v>OK!</v>
      </c>
      <c r="K42" s="934" t="str">
        <f t="shared" si="20"/>
        <v>OK!</v>
      </c>
      <c r="L42" s="934" t="str">
        <f t="shared" si="20"/>
        <v>OK!</v>
      </c>
      <c r="M42" s="934" t="str">
        <f t="shared" si="20"/>
        <v>OK!</v>
      </c>
      <c r="N42" s="934" t="str">
        <f t="shared" si="20"/>
        <v>OK!</v>
      </c>
      <c r="O42" s="934" t="str">
        <f t="shared" si="20"/>
        <v>OK!</v>
      </c>
      <c r="P42" s="934" t="str">
        <f t="shared" si="20"/>
        <v>OK!</v>
      </c>
      <c r="Q42" s="934" t="str">
        <f t="shared" si="20"/>
        <v>OK!</v>
      </c>
      <c r="R42" s="934" t="str">
        <f t="shared" si="20"/>
        <v>OK!</v>
      </c>
      <c r="S42" s="934" t="str">
        <f>IF(D42&gt;D41,"STOPP!","OK!")</f>
        <v>OK!</v>
      </c>
      <c r="T42" s="934" t="str">
        <f>IF(E42&gt;E41,"STOPP!","OK!")</f>
        <v>OK!</v>
      </c>
    </row>
    <row r="43" spans="1:20" ht="15.75" hidden="1" customHeight="1" x14ac:dyDescent="0.15">
      <c r="A43" s="1079" t="str">
        <f>'(B3) Struktura Funksionale'!B17</f>
        <v>01320</v>
      </c>
      <c r="B43" s="1079" t="str">
        <f>'(B3) Struktura Funksionale'!C17</f>
        <v>Shërbime të tjera të përgjithshme</v>
      </c>
      <c r="C43" s="1080"/>
      <c r="D43" s="1080"/>
      <c r="E43" s="1081"/>
      <c r="F43" s="934"/>
      <c r="G43" s="934"/>
      <c r="H43" s="934"/>
      <c r="I43" s="934"/>
      <c r="J43" s="934"/>
      <c r="K43" s="934"/>
      <c r="L43" s="934"/>
      <c r="M43" s="934"/>
      <c r="N43" s="934"/>
      <c r="O43" s="934"/>
      <c r="P43" s="934"/>
      <c r="Q43" s="934"/>
      <c r="R43" s="934"/>
      <c r="S43" s="934"/>
      <c r="T43" s="934"/>
    </row>
    <row r="44" spans="1:20" ht="12.75" hidden="1" customHeight="1" x14ac:dyDescent="0.15">
      <c r="A44" s="958" t="str">
        <f>A$8</f>
        <v>Pagat dhe sigurimet shoqërore</v>
      </c>
      <c r="B44" s="958"/>
      <c r="C44" s="966"/>
      <c r="D44" s="966"/>
      <c r="E44" s="966"/>
      <c r="F44" s="934" t="str">
        <f t="shared" ref="F44:R47" si="21">IF(C44&lt;0,"STOPP!","OK!")</f>
        <v>OK!</v>
      </c>
      <c r="G44" s="934" t="str">
        <f t="shared" si="21"/>
        <v>OK!</v>
      </c>
      <c r="H44" s="934" t="str">
        <f t="shared" si="21"/>
        <v>OK!</v>
      </c>
      <c r="I44" s="934" t="str">
        <f t="shared" si="21"/>
        <v>OK!</v>
      </c>
      <c r="J44" s="934" t="str">
        <f t="shared" si="21"/>
        <v>OK!</v>
      </c>
      <c r="K44" s="934" t="str">
        <f t="shared" si="21"/>
        <v>OK!</v>
      </c>
      <c r="L44" s="934" t="str">
        <f t="shared" si="21"/>
        <v>OK!</v>
      </c>
      <c r="M44" s="934" t="str">
        <f t="shared" si="21"/>
        <v>OK!</v>
      </c>
      <c r="N44" s="934" t="str">
        <f t="shared" si="21"/>
        <v>OK!</v>
      </c>
      <c r="O44" s="934" t="str">
        <f t="shared" si="21"/>
        <v>OK!</v>
      </c>
      <c r="P44" s="934" t="str">
        <f t="shared" si="21"/>
        <v>OK!</v>
      </c>
      <c r="Q44" s="934" t="str">
        <f t="shared" si="21"/>
        <v>OK!</v>
      </c>
      <c r="R44" s="934" t="str">
        <f t="shared" si="21"/>
        <v>OK!</v>
      </c>
      <c r="S44" s="934" t="str">
        <f t="shared" ref="S44:T47" si="22">IF(D44&lt;0,"STOPP!","OK!")</f>
        <v>OK!</v>
      </c>
      <c r="T44" s="934" t="str">
        <f t="shared" si="22"/>
        <v>OK!</v>
      </c>
    </row>
    <row r="45" spans="1:20" ht="12.75" hidden="1" customHeight="1" x14ac:dyDescent="0.15">
      <c r="A45" s="958" t="str">
        <f>A$9</f>
        <v>Të tjera shpenzime korrente</v>
      </c>
      <c r="B45" s="958"/>
      <c r="C45" s="967"/>
      <c r="D45" s="967"/>
      <c r="E45" s="967"/>
      <c r="F45" s="934" t="str">
        <f t="shared" si="21"/>
        <v>OK!</v>
      </c>
      <c r="G45" s="934" t="str">
        <f t="shared" si="21"/>
        <v>OK!</v>
      </c>
      <c r="H45" s="934" t="str">
        <f t="shared" si="21"/>
        <v>OK!</v>
      </c>
      <c r="I45" s="934" t="str">
        <f t="shared" si="21"/>
        <v>OK!</v>
      </c>
      <c r="J45" s="934" t="str">
        <f t="shared" si="21"/>
        <v>OK!</v>
      </c>
      <c r="K45" s="934" t="str">
        <f t="shared" si="21"/>
        <v>OK!</v>
      </c>
      <c r="L45" s="934" t="str">
        <f t="shared" si="21"/>
        <v>OK!</v>
      </c>
      <c r="M45" s="934" t="str">
        <f t="shared" si="21"/>
        <v>OK!</v>
      </c>
      <c r="N45" s="934" t="str">
        <f t="shared" si="21"/>
        <v>OK!</v>
      </c>
      <c r="O45" s="934" t="str">
        <f t="shared" si="21"/>
        <v>OK!</v>
      </c>
      <c r="P45" s="934" t="str">
        <f t="shared" si="21"/>
        <v>OK!</v>
      </c>
      <c r="Q45" s="934" t="str">
        <f t="shared" si="21"/>
        <v>OK!</v>
      </c>
      <c r="R45" s="934" t="str">
        <f t="shared" si="21"/>
        <v>OK!</v>
      </c>
      <c r="S45" s="934" t="str">
        <f t="shared" si="22"/>
        <v>OK!</v>
      </c>
      <c r="T45" s="934" t="str">
        <f t="shared" si="22"/>
        <v>OK!</v>
      </c>
    </row>
    <row r="46" spans="1:20" ht="12.75" hidden="1" customHeight="1" x14ac:dyDescent="0.15">
      <c r="A46" s="960" t="str">
        <f>A$10</f>
        <v>Shpenzimet kapitale</v>
      </c>
      <c r="B46" s="961"/>
      <c r="C46" s="959">
        <f>C47-C44-C45</f>
        <v>0</v>
      </c>
      <c r="D46" s="962">
        <f>D47-D44-D45</f>
        <v>0</v>
      </c>
      <c r="E46" s="962">
        <f>E47-E44-E45</f>
        <v>0</v>
      </c>
      <c r="F46" s="934" t="str">
        <f t="shared" si="21"/>
        <v>OK!</v>
      </c>
      <c r="G46" s="934" t="str">
        <f t="shared" si="21"/>
        <v>OK!</v>
      </c>
      <c r="H46" s="934" t="str">
        <f t="shared" si="21"/>
        <v>OK!</v>
      </c>
      <c r="I46" s="934" t="str">
        <f t="shared" si="21"/>
        <v>OK!</v>
      </c>
      <c r="J46" s="934" t="str">
        <f t="shared" si="21"/>
        <v>OK!</v>
      </c>
      <c r="K46" s="934" t="str">
        <f t="shared" si="21"/>
        <v>OK!</v>
      </c>
      <c r="L46" s="934" t="str">
        <f t="shared" si="21"/>
        <v>OK!</v>
      </c>
      <c r="M46" s="934" t="str">
        <f t="shared" si="21"/>
        <v>OK!</v>
      </c>
      <c r="N46" s="934" t="str">
        <f t="shared" si="21"/>
        <v>OK!</v>
      </c>
      <c r="O46" s="934" t="str">
        <f t="shared" si="21"/>
        <v>OK!</v>
      </c>
      <c r="P46" s="934" t="str">
        <f t="shared" si="21"/>
        <v>OK!</v>
      </c>
      <c r="Q46" s="934" t="str">
        <f t="shared" si="21"/>
        <v>OK!</v>
      </c>
      <c r="R46" s="934" t="str">
        <f t="shared" si="21"/>
        <v>OK!</v>
      </c>
      <c r="S46" s="934" t="str">
        <f t="shared" si="22"/>
        <v>OK!</v>
      </c>
      <c r="T46" s="934" t="str">
        <f t="shared" si="22"/>
        <v>OK!</v>
      </c>
    </row>
    <row r="47" spans="1:20" ht="12.75" hidden="1" customHeight="1" x14ac:dyDescent="0.15">
      <c r="A47" s="963" t="str">
        <f>A$11</f>
        <v>Tavanet e përgjithshme</v>
      </c>
      <c r="B47" s="964"/>
      <c r="C47" s="968"/>
      <c r="D47" s="969"/>
      <c r="E47" s="969"/>
      <c r="F47" s="934" t="str">
        <f t="shared" si="21"/>
        <v>OK!</v>
      </c>
      <c r="G47" s="934" t="str">
        <f t="shared" si="21"/>
        <v>OK!</v>
      </c>
      <c r="H47" s="934" t="str">
        <f t="shared" si="21"/>
        <v>OK!</v>
      </c>
      <c r="I47" s="934" t="str">
        <f t="shared" si="21"/>
        <v>OK!</v>
      </c>
      <c r="J47" s="934" t="str">
        <f t="shared" si="21"/>
        <v>OK!</v>
      </c>
      <c r="K47" s="934" t="str">
        <f t="shared" si="21"/>
        <v>OK!</v>
      </c>
      <c r="L47" s="934" t="str">
        <f t="shared" si="21"/>
        <v>OK!</v>
      </c>
      <c r="M47" s="934" t="str">
        <f t="shared" si="21"/>
        <v>OK!</v>
      </c>
      <c r="N47" s="934" t="str">
        <f t="shared" si="21"/>
        <v>OK!</v>
      </c>
      <c r="O47" s="934" t="str">
        <f t="shared" si="21"/>
        <v>OK!</v>
      </c>
      <c r="P47" s="934" t="str">
        <f t="shared" si="21"/>
        <v>OK!</v>
      </c>
      <c r="Q47" s="934" t="str">
        <f t="shared" si="21"/>
        <v>OK!</v>
      </c>
      <c r="R47" s="934" t="str">
        <f t="shared" si="21"/>
        <v>OK!</v>
      </c>
      <c r="S47" s="934" t="str">
        <f t="shared" si="22"/>
        <v>OK!</v>
      </c>
      <c r="T47" s="934" t="str">
        <f t="shared" si="22"/>
        <v>OK!</v>
      </c>
    </row>
    <row r="48" spans="1:20" ht="12.75" hidden="1" customHeight="1" x14ac:dyDescent="0.15">
      <c r="A48" s="965" t="str">
        <f>A$12</f>
        <v>Angazhimet kujtesë</v>
      </c>
      <c r="B48" s="959"/>
      <c r="C48" s="959">
        <f>'(C5) Angazhimet'!D19</f>
        <v>0</v>
      </c>
      <c r="D48" s="959">
        <f>'(C5) Angazhimet'!E19</f>
        <v>0</v>
      </c>
      <c r="E48" s="959">
        <f>'(C5) Angazhimet'!F19</f>
        <v>0</v>
      </c>
      <c r="F48" s="934" t="str">
        <f>IF(C48&gt;C47,"STOPP!","OK!")</f>
        <v>OK!</v>
      </c>
      <c r="G48" s="934" t="str">
        <f t="shared" ref="G48:R48" si="23">IF(D48&lt;0,"STOPP!","OK!")</f>
        <v>OK!</v>
      </c>
      <c r="H48" s="934" t="str">
        <f t="shared" si="23"/>
        <v>OK!</v>
      </c>
      <c r="I48" s="934" t="str">
        <f t="shared" si="23"/>
        <v>OK!</v>
      </c>
      <c r="J48" s="934" t="str">
        <f t="shared" si="23"/>
        <v>OK!</v>
      </c>
      <c r="K48" s="934" t="str">
        <f t="shared" si="23"/>
        <v>OK!</v>
      </c>
      <c r="L48" s="934" t="str">
        <f t="shared" si="23"/>
        <v>OK!</v>
      </c>
      <c r="M48" s="934" t="str">
        <f t="shared" si="23"/>
        <v>OK!</v>
      </c>
      <c r="N48" s="934" t="str">
        <f t="shared" si="23"/>
        <v>OK!</v>
      </c>
      <c r="O48" s="934" t="str">
        <f t="shared" si="23"/>
        <v>OK!</v>
      </c>
      <c r="P48" s="934" t="str">
        <f t="shared" si="23"/>
        <v>OK!</v>
      </c>
      <c r="Q48" s="934" t="str">
        <f t="shared" si="23"/>
        <v>OK!</v>
      </c>
      <c r="R48" s="934" t="str">
        <f t="shared" si="23"/>
        <v>OK!</v>
      </c>
      <c r="S48" s="934" t="str">
        <f>IF(D48&gt;D47,"STOPP!","OK!")</f>
        <v>OK!</v>
      </c>
      <c r="T48" s="934" t="str">
        <f>IF(E48&gt;E47,"STOPP!","OK!")</f>
        <v>OK!</v>
      </c>
    </row>
    <row r="49" spans="1:20" ht="15.75" customHeight="1" x14ac:dyDescent="0.15">
      <c r="A49" s="1022" t="str">
        <f>'(B3) Struktura Funksionale'!B18</f>
        <v>01710</v>
      </c>
      <c r="B49" s="1089" t="str">
        <f>'(B3) Struktura Funksionale'!C18</f>
        <v>Pagesa për shërbimin e borxhit të brendshëm</v>
      </c>
      <c r="C49" s="1090"/>
      <c r="D49" s="1090"/>
      <c r="E49" s="1091"/>
      <c r="F49" s="934"/>
      <c r="G49" s="934"/>
      <c r="H49" s="934"/>
      <c r="I49" s="934"/>
      <c r="J49" s="934"/>
      <c r="K49" s="934"/>
      <c r="L49" s="934"/>
      <c r="M49" s="934"/>
      <c r="N49" s="934"/>
      <c r="O49" s="934"/>
      <c r="P49" s="934"/>
      <c r="Q49" s="934"/>
      <c r="R49" s="934"/>
      <c r="S49" s="934"/>
      <c r="T49" s="934"/>
    </row>
    <row r="50" spans="1:20" x14ac:dyDescent="0.15">
      <c r="A50" s="958" t="str">
        <f>A$8</f>
        <v>Pagat dhe sigurimet shoqërore</v>
      </c>
      <c r="B50" s="958"/>
      <c r="C50" s="966"/>
      <c r="D50" s="966"/>
      <c r="E50" s="966"/>
      <c r="F50" s="934" t="str">
        <f t="shared" ref="F50:R53" si="24">IF(C50&lt;0,"STOPP!","OK!")</f>
        <v>OK!</v>
      </c>
      <c r="G50" s="934" t="str">
        <f t="shared" si="24"/>
        <v>OK!</v>
      </c>
      <c r="H50" s="934" t="str">
        <f t="shared" si="24"/>
        <v>OK!</v>
      </c>
      <c r="I50" s="934" t="str">
        <f t="shared" si="24"/>
        <v>OK!</v>
      </c>
      <c r="J50" s="934" t="str">
        <f t="shared" si="24"/>
        <v>OK!</v>
      </c>
      <c r="K50" s="934" t="str">
        <f t="shared" si="24"/>
        <v>OK!</v>
      </c>
      <c r="L50" s="934" t="str">
        <f t="shared" si="24"/>
        <v>OK!</v>
      </c>
      <c r="M50" s="934" t="str">
        <f t="shared" si="24"/>
        <v>OK!</v>
      </c>
      <c r="N50" s="934" t="str">
        <f t="shared" si="24"/>
        <v>OK!</v>
      </c>
      <c r="O50" s="934" t="str">
        <f t="shared" si="24"/>
        <v>OK!</v>
      </c>
      <c r="P50" s="934" t="str">
        <f t="shared" si="24"/>
        <v>OK!</v>
      </c>
      <c r="Q50" s="934" t="str">
        <f t="shared" si="24"/>
        <v>OK!</v>
      </c>
      <c r="R50" s="934" t="str">
        <f t="shared" si="24"/>
        <v>OK!</v>
      </c>
      <c r="S50" s="934" t="str">
        <f t="shared" ref="S50:T53" si="25">IF(D50&lt;0,"STOPP!","OK!")</f>
        <v>OK!</v>
      </c>
      <c r="T50" s="934" t="str">
        <f t="shared" si="25"/>
        <v>OK!</v>
      </c>
    </row>
    <row r="51" spans="1:20" x14ac:dyDescent="0.15">
      <c r="A51" s="958" t="str">
        <f>A$9</f>
        <v>Të tjera shpenzime korrente</v>
      </c>
      <c r="B51" s="958"/>
      <c r="C51" s="967">
        <f>C53</f>
        <v>0</v>
      </c>
      <c r="D51" s="967">
        <f>D53</f>
        <v>0</v>
      </c>
      <c r="E51" s="967"/>
      <c r="F51" s="934" t="str">
        <f t="shared" si="24"/>
        <v>OK!</v>
      </c>
      <c r="G51" s="934" t="str">
        <f t="shared" si="24"/>
        <v>OK!</v>
      </c>
      <c r="H51" s="934" t="str">
        <f t="shared" si="24"/>
        <v>OK!</v>
      </c>
      <c r="I51" s="934" t="str">
        <f t="shared" si="24"/>
        <v>OK!</v>
      </c>
      <c r="J51" s="934" t="str">
        <f t="shared" si="24"/>
        <v>OK!</v>
      </c>
      <c r="K51" s="934" t="str">
        <f t="shared" si="24"/>
        <v>OK!</v>
      </c>
      <c r="L51" s="934" t="str">
        <f t="shared" si="24"/>
        <v>OK!</v>
      </c>
      <c r="M51" s="934" t="str">
        <f t="shared" si="24"/>
        <v>OK!</v>
      </c>
      <c r="N51" s="934" t="str">
        <f t="shared" si="24"/>
        <v>OK!</v>
      </c>
      <c r="O51" s="934" t="str">
        <f t="shared" si="24"/>
        <v>OK!</v>
      </c>
      <c r="P51" s="934" t="str">
        <f t="shared" si="24"/>
        <v>OK!</v>
      </c>
      <c r="Q51" s="934" t="str">
        <f t="shared" si="24"/>
        <v>OK!</v>
      </c>
      <c r="R51" s="934" t="str">
        <f t="shared" si="24"/>
        <v>OK!</v>
      </c>
      <c r="S51" s="934" t="str">
        <f t="shared" si="25"/>
        <v>OK!</v>
      </c>
      <c r="T51" s="934" t="str">
        <f t="shared" si="25"/>
        <v>OK!</v>
      </c>
    </row>
    <row r="52" spans="1:20" x14ac:dyDescent="0.15">
      <c r="A52" s="960" t="str">
        <f>A$10</f>
        <v>Shpenzimet kapitale</v>
      </c>
      <c r="B52" s="961"/>
      <c r="C52" s="959">
        <f>C53-C50-C51</f>
        <v>0</v>
      </c>
      <c r="D52" s="962">
        <f>D53-D50-D51</f>
        <v>0</v>
      </c>
      <c r="E52" s="962">
        <f>E53-E50-E51</f>
        <v>0</v>
      </c>
      <c r="F52" s="934" t="str">
        <f t="shared" si="24"/>
        <v>OK!</v>
      </c>
      <c r="G52" s="934" t="str">
        <f t="shared" si="24"/>
        <v>OK!</v>
      </c>
      <c r="H52" s="934" t="str">
        <f t="shared" si="24"/>
        <v>OK!</v>
      </c>
      <c r="I52" s="934" t="str">
        <f t="shared" si="24"/>
        <v>OK!</v>
      </c>
      <c r="J52" s="934" t="str">
        <f t="shared" si="24"/>
        <v>OK!</v>
      </c>
      <c r="K52" s="934" t="str">
        <f t="shared" si="24"/>
        <v>OK!</v>
      </c>
      <c r="L52" s="934" t="str">
        <f t="shared" si="24"/>
        <v>OK!</v>
      </c>
      <c r="M52" s="934" t="str">
        <f t="shared" si="24"/>
        <v>OK!</v>
      </c>
      <c r="N52" s="934" t="str">
        <f t="shared" si="24"/>
        <v>OK!</v>
      </c>
      <c r="O52" s="934" t="str">
        <f t="shared" si="24"/>
        <v>OK!</v>
      </c>
      <c r="P52" s="934" t="str">
        <f t="shared" si="24"/>
        <v>OK!</v>
      </c>
      <c r="Q52" s="934" t="str">
        <f t="shared" si="24"/>
        <v>OK!</v>
      </c>
      <c r="R52" s="934" t="str">
        <f t="shared" si="24"/>
        <v>OK!</v>
      </c>
      <c r="S52" s="934" t="str">
        <f t="shared" si="25"/>
        <v>OK!</v>
      </c>
      <c r="T52" s="934" t="str">
        <f t="shared" si="25"/>
        <v>OK!</v>
      </c>
    </row>
    <row r="53" spans="1:20" x14ac:dyDescent="0.15">
      <c r="A53" s="963" t="str">
        <f>A$11</f>
        <v>Tavanet e përgjithshme</v>
      </c>
      <c r="B53" s="964"/>
      <c r="C53" s="968">
        <v>0</v>
      </c>
      <c r="D53" s="969"/>
      <c r="E53" s="969"/>
      <c r="F53" s="934" t="str">
        <f t="shared" si="24"/>
        <v>OK!</v>
      </c>
      <c r="G53" s="934" t="str">
        <f t="shared" si="24"/>
        <v>OK!</v>
      </c>
      <c r="H53" s="934" t="str">
        <f t="shared" si="24"/>
        <v>OK!</v>
      </c>
      <c r="I53" s="934" t="str">
        <f t="shared" si="24"/>
        <v>OK!</v>
      </c>
      <c r="J53" s="934" t="str">
        <f t="shared" si="24"/>
        <v>OK!</v>
      </c>
      <c r="K53" s="934" t="str">
        <f t="shared" si="24"/>
        <v>OK!</v>
      </c>
      <c r="L53" s="934" t="str">
        <f t="shared" si="24"/>
        <v>OK!</v>
      </c>
      <c r="M53" s="934" t="str">
        <f t="shared" si="24"/>
        <v>OK!</v>
      </c>
      <c r="N53" s="934" t="str">
        <f t="shared" si="24"/>
        <v>OK!</v>
      </c>
      <c r="O53" s="934" t="str">
        <f t="shared" si="24"/>
        <v>OK!</v>
      </c>
      <c r="P53" s="934" t="str">
        <f t="shared" si="24"/>
        <v>OK!</v>
      </c>
      <c r="Q53" s="934" t="str">
        <f t="shared" si="24"/>
        <v>OK!</v>
      </c>
      <c r="R53" s="934" t="str">
        <f t="shared" si="24"/>
        <v>OK!</v>
      </c>
      <c r="S53" s="934" t="str">
        <f t="shared" si="25"/>
        <v>OK!</v>
      </c>
      <c r="T53" s="934" t="str">
        <f t="shared" si="25"/>
        <v>OK!</v>
      </c>
    </row>
    <row r="54" spans="1:20" x14ac:dyDescent="0.15">
      <c r="A54" s="965" t="str">
        <f>A$12</f>
        <v>Angazhimet kujtesë</v>
      </c>
      <c r="B54" s="959"/>
      <c r="C54" s="959">
        <f>'(C5) Angazhimet'!D20</f>
        <v>0</v>
      </c>
      <c r="D54" s="959">
        <f>'(C5) Angazhimet'!E20</f>
        <v>0</v>
      </c>
      <c r="E54" s="959">
        <f>'(C5) Angazhimet'!F20</f>
        <v>0</v>
      </c>
      <c r="F54" s="934" t="str">
        <f>IF(C54&gt;C53,"STOPP!","OK!")</f>
        <v>OK!</v>
      </c>
      <c r="G54" s="934" t="str">
        <f t="shared" ref="G54:R54" si="26">IF(D54&lt;0,"STOPP!","OK!")</f>
        <v>OK!</v>
      </c>
      <c r="H54" s="934" t="str">
        <f t="shared" si="26"/>
        <v>OK!</v>
      </c>
      <c r="I54" s="934" t="str">
        <f t="shared" si="26"/>
        <v>OK!</v>
      </c>
      <c r="J54" s="934" t="str">
        <f t="shared" si="26"/>
        <v>OK!</v>
      </c>
      <c r="K54" s="934" t="str">
        <f t="shared" si="26"/>
        <v>OK!</v>
      </c>
      <c r="L54" s="934" t="str">
        <f t="shared" si="26"/>
        <v>OK!</v>
      </c>
      <c r="M54" s="934" t="str">
        <f t="shared" si="26"/>
        <v>OK!</v>
      </c>
      <c r="N54" s="934" t="str">
        <f t="shared" si="26"/>
        <v>OK!</v>
      </c>
      <c r="O54" s="934" t="str">
        <f t="shared" si="26"/>
        <v>OK!</v>
      </c>
      <c r="P54" s="934" t="str">
        <f t="shared" si="26"/>
        <v>OK!</v>
      </c>
      <c r="Q54" s="934" t="str">
        <f t="shared" si="26"/>
        <v>OK!</v>
      </c>
      <c r="R54" s="934" t="str">
        <f t="shared" si="26"/>
        <v>OK!</v>
      </c>
      <c r="S54" s="934" t="str">
        <f>IF(D54&gt;D53,"STOPP!","OK!")</f>
        <v>OK!</v>
      </c>
      <c r="T54" s="934" t="str">
        <f>IF(E54&gt;E53,"STOPP!","OK!")</f>
        <v>OK!</v>
      </c>
    </row>
    <row r="55" spans="1:20" ht="18.75" customHeight="1" x14ac:dyDescent="0.25">
      <c r="A55" s="1082" t="str">
        <f>'(B2) Struktura Organizative'!A9</f>
        <v>Nënfunksioni 3</v>
      </c>
      <c r="B55" s="1076" t="str">
        <f>'(B2) Struktura Organizative'!B9</f>
        <v>031 Shërbimet Policore</v>
      </c>
      <c r="C55" s="1077"/>
      <c r="D55" s="1077"/>
      <c r="E55" s="1078"/>
      <c r="G55" s="933">
        <f>C59</f>
        <v>0</v>
      </c>
      <c r="H55" s="933">
        <f>D59</f>
        <v>0</v>
      </c>
      <c r="I55" s="933">
        <f>E59</f>
        <v>0</v>
      </c>
      <c r="J55" s="933">
        <f>C56</f>
        <v>0</v>
      </c>
      <c r="K55" s="933">
        <f>D56</f>
        <v>0</v>
      </c>
      <c r="L55" s="933">
        <f>E56</f>
        <v>0</v>
      </c>
      <c r="M55" s="933">
        <f>C57</f>
        <v>0</v>
      </c>
      <c r="N55" s="933">
        <f>D57</f>
        <v>0</v>
      </c>
      <c r="O55" s="933">
        <f>E57</f>
        <v>0</v>
      </c>
      <c r="P55" s="933">
        <f>C58</f>
        <v>0</v>
      </c>
      <c r="Q55" s="933">
        <f>D58</f>
        <v>0</v>
      </c>
      <c r="R55" s="933">
        <f>E58</f>
        <v>0</v>
      </c>
    </row>
    <row r="56" spans="1:20" x14ac:dyDescent="0.15">
      <c r="A56" s="958" t="str">
        <f>A$8</f>
        <v>Pagat dhe sigurimet shoqërore</v>
      </c>
      <c r="B56" s="958"/>
      <c r="C56" s="959">
        <f t="shared" ref="C56:E57" si="27">C62</f>
        <v>0</v>
      </c>
      <c r="D56" s="959">
        <f t="shared" si="27"/>
        <v>0</v>
      </c>
      <c r="E56" s="959">
        <f t="shared" si="27"/>
        <v>0</v>
      </c>
      <c r="F56" s="934" t="str">
        <f t="shared" ref="F56:R59" si="28">IF(C56&lt;0,"STOPP!","OK!")</f>
        <v>OK!</v>
      </c>
      <c r="G56" s="934" t="str">
        <f t="shared" si="28"/>
        <v>OK!</v>
      </c>
      <c r="H56" s="934" t="str">
        <f t="shared" si="28"/>
        <v>OK!</v>
      </c>
      <c r="I56" s="934" t="str">
        <f t="shared" si="28"/>
        <v>OK!</v>
      </c>
      <c r="J56" s="934" t="str">
        <f t="shared" si="28"/>
        <v>OK!</v>
      </c>
      <c r="K56" s="934" t="str">
        <f t="shared" si="28"/>
        <v>OK!</v>
      </c>
      <c r="L56" s="934" t="str">
        <f t="shared" si="28"/>
        <v>OK!</v>
      </c>
      <c r="M56" s="934" t="str">
        <f t="shared" si="28"/>
        <v>OK!</v>
      </c>
      <c r="N56" s="934" t="str">
        <f t="shared" si="28"/>
        <v>OK!</v>
      </c>
      <c r="O56" s="934" t="str">
        <f t="shared" si="28"/>
        <v>OK!</v>
      </c>
      <c r="P56" s="934" t="str">
        <f t="shared" si="28"/>
        <v>OK!</v>
      </c>
      <c r="Q56" s="934" t="str">
        <f t="shared" si="28"/>
        <v>OK!</v>
      </c>
      <c r="R56" s="934" t="str">
        <f t="shared" si="28"/>
        <v>OK!</v>
      </c>
      <c r="S56" s="934" t="str">
        <f t="shared" ref="S56:T59" si="29">IF(D56&lt;0,"STOPP!","OK!")</f>
        <v>OK!</v>
      </c>
      <c r="T56" s="934" t="str">
        <f t="shared" si="29"/>
        <v>OK!</v>
      </c>
    </row>
    <row r="57" spans="1:20" x14ac:dyDescent="0.15">
      <c r="A57" s="958" t="str">
        <f>A$9</f>
        <v>Të tjera shpenzime korrente</v>
      </c>
      <c r="B57" s="958"/>
      <c r="C57" s="959">
        <f t="shared" si="27"/>
        <v>0</v>
      </c>
      <c r="D57" s="959">
        <f t="shared" si="27"/>
        <v>0</v>
      </c>
      <c r="E57" s="959">
        <f t="shared" si="27"/>
        <v>0</v>
      </c>
      <c r="F57" s="934" t="str">
        <f t="shared" si="28"/>
        <v>OK!</v>
      </c>
      <c r="G57" s="934" t="str">
        <f t="shared" si="28"/>
        <v>OK!</v>
      </c>
      <c r="H57" s="934" t="str">
        <f t="shared" si="28"/>
        <v>OK!</v>
      </c>
      <c r="I57" s="934" t="str">
        <f t="shared" si="28"/>
        <v>OK!</v>
      </c>
      <c r="J57" s="934" t="str">
        <f t="shared" si="28"/>
        <v>OK!</v>
      </c>
      <c r="K57" s="934" t="str">
        <f t="shared" si="28"/>
        <v>OK!</v>
      </c>
      <c r="L57" s="934" t="str">
        <f t="shared" si="28"/>
        <v>OK!</v>
      </c>
      <c r="M57" s="934" t="str">
        <f t="shared" si="28"/>
        <v>OK!</v>
      </c>
      <c r="N57" s="934" t="str">
        <f t="shared" si="28"/>
        <v>OK!</v>
      </c>
      <c r="O57" s="934" t="str">
        <f t="shared" si="28"/>
        <v>OK!</v>
      </c>
      <c r="P57" s="934" t="str">
        <f t="shared" si="28"/>
        <v>OK!</v>
      </c>
      <c r="Q57" s="934" t="str">
        <f t="shared" si="28"/>
        <v>OK!</v>
      </c>
      <c r="R57" s="934" t="str">
        <f t="shared" si="28"/>
        <v>OK!</v>
      </c>
      <c r="S57" s="934" t="str">
        <f t="shared" si="29"/>
        <v>OK!</v>
      </c>
      <c r="T57" s="934" t="str">
        <f t="shared" si="29"/>
        <v>OK!</v>
      </c>
    </row>
    <row r="58" spans="1:20" x14ac:dyDescent="0.15">
      <c r="A58" s="960" t="str">
        <f>A$10</f>
        <v>Shpenzimet kapitale</v>
      </c>
      <c r="B58" s="961"/>
      <c r="C58" s="959">
        <f>C59-C56-C57</f>
        <v>0</v>
      </c>
      <c r="D58" s="962">
        <f>D59-D56-D57</f>
        <v>0</v>
      </c>
      <c r="E58" s="962">
        <f>E59-E56-E57</f>
        <v>0</v>
      </c>
      <c r="F58" s="934" t="str">
        <f t="shared" si="28"/>
        <v>OK!</v>
      </c>
      <c r="G58" s="934" t="str">
        <f t="shared" si="28"/>
        <v>OK!</v>
      </c>
      <c r="H58" s="934" t="str">
        <f t="shared" si="28"/>
        <v>OK!</v>
      </c>
      <c r="I58" s="934" t="str">
        <f t="shared" si="28"/>
        <v>OK!</v>
      </c>
      <c r="J58" s="934" t="str">
        <f t="shared" si="28"/>
        <v>OK!</v>
      </c>
      <c r="K58" s="934" t="str">
        <f t="shared" si="28"/>
        <v>OK!</v>
      </c>
      <c r="L58" s="934" t="str">
        <f t="shared" si="28"/>
        <v>OK!</v>
      </c>
      <c r="M58" s="934" t="str">
        <f t="shared" si="28"/>
        <v>OK!</v>
      </c>
      <c r="N58" s="934" t="str">
        <f t="shared" si="28"/>
        <v>OK!</v>
      </c>
      <c r="O58" s="934" t="str">
        <f t="shared" si="28"/>
        <v>OK!</v>
      </c>
      <c r="P58" s="934" t="str">
        <f t="shared" si="28"/>
        <v>OK!</v>
      </c>
      <c r="Q58" s="934" t="str">
        <f t="shared" si="28"/>
        <v>OK!</v>
      </c>
      <c r="R58" s="934" t="str">
        <f t="shared" si="28"/>
        <v>OK!</v>
      </c>
      <c r="S58" s="934" t="str">
        <f t="shared" si="29"/>
        <v>OK!</v>
      </c>
      <c r="T58" s="934" t="str">
        <f t="shared" si="29"/>
        <v>OK!</v>
      </c>
    </row>
    <row r="59" spans="1:20" x14ac:dyDescent="0.15">
      <c r="A59" s="963" t="str">
        <f>A$11</f>
        <v>Tavanet e përgjithshme</v>
      </c>
      <c r="B59" s="964"/>
      <c r="C59" s="959">
        <f>C65</f>
        <v>0</v>
      </c>
      <c r="D59" s="959">
        <f>D65</f>
        <v>0</v>
      </c>
      <c r="E59" s="959">
        <f>E65</f>
        <v>0</v>
      </c>
      <c r="F59" s="934" t="str">
        <f t="shared" si="28"/>
        <v>OK!</v>
      </c>
      <c r="G59" s="934" t="str">
        <f t="shared" si="28"/>
        <v>OK!</v>
      </c>
      <c r="H59" s="934" t="str">
        <f t="shared" si="28"/>
        <v>OK!</v>
      </c>
      <c r="I59" s="934" t="str">
        <f t="shared" si="28"/>
        <v>OK!</v>
      </c>
      <c r="J59" s="934" t="str">
        <f t="shared" si="28"/>
        <v>OK!</v>
      </c>
      <c r="K59" s="934" t="str">
        <f t="shared" si="28"/>
        <v>OK!</v>
      </c>
      <c r="L59" s="934" t="str">
        <f t="shared" si="28"/>
        <v>OK!</v>
      </c>
      <c r="M59" s="934" t="str">
        <f t="shared" si="28"/>
        <v>OK!</v>
      </c>
      <c r="N59" s="934" t="str">
        <f t="shared" si="28"/>
        <v>OK!</v>
      </c>
      <c r="O59" s="934" t="str">
        <f t="shared" si="28"/>
        <v>OK!</v>
      </c>
      <c r="P59" s="934" t="str">
        <f t="shared" si="28"/>
        <v>OK!</v>
      </c>
      <c r="Q59" s="934" t="str">
        <f t="shared" si="28"/>
        <v>OK!</v>
      </c>
      <c r="R59" s="934" t="str">
        <f t="shared" si="28"/>
        <v>OK!</v>
      </c>
      <c r="S59" s="934" t="str">
        <f t="shared" si="29"/>
        <v>OK!</v>
      </c>
      <c r="T59" s="934" t="str">
        <f t="shared" si="29"/>
        <v>OK!</v>
      </c>
    </row>
    <row r="60" spans="1:20" x14ac:dyDescent="0.15">
      <c r="A60" s="965" t="str">
        <f>A$12</f>
        <v>Angazhimet kujtesë</v>
      </c>
      <c r="B60" s="959"/>
      <c r="C60" s="959">
        <f>'(C5) Angazhimet'!D27</f>
        <v>0</v>
      </c>
      <c r="D60" s="962">
        <f>'(C5) Angazhimet'!E27</f>
        <v>0</v>
      </c>
      <c r="E60" s="962">
        <f>'(C5) Angazhimet'!F27</f>
        <v>0</v>
      </c>
      <c r="F60" s="934" t="str">
        <f>IF(C60&gt;C59,"STOPP!","OK!")</f>
        <v>OK!</v>
      </c>
      <c r="G60" s="934" t="str">
        <f t="shared" ref="G60:R60" si="30">IF(D60&lt;0,"STOPP!","OK!")</f>
        <v>OK!</v>
      </c>
      <c r="H60" s="934" t="str">
        <f t="shared" si="30"/>
        <v>OK!</v>
      </c>
      <c r="I60" s="934" t="str">
        <f t="shared" si="30"/>
        <v>OK!</v>
      </c>
      <c r="J60" s="934" t="str">
        <f t="shared" si="30"/>
        <v>OK!</v>
      </c>
      <c r="K60" s="934" t="str">
        <f t="shared" si="30"/>
        <v>OK!</v>
      </c>
      <c r="L60" s="934" t="str">
        <f t="shared" si="30"/>
        <v>OK!</v>
      </c>
      <c r="M60" s="934" t="str">
        <f t="shared" si="30"/>
        <v>OK!</v>
      </c>
      <c r="N60" s="934" t="str">
        <f t="shared" si="30"/>
        <v>OK!</v>
      </c>
      <c r="O60" s="934" t="str">
        <f t="shared" si="30"/>
        <v>OK!</v>
      </c>
      <c r="P60" s="934" t="str">
        <f t="shared" si="30"/>
        <v>OK!</v>
      </c>
      <c r="Q60" s="934" t="str">
        <f t="shared" si="30"/>
        <v>OK!</v>
      </c>
      <c r="R60" s="934" t="str">
        <f t="shared" si="30"/>
        <v>OK!</v>
      </c>
      <c r="S60" s="934" t="str">
        <f>IF(D60&gt;D59,"STOPP!","OK!")</f>
        <v>OK!</v>
      </c>
      <c r="T60" s="934" t="str">
        <f>IF(E60&gt;E59,"STOPP!","OK!")</f>
        <v>OK!</v>
      </c>
    </row>
    <row r="61" spans="1:20" ht="15.75" customHeight="1" x14ac:dyDescent="0.15">
      <c r="A61" s="1089" t="str">
        <f>'(B3) Struktura Funksionale'!B22</f>
        <v>03140</v>
      </c>
      <c r="B61" s="1079" t="str">
        <f>'(B3) Struktura Funksionale'!C22</f>
        <v>Shërbimet e Policisë Vendore</v>
      </c>
      <c r="C61" s="1080"/>
      <c r="D61" s="1080"/>
      <c r="E61" s="1081"/>
      <c r="F61" s="934"/>
      <c r="G61" s="934"/>
      <c r="H61" s="934"/>
      <c r="I61" s="934"/>
      <c r="J61" s="934"/>
      <c r="K61" s="934"/>
      <c r="L61" s="934"/>
      <c r="M61" s="934"/>
      <c r="N61" s="934"/>
      <c r="O61" s="934"/>
      <c r="P61" s="934"/>
      <c r="Q61" s="934"/>
      <c r="R61" s="934"/>
      <c r="S61" s="934"/>
      <c r="T61" s="934"/>
    </row>
    <row r="62" spans="1:20" x14ac:dyDescent="0.15">
      <c r="A62" s="958" t="str">
        <f>A$8</f>
        <v>Pagat dhe sigurimet shoqërore</v>
      </c>
      <c r="B62" s="958"/>
      <c r="C62" s="966"/>
      <c r="D62" s="966"/>
      <c r="E62" s="966"/>
      <c r="F62" s="934" t="str">
        <f t="shared" ref="F62:R65" si="31">IF(C62&lt;0,"STOPP!","OK!")</f>
        <v>OK!</v>
      </c>
      <c r="G62" s="934" t="str">
        <f t="shared" si="31"/>
        <v>OK!</v>
      </c>
      <c r="H62" s="934" t="str">
        <f t="shared" si="31"/>
        <v>OK!</v>
      </c>
      <c r="I62" s="934" t="str">
        <f t="shared" si="31"/>
        <v>OK!</v>
      </c>
      <c r="J62" s="934" t="str">
        <f t="shared" si="31"/>
        <v>OK!</v>
      </c>
      <c r="K62" s="934" t="str">
        <f t="shared" si="31"/>
        <v>OK!</v>
      </c>
      <c r="L62" s="934" t="str">
        <f t="shared" si="31"/>
        <v>OK!</v>
      </c>
      <c r="M62" s="934" t="str">
        <f t="shared" si="31"/>
        <v>OK!</v>
      </c>
      <c r="N62" s="934" t="str">
        <f t="shared" si="31"/>
        <v>OK!</v>
      </c>
      <c r="O62" s="934" t="str">
        <f t="shared" si="31"/>
        <v>OK!</v>
      </c>
      <c r="P62" s="934" t="str">
        <f t="shared" si="31"/>
        <v>OK!</v>
      </c>
      <c r="Q62" s="934" t="str">
        <f t="shared" si="31"/>
        <v>OK!</v>
      </c>
      <c r="R62" s="934" t="str">
        <f t="shared" si="31"/>
        <v>OK!</v>
      </c>
      <c r="S62" s="934" t="str">
        <f t="shared" ref="S62:T65" si="32">IF(D62&lt;0,"STOPP!","OK!")</f>
        <v>OK!</v>
      </c>
      <c r="T62" s="934" t="str">
        <f t="shared" si="32"/>
        <v>OK!</v>
      </c>
    </row>
    <row r="63" spans="1:20" x14ac:dyDescent="0.15">
      <c r="A63" s="958" t="str">
        <f>A$9</f>
        <v>Të tjera shpenzime korrente</v>
      </c>
      <c r="B63" s="958"/>
      <c r="C63" s="967"/>
      <c r="D63" s="967"/>
      <c r="E63" s="967"/>
      <c r="F63" s="934" t="str">
        <f t="shared" si="31"/>
        <v>OK!</v>
      </c>
      <c r="G63" s="934" t="str">
        <f t="shared" si="31"/>
        <v>OK!</v>
      </c>
      <c r="H63" s="934" t="str">
        <f t="shared" si="31"/>
        <v>OK!</v>
      </c>
      <c r="I63" s="934" t="str">
        <f t="shared" si="31"/>
        <v>OK!</v>
      </c>
      <c r="J63" s="934" t="str">
        <f t="shared" si="31"/>
        <v>OK!</v>
      </c>
      <c r="K63" s="934" t="str">
        <f t="shared" si="31"/>
        <v>OK!</v>
      </c>
      <c r="L63" s="934" t="str">
        <f t="shared" si="31"/>
        <v>OK!</v>
      </c>
      <c r="M63" s="934" t="str">
        <f t="shared" si="31"/>
        <v>OK!</v>
      </c>
      <c r="N63" s="934" t="str">
        <f t="shared" si="31"/>
        <v>OK!</v>
      </c>
      <c r="O63" s="934" t="str">
        <f t="shared" si="31"/>
        <v>OK!</v>
      </c>
      <c r="P63" s="934" t="str">
        <f t="shared" si="31"/>
        <v>OK!</v>
      </c>
      <c r="Q63" s="934" t="str">
        <f t="shared" si="31"/>
        <v>OK!</v>
      </c>
      <c r="R63" s="934" t="str">
        <f t="shared" si="31"/>
        <v>OK!</v>
      </c>
      <c r="S63" s="934" t="str">
        <f t="shared" si="32"/>
        <v>OK!</v>
      </c>
      <c r="T63" s="934" t="str">
        <f t="shared" si="32"/>
        <v>OK!</v>
      </c>
    </row>
    <row r="64" spans="1:20" x14ac:dyDescent="0.15">
      <c r="A64" s="960" t="str">
        <f>A$10</f>
        <v>Shpenzimet kapitale</v>
      </c>
      <c r="B64" s="961"/>
      <c r="C64" s="959">
        <f>C65-C62-C63</f>
        <v>0</v>
      </c>
      <c r="D64" s="962">
        <f>D65-D62-D63</f>
        <v>0</v>
      </c>
      <c r="E64" s="962">
        <f>E65-E62-E63</f>
        <v>0</v>
      </c>
      <c r="F64" s="934" t="str">
        <f t="shared" si="31"/>
        <v>OK!</v>
      </c>
      <c r="G64" s="934" t="str">
        <f t="shared" si="31"/>
        <v>OK!</v>
      </c>
      <c r="H64" s="934" t="str">
        <f t="shared" si="31"/>
        <v>OK!</v>
      </c>
      <c r="I64" s="934" t="str">
        <f t="shared" si="31"/>
        <v>OK!</v>
      </c>
      <c r="J64" s="934" t="str">
        <f t="shared" si="31"/>
        <v>OK!</v>
      </c>
      <c r="K64" s="934" t="str">
        <f t="shared" si="31"/>
        <v>OK!</v>
      </c>
      <c r="L64" s="934" t="str">
        <f t="shared" si="31"/>
        <v>OK!</v>
      </c>
      <c r="M64" s="934" t="str">
        <f t="shared" si="31"/>
        <v>OK!</v>
      </c>
      <c r="N64" s="934" t="str">
        <f t="shared" si="31"/>
        <v>OK!</v>
      </c>
      <c r="O64" s="934" t="str">
        <f t="shared" si="31"/>
        <v>OK!</v>
      </c>
      <c r="P64" s="934" t="str">
        <f t="shared" si="31"/>
        <v>OK!</v>
      </c>
      <c r="Q64" s="934" t="str">
        <f t="shared" si="31"/>
        <v>OK!</v>
      </c>
      <c r="R64" s="934" t="str">
        <f t="shared" si="31"/>
        <v>OK!</v>
      </c>
      <c r="S64" s="934" t="str">
        <f t="shared" si="32"/>
        <v>OK!</v>
      </c>
      <c r="T64" s="934" t="str">
        <f t="shared" si="32"/>
        <v>OK!</v>
      </c>
    </row>
    <row r="65" spans="1:20" x14ac:dyDescent="0.15">
      <c r="A65" s="963" t="str">
        <f>A$11</f>
        <v>Tavanet e përgjithshme</v>
      </c>
      <c r="B65" s="964"/>
      <c r="C65" s="968"/>
      <c r="D65" s="969"/>
      <c r="E65" s="969"/>
      <c r="F65" s="934" t="str">
        <f t="shared" si="31"/>
        <v>OK!</v>
      </c>
      <c r="G65" s="934" t="str">
        <f t="shared" si="31"/>
        <v>OK!</v>
      </c>
      <c r="H65" s="934" t="str">
        <f t="shared" si="31"/>
        <v>OK!</v>
      </c>
      <c r="I65" s="934" t="str">
        <f t="shared" si="31"/>
        <v>OK!</v>
      </c>
      <c r="J65" s="934" t="str">
        <f t="shared" si="31"/>
        <v>OK!</v>
      </c>
      <c r="K65" s="934" t="str">
        <f t="shared" si="31"/>
        <v>OK!</v>
      </c>
      <c r="L65" s="934" t="str">
        <f t="shared" si="31"/>
        <v>OK!</v>
      </c>
      <c r="M65" s="934" t="str">
        <f t="shared" si="31"/>
        <v>OK!</v>
      </c>
      <c r="N65" s="934" t="str">
        <f t="shared" si="31"/>
        <v>OK!</v>
      </c>
      <c r="O65" s="934" t="str">
        <f t="shared" si="31"/>
        <v>OK!</v>
      </c>
      <c r="P65" s="934" t="str">
        <f t="shared" si="31"/>
        <v>OK!</v>
      </c>
      <c r="Q65" s="934" t="str">
        <f t="shared" si="31"/>
        <v>OK!</v>
      </c>
      <c r="R65" s="934" t="str">
        <f t="shared" si="31"/>
        <v>OK!</v>
      </c>
      <c r="S65" s="934" t="str">
        <f t="shared" si="32"/>
        <v>OK!</v>
      </c>
      <c r="T65" s="934" t="str">
        <f t="shared" si="32"/>
        <v>OK!</v>
      </c>
    </row>
    <row r="66" spans="1:20" x14ac:dyDescent="0.15">
      <c r="A66" s="965" t="str">
        <f>A$12</f>
        <v>Angazhimet kujtesë</v>
      </c>
      <c r="B66" s="959"/>
      <c r="C66" s="959">
        <f>'(C5) Angazhimet'!D24</f>
        <v>0</v>
      </c>
      <c r="D66" s="959">
        <f>'(C5) Angazhimet'!E24</f>
        <v>0</v>
      </c>
      <c r="E66" s="959">
        <f>'(C5) Angazhimet'!F24</f>
        <v>0</v>
      </c>
      <c r="F66" s="934" t="str">
        <f>IF(C66&gt;C65,"STOPP!","OK!")</f>
        <v>OK!</v>
      </c>
      <c r="G66" s="934" t="str">
        <f t="shared" ref="G66:R66" si="33">IF(D66&lt;0,"STOPP!","OK!")</f>
        <v>OK!</v>
      </c>
      <c r="H66" s="934" t="str">
        <f t="shared" si="33"/>
        <v>OK!</v>
      </c>
      <c r="I66" s="934" t="str">
        <f t="shared" si="33"/>
        <v>OK!</v>
      </c>
      <c r="J66" s="934" t="str">
        <f t="shared" si="33"/>
        <v>OK!</v>
      </c>
      <c r="K66" s="934" t="str">
        <f t="shared" si="33"/>
        <v>OK!</v>
      </c>
      <c r="L66" s="934" t="str">
        <f t="shared" si="33"/>
        <v>OK!</v>
      </c>
      <c r="M66" s="934" t="str">
        <f t="shared" si="33"/>
        <v>OK!</v>
      </c>
      <c r="N66" s="934" t="str">
        <f t="shared" si="33"/>
        <v>OK!</v>
      </c>
      <c r="O66" s="934" t="str">
        <f t="shared" si="33"/>
        <v>OK!</v>
      </c>
      <c r="P66" s="934" t="str">
        <f t="shared" si="33"/>
        <v>OK!</v>
      </c>
      <c r="Q66" s="934" t="str">
        <f t="shared" si="33"/>
        <v>OK!</v>
      </c>
      <c r="R66" s="934" t="str">
        <f t="shared" si="33"/>
        <v>OK!</v>
      </c>
      <c r="S66" s="934" t="str">
        <f>IF(D66&gt;D65,"STOPP!","OK!")</f>
        <v>OK!</v>
      </c>
      <c r="T66" s="934" t="str">
        <f>IF(E66&gt;E65,"STOPP!","OK!")</f>
        <v>OK!</v>
      </c>
    </row>
    <row r="67" spans="1:20" ht="18.75" customHeight="1" x14ac:dyDescent="0.25">
      <c r="A67" s="1082" t="str">
        <f>'(B2) Struktura Organizative'!A10</f>
        <v>Nënfunksioni 4</v>
      </c>
      <c r="B67" s="1076" t="str">
        <f>'(B2) Struktura Organizative'!B10</f>
        <v>032 Shërbimet e mbrojtjes ndaj zjarrit</v>
      </c>
      <c r="C67" s="1077"/>
      <c r="D67" s="1077"/>
      <c r="E67" s="1078"/>
      <c r="G67" s="933">
        <f>C71</f>
        <v>17429650</v>
      </c>
      <c r="H67" s="933">
        <f>D71</f>
        <v>17429650</v>
      </c>
      <c r="I67" s="933">
        <f>E71</f>
        <v>17429650</v>
      </c>
      <c r="J67" s="933">
        <f>C68</f>
        <v>14229650</v>
      </c>
      <c r="K67" s="933">
        <f>D68</f>
        <v>14229650</v>
      </c>
      <c r="L67" s="933">
        <f>E68</f>
        <v>14229650</v>
      </c>
      <c r="M67" s="933">
        <f>C69</f>
        <v>3200000</v>
      </c>
      <c r="N67" s="933">
        <f>D69</f>
        <v>3200000</v>
      </c>
      <c r="O67" s="933">
        <f>E69</f>
        <v>3200000</v>
      </c>
      <c r="P67" s="933">
        <f>C70</f>
        <v>0</v>
      </c>
      <c r="Q67" s="933">
        <f>D70</f>
        <v>0</v>
      </c>
      <c r="R67" s="933">
        <f>E70</f>
        <v>0</v>
      </c>
    </row>
    <row r="68" spans="1:20" x14ac:dyDescent="0.15">
      <c r="A68" s="958" t="str">
        <f>A$8</f>
        <v>Pagat dhe sigurimet shoqërore</v>
      </c>
      <c r="B68" s="958"/>
      <c r="C68" s="959">
        <f t="shared" ref="C68:E69" si="34">C74</f>
        <v>14229650</v>
      </c>
      <c r="D68" s="959">
        <f t="shared" si="34"/>
        <v>14229650</v>
      </c>
      <c r="E68" s="959">
        <f t="shared" si="34"/>
        <v>14229650</v>
      </c>
      <c r="F68" s="934" t="str">
        <f t="shared" ref="F68:R71" si="35">IF(C68&lt;0,"STOPP!","OK!")</f>
        <v>OK!</v>
      </c>
      <c r="G68" s="934" t="str">
        <f t="shared" si="35"/>
        <v>OK!</v>
      </c>
      <c r="H68" s="934" t="str">
        <f t="shared" si="35"/>
        <v>OK!</v>
      </c>
      <c r="I68" s="934" t="str">
        <f t="shared" si="35"/>
        <v>OK!</v>
      </c>
      <c r="J68" s="934" t="str">
        <f t="shared" si="35"/>
        <v>OK!</v>
      </c>
      <c r="K68" s="934" t="str">
        <f t="shared" si="35"/>
        <v>OK!</v>
      </c>
      <c r="L68" s="934" t="str">
        <f t="shared" si="35"/>
        <v>OK!</v>
      </c>
      <c r="M68" s="934" t="str">
        <f t="shared" si="35"/>
        <v>OK!</v>
      </c>
      <c r="N68" s="934" t="str">
        <f t="shared" si="35"/>
        <v>OK!</v>
      </c>
      <c r="O68" s="934" t="str">
        <f t="shared" si="35"/>
        <v>OK!</v>
      </c>
      <c r="P68" s="934" t="str">
        <f t="shared" si="35"/>
        <v>OK!</v>
      </c>
      <c r="Q68" s="934" t="str">
        <f t="shared" si="35"/>
        <v>OK!</v>
      </c>
      <c r="R68" s="934" t="str">
        <f t="shared" si="35"/>
        <v>OK!</v>
      </c>
      <c r="S68" s="934" t="str">
        <f t="shared" ref="S68:T71" si="36">IF(D68&lt;0,"STOPP!","OK!")</f>
        <v>OK!</v>
      </c>
      <c r="T68" s="934" t="str">
        <f t="shared" si="36"/>
        <v>OK!</v>
      </c>
    </row>
    <row r="69" spans="1:20" x14ac:dyDescent="0.15">
      <c r="A69" s="958" t="str">
        <f>A$9</f>
        <v>Të tjera shpenzime korrente</v>
      </c>
      <c r="B69" s="958"/>
      <c r="C69" s="959">
        <f t="shared" si="34"/>
        <v>3200000</v>
      </c>
      <c r="D69" s="959">
        <f t="shared" si="34"/>
        <v>3200000</v>
      </c>
      <c r="E69" s="959">
        <f t="shared" si="34"/>
        <v>3200000</v>
      </c>
      <c r="F69" s="934" t="str">
        <f t="shared" si="35"/>
        <v>OK!</v>
      </c>
      <c r="G69" s="934" t="str">
        <f t="shared" si="35"/>
        <v>OK!</v>
      </c>
      <c r="H69" s="934" t="str">
        <f t="shared" si="35"/>
        <v>OK!</v>
      </c>
      <c r="I69" s="934" t="str">
        <f t="shared" si="35"/>
        <v>OK!</v>
      </c>
      <c r="J69" s="934" t="str">
        <f t="shared" si="35"/>
        <v>OK!</v>
      </c>
      <c r="K69" s="934" t="str">
        <f t="shared" si="35"/>
        <v>OK!</v>
      </c>
      <c r="L69" s="934" t="str">
        <f t="shared" si="35"/>
        <v>OK!</v>
      </c>
      <c r="M69" s="934" t="str">
        <f t="shared" si="35"/>
        <v>OK!</v>
      </c>
      <c r="N69" s="934" t="str">
        <f t="shared" si="35"/>
        <v>OK!</v>
      </c>
      <c r="O69" s="934" t="str">
        <f t="shared" si="35"/>
        <v>OK!</v>
      </c>
      <c r="P69" s="934" t="str">
        <f t="shared" si="35"/>
        <v>OK!</v>
      </c>
      <c r="Q69" s="934" t="str">
        <f t="shared" si="35"/>
        <v>OK!</v>
      </c>
      <c r="R69" s="934" t="str">
        <f t="shared" si="35"/>
        <v>OK!</v>
      </c>
      <c r="S69" s="934" t="str">
        <f t="shared" si="36"/>
        <v>OK!</v>
      </c>
      <c r="T69" s="934" t="str">
        <f t="shared" si="36"/>
        <v>OK!</v>
      </c>
    </row>
    <row r="70" spans="1:20" x14ac:dyDescent="0.15">
      <c r="A70" s="960" t="str">
        <f>A$10</f>
        <v>Shpenzimet kapitale</v>
      </c>
      <c r="B70" s="961"/>
      <c r="C70" s="959">
        <f>C71-C68-C69</f>
        <v>0</v>
      </c>
      <c r="D70" s="962">
        <f>D71-D68-D69</f>
        <v>0</v>
      </c>
      <c r="E70" s="962">
        <f>E71-E68-E69</f>
        <v>0</v>
      </c>
      <c r="F70" s="934" t="str">
        <f t="shared" si="35"/>
        <v>OK!</v>
      </c>
      <c r="G70" s="934" t="str">
        <f t="shared" si="35"/>
        <v>OK!</v>
      </c>
      <c r="H70" s="934" t="str">
        <f t="shared" si="35"/>
        <v>OK!</v>
      </c>
      <c r="I70" s="934" t="str">
        <f t="shared" si="35"/>
        <v>OK!</v>
      </c>
      <c r="J70" s="934" t="str">
        <f t="shared" si="35"/>
        <v>OK!</v>
      </c>
      <c r="K70" s="934" t="str">
        <f t="shared" si="35"/>
        <v>OK!</v>
      </c>
      <c r="L70" s="934" t="str">
        <f t="shared" si="35"/>
        <v>OK!</v>
      </c>
      <c r="M70" s="934" t="str">
        <f t="shared" si="35"/>
        <v>OK!</v>
      </c>
      <c r="N70" s="934" t="str">
        <f t="shared" si="35"/>
        <v>OK!</v>
      </c>
      <c r="O70" s="934" t="str">
        <f t="shared" si="35"/>
        <v>OK!</v>
      </c>
      <c r="P70" s="934" t="str">
        <f t="shared" si="35"/>
        <v>OK!</v>
      </c>
      <c r="Q70" s="934" t="str">
        <f t="shared" si="35"/>
        <v>OK!</v>
      </c>
      <c r="R70" s="934" t="str">
        <f t="shared" si="35"/>
        <v>OK!</v>
      </c>
      <c r="S70" s="934" t="str">
        <f t="shared" si="36"/>
        <v>OK!</v>
      </c>
      <c r="T70" s="934" t="str">
        <f t="shared" si="36"/>
        <v>OK!</v>
      </c>
    </row>
    <row r="71" spans="1:20" x14ac:dyDescent="0.15">
      <c r="A71" s="963" t="str">
        <f>A$11</f>
        <v>Tavanet e përgjithshme</v>
      </c>
      <c r="B71" s="964"/>
      <c r="C71" s="959">
        <f>C77</f>
        <v>17429650</v>
      </c>
      <c r="D71" s="959">
        <f>D77</f>
        <v>17429650</v>
      </c>
      <c r="E71" s="959">
        <f>E77</f>
        <v>17429650</v>
      </c>
      <c r="F71" s="934" t="str">
        <f t="shared" si="35"/>
        <v>OK!</v>
      </c>
      <c r="G71" s="934" t="str">
        <f t="shared" si="35"/>
        <v>OK!</v>
      </c>
      <c r="H71" s="934" t="str">
        <f t="shared" si="35"/>
        <v>OK!</v>
      </c>
      <c r="I71" s="934" t="str">
        <f t="shared" si="35"/>
        <v>OK!</v>
      </c>
      <c r="J71" s="934" t="str">
        <f t="shared" si="35"/>
        <v>OK!</v>
      </c>
      <c r="K71" s="934" t="str">
        <f t="shared" si="35"/>
        <v>OK!</v>
      </c>
      <c r="L71" s="934" t="str">
        <f t="shared" si="35"/>
        <v>OK!</v>
      </c>
      <c r="M71" s="934" t="str">
        <f t="shared" si="35"/>
        <v>OK!</v>
      </c>
      <c r="N71" s="934" t="str">
        <f t="shared" si="35"/>
        <v>OK!</v>
      </c>
      <c r="O71" s="934" t="str">
        <f t="shared" si="35"/>
        <v>OK!</v>
      </c>
      <c r="P71" s="934" t="str">
        <f t="shared" si="35"/>
        <v>OK!</v>
      </c>
      <c r="Q71" s="934" t="str">
        <f t="shared" si="35"/>
        <v>OK!</v>
      </c>
      <c r="R71" s="934" t="str">
        <f t="shared" si="35"/>
        <v>OK!</v>
      </c>
      <c r="S71" s="934" t="str">
        <f t="shared" si="36"/>
        <v>OK!</v>
      </c>
      <c r="T71" s="934" t="str">
        <f t="shared" si="36"/>
        <v>OK!</v>
      </c>
    </row>
    <row r="72" spans="1:20" x14ac:dyDescent="0.15">
      <c r="A72" s="965" t="str">
        <f>A$12</f>
        <v>Angazhimet kujtesë</v>
      </c>
      <c r="B72" s="959"/>
      <c r="C72" s="959">
        <f>'(C5) Angazhimet'!D32</f>
        <v>0</v>
      </c>
      <c r="D72" s="962">
        <f>'(C5) Angazhimet'!E32</f>
        <v>0</v>
      </c>
      <c r="E72" s="962">
        <f>'(C5) Angazhimet'!F32</f>
        <v>0</v>
      </c>
      <c r="F72" s="934" t="str">
        <f>IF(C72&gt;C71,"STOPP!","OK!")</f>
        <v>OK!</v>
      </c>
      <c r="G72" s="934" t="str">
        <f t="shared" ref="G72:R72" si="37">IF(D72&lt;0,"STOPP!","OK!")</f>
        <v>OK!</v>
      </c>
      <c r="H72" s="934" t="str">
        <f t="shared" si="37"/>
        <v>OK!</v>
      </c>
      <c r="I72" s="934" t="str">
        <f t="shared" si="37"/>
        <v>OK!</v>
      </c>
      <c r="J72" s="934" t="str">
        <f t="shared" si="37"/>
        <v>OK!</v>
      </c>
      <c r="K72" s="934" t="str">
        <f t="shared" si="37"/>
        <v>OK!</v>
      </c>
      <c r="L72" s="934" t="str">
        <f t="shared" si="37"/>
        <v>OK!</v>
      </c>
      <c r="M72" s="934" t="str">
        <f t="shared" si="37"/>
        <v>OK!</v>
      </c>
      <c r="N72" s="934" t="str">
        <f t="shared" si="37"/>
        <v>OK!</v>
      </c>
      <c r="O72" s="934" t="str">
        <f t="shared" si="37"/>
        <v>OK!</v>
      </c>
      <c r="P72" s="934" t="str">
        <f t="shared" si="37"/>
        <v>OK!</v>
      </c>
      <c r="Q72" s="934" t="str">
        <f t="shared" si="37"/>
        <v>OK!</v>
      </c>
      <c r="R72" s="934" t="str">
        <f t="shared" si="37"/>
        <v>OK!</v>
      </c>
      <c r="S72" s="934" t="str">
        <f>IF(D72&gt;D71,"STOPP!","OK!")</f>
        <v>OK!</v>
      </c>
      <c r="T72" s="934" t="str">
        <f>IF(E72&gt;E71,"STOPP!","OK!")</f>
        <v>OK!</v>
      </c>
    </row>
    <row r="73" spans="1:20" ht="15.75" customHeight="1" x14ac:dyDescent="0.15">
      <c r="A73" s="1021" t="str">
        <f>'(B3) Struktura Funksionale'!B26</f>
        <v>03280</v>
      </c>
      <c r="B73" s="1079" t="str">
        <f>'(B3) Struktura Funksionale'!C26</f>
        <v>Mbrotja nga zjarri dhe mbrojtja civile</v>
      </c>
      <c r="C73" s="1080"/>
      <c r="D73" s="1080"/>
      <c r="E73" s="1081"/>
      <c r="F73" s="934"/>
      <c r="G73" s="934"/>
      <c r="H73" s="934"/>
      <c r="I73" s="934"/>
      <c r="J73" s="934"/>
      <c r="K73" s="934"/>
      <c r="L73" s="934"/>
      <c r="M73" s="934"/>
      <c r="N73" s="934"/>
      <c r="O73" s="934"/>
      <c r="P73" s="934"/>
      <c r="Q73" s="934"/>
      <c r="R73" s="934"/>
      <c r="S73" s="934"/>
      <c r="T73" s="934"/>
    </row>
    <row r="74" spans="1:20" x14ac:dyDescent="0.15">
      <c r="A74" s="958" t="str">
        <f>A$8</f>
        <v>Pagat dhe sigurimet shoqërore</v>
      </c>
      <c r="B74" s="958"/>
      <c r="C74" s="966">
        <v>14229650</v>
      </c>
      <c r="D74" s="966">
        <v>14229650</v>
      </c>
      <c r="E74" s="966">
        <v>14229650</v>
      </c>
      <c r="F74" s="934" t="str">
        <f t="shared" ref="F74:R77" si="38">IF(C74&lt;0,"STOPP!","OK!")</f>
        <v>OK!</v>
      </c>
      <c r="G74" s="934" t="str">
        <f t="shared" si="38"/>
        <v>OK!</v>
      </c>
      <c r="H74" s="934" t="str">
        <f t="shared" si="38"/>
        <v>OK!</v>
      </c>
      <c r="I74" s="934" t="str">
        <f t="shared" si="38"/>
        <v>OK!</v>
      </c>
      <c r="J74" s="934" t="str">
        <f t="shared" si="38"/>
        <v>OK!</v>
      </c>
      <c r="K74" s="934" t="str">
        <f t="shared" si="38"/>
        <v>OK!</v>
      </c>
      <c r="L74" s="934" t="str">
        <f t="shared" si="38"/>
        <v>OK!</v>
      </c>
      <c r="M74" s="934" t="str">
        <f t="shared" si="38"/>
        <v>OK!</v>
      </c>
      <c r="N74" s="934" t="str">
        <f t="shared" si="38"/>
        <v>OK!</v>
      </c>
      <c r="O74" s="934" t="str">
        <f t="shared" si="38"/>
        <v>OK!</v>
      </c>
      <c r="P74" s="934" t="str">
        <f t="shared" si="38"/>
        <v>OK!</v>
      </c>
      <c r="Q74" s="934" t="str">
        <f t="shared" si="38"/>
        <v>OK!</v>
      </c>
      <c r="R74" s="934" t="str">
        <f t="shared" si="38"/>
        <v>OK!</v>
      </c>
      <c r="S74" s="934" t="str">
        <f t="shared" ref="S74:T77" si="39">IF(D74&lt;0,"STOPP!","OK!")</f>
        <v>OK!</v>
      </c>
      <c r="T74" s="934" t="str">
        <f t="shared" si="39"/>
        <v>OK!</v>
      </c>
    </row>
    <row r="75" spans="1:20" x14ac:dyDescent="0.15">
      <c r="A75" s="958" t="str">
        <f>A$9</f>
        <v>Të tjera shpenzime korrente</v>
      </c>
      <c r="B75" s="958"/>
      <c r="C75" s="967">
        <v>3200000</v>
      </c>
      <c r="D75" s="967">
        <v>3200000</v>
      </c>
      <c r="E75" s="967">
        <v>3200000</v>
      </c>
      <c r="F75" s="934" t="str">
        <f t="shared" si="38"/>
        <v>OK!</v>
      </c>
      <c r="G75" s="934" t="str">
        <f t="shared" si="38"/>
        <v>OK!</v>
      </c>
      <c r="H75" s="934" t="str">
        <f t="shared" si="38"/>
        <v>OK!</v>
      </c>
      <c r="I75" s="934" t="str">
        <f t="shared" si="38"/>
        <v>OK!</v>
      </c>
      <c r="J75" s="934" t="str">
        <f t="shared" si="38"/>
        <v>OK!</v>
      </c>
      <c r="K75" s="934" t="str">
        <f t="shared" si="38"/>
        <v>OK!</v>
      </c>
      <c r="L75" s="934" t="str">
        <f t="shared" si="38"/>
        <v>OK!</v>
      </c>
      <c r="M75" s="934" t="str">
        <f t="shared" si="38"/>
        <v>OK!</v>
      </c>
      <c r="N75" s="934" t="str">
        <f t="shared" si="38"/>
        <v>OK!</v>
      </c>
      <c r="O75" s="934" t="str">
        <f t="shared" si="38"/>
        <v>OK!</v>
      </c>
      <c r="P75" s="934" t="str">
        <f t="shared" si="38"/>
        <v>OK!</v>
      </c>
      <c r="Q75" s="934" t="str">
        <f t="shared" si="38"/>
        <v>OK!</v>
      </c>
      <c r="R75" s="934" t="str">
        <f t="shared" si="38"/>
        <v>OK!</v>
      </c>
      <c r="S75" s="934" t="str">
        <f t="shared" si="39"/>
        <v>OK!</v>
      </c>
      <c r="T75" s="934" t="str">
        <f t="shared" si="39"/>
        <v>OK!</v>
      </c>
    </row>
    <row r="76" spans="1:20" x14ac:dyDescent="0.15">
      <c r="A76" s="960" t="str">
        <f>A$10</f>
        <v>Shpenzimet kapitale</v>
      </c>
      <c r="B76" s="961"/>
      <c r="C76" s="959">
        <f>C77-C74-C75</f>
        <v>0</v>
      </c>
      <c r="D76" s="962">
        <f>D77-D74-D75</f>
        <v>0</v>
      </c>
      <c r="E76" s="962">
        <f>E77-E74-E75</f>
        <v>0</v>
      </c>
      <c r="F76" s="934" t="str">
        <f t="shared" si="38"/>
        <v>OK!</v>
      </c>
      <c r="G76" s="934" t="str">
        <f t="shared" si="38"/>
        <v>OK!</v>
      </c>
      <c r="H76" s="934" t="str">
        <f t="shared" si="38"/>
        <v>OK!</v>
      </c>
      <c r="I76" s="934" t="str">
        <f t="shared" si="38"/>
        <v>OK!</v>
      </c>
      <c r="J76" s="934" t="str">
        <f t="shared" si="38"/>
        <v>OK!</v>
      </c>
      <c r="K76" s="934" t="str">
        <f t="shared" si="38"/>
        <v>OK!</v>
      </c>
      <c r="L76" s="934" t="str">
        <f t="shared" si="38"/>
        <v>OK!</v>
      </c>
      <c r="M76" s="934" t="str">
        <f t="shared" si="38"/>
        <v>OK!</v>
      </c>
      <c r="N76" s="934" t="str">
        <f t="shared" si="38"/>
        <v>OK!</v>
      </c>
      <c r="O76" s="934" t="str">
        <f t="shared" si="38"/>
        <v>OK!</v>
      </c>
      <c r="P76" s="934" t="str">
        <f t="shared" si="38"/>
        <v>OK!</v>
      </c>
      <c r="Q76" s="934" t="str">
        <f t="shared" si="38"/>
        <v>OK!</v>
      </c>
      <c r="R76" s="934" t="str">
        <f t="shared" si="38"/>
        <v>OK!</v>
      </c>
      <c r="S76" s="934" t="str">
        <f t="shared" si="39"/>
        <v>OK!</v>
      </c>
      <c r="T76" s="934" t="str">
        <f t="shared" si="39"/>
        <v>OK!</v>
      </c>
    </row>
    <row r="77" spans="1:20" x14ac:dyDescent="0.15">
      <c r="A77" s="963" t="str">
        <f>A$11</f>
        <v>Tavanet e përgjithshme</v>
      </c>
      <c r="B77" s="964"/>
      <c r="C77" s="968">
        <v>17429650</v>
      </c>
      <c r="D77" s="968">
        <v>17429650</v>
      </c>
      <c r="E77" s="968">
        <v>17429650</v>
      </c>
      <c r="F77" s="934" t="str">
        <f t="shared" si="38"/>
        <v>OK!</v>
      </c>
      <c r="G77" s="934" t="str">
        <f t="shared" si="38"/>
        <v>OK!</v>
      </c>
      <c r="H77" s="934" t="str">
        <f t="shared" si="38"/>
        <v>OK!</v>
      </c>
      <c r="I77" s="934" t="str">
        <f t="shared" si="38"/>
        <v>OK!</v>
      </c>
      <c r="J77" s="934" t="str">
        <f t="shared" si="38"/>
        <v>OK!</v>
      </c>
      <c r="K77" s="934" t="str">
        <f t="shared" si="38"/>
        <v>OK!</v>
      </c>
      <c r="L77" s="934" t="str">
        <f t="shared" si="38"/>
        <v>OK!</v>
      </c>
      <c r="M77" s="934" t="str">
        <f t="shared" si="38"/>
        <v>OK!</v>
      </c>
      <c r="N77" s="934" t="str">
        <f t="shared" si="38"/>
        <v>OK!</v>
      </c>
      <c r="O77" s="934" t="str">
        <f t="shared" si="38"/>
        <v>OK!</v>
      </c>
      <c r="P77" s="934" t="str">
        <f t="shared" si="38"/>
        <v>OK!</v>
      </c>
      <c r="Q77" s="934" t="str">
        <f t="shared" si="38"/>
        <v>OK!</v>
      </c>
      <c r="R77" s="934" t="str">
        <f t="shared" si="38"/>
        <v>OK!</v>
      </c>
      <c r="S77" s="934" t="str">
        <f t="shared" si="39"/>
        <v>OK!</v>
      </c>
      <c r="T77" s="934" t="str">
        <f t="shared" si="39"/>
        <v>OK!</v>
      </c>
    </row>
    <row r="78" spans="1:20" x14ac:dyDescent="0.15">
      <c r="A78" s="965" t="str">
        <f>A$12</f>
        <v>Angazhimet kujtesë</v>
      </c>
      <c r="B78" s="959"/>
      <c r="C78" s="959">
        <f>'(C5) Angazhimet'!D29</f>
        <v>0</v>
      </c>
      <c r="D78" s="959">
        <f>'(C5) Angazhimet'!E29</f>
        <v>0</v>
      </c>
      <c r="E78" s="959">
        <f>'(C5) Angazhimet'!F29</f>
        <v>0</v>
      </c>
      <c r="F78" s="934" t="str">
        <f>IF(C78&gt;C77,"STOPP!","OK!")</f>
        <v>OK!</v>
      </c>
      <c r="G78" s="934" t="str">
        <f t="shared" ref="G78:R78" si="40">IF(D78&lt;0,"STOPP!","OK!")</f>
        <v>OK!</v>
      </c>
      <c r="H78" s="934" t="str">
        <f t="shared" si="40"/>
        <v>OK!</v>
      </c>
      <c r="I78" s="934" t="str">
        <f t="shared" si="40"/>
        <v>OK!</v>
      </c>
      <c r="J78" s="934" t="str">
        <f t="shared" si="40"/>
        <v>OK!</v>
      </c>
      <c r="K78" s="934" t="str">
        <f t="shared" si="40"/>
        <v>OK!</v>
      </c>
      <c r="L78" s="934" t="str">
        <f t="shared" si="40"/>
        <v>OK!</v>
      </c>
      <c r="M78" s="934" t="str">
        <f t="shared" si="40"/>
        <v>OK!</v>
      </c>
      <c r="N78" s="934" t="str">
        <f t="shared" si="40"/>
        <v>OK!</v>
      </c>
      <c r="O78" s="934" t="str">
        <f t="shared" si="40"/>
        <v>OK!</v>
      </c>
      <c r="P78" s="934" t="str">
        <f t="shared" si="40"/>
        <v>OK!</v>
      </c>
      <c r="Q78" s="934" t="str">
        <f t="shared" si="40"/>
        <v>OK!</v>
      </c>
      <c r="R78" s="934" t="str">
        <f t="shared" si="40"/>
        <v>OK!</v>
      </c>
      <c r="S78" s="934" t="str">
        <f>IF(D78&gt;D77,"STOPP!","OK!")</f>
        <v>OK!</v>
      </c>
      <c r="T78" s="934" t="str">
        <f>IF(E78&gt;E77,"STOPP!","OK!")</f>
        <v>OK!</v>
      </c>
    </row>
    <row r="79" spans="1:20" ht="18.75" customHeight="1" x14ac:dyDescent="0.25">
      <c r="A79" s="1082" t="str">
        <f>'(B2) Struktura Organizative'!A11</f>
        <v>Nënfunksioni 5</v>
      </c>
      <c r="B79" s="1076" t="str">
        <f>'(B2) Struktura Organizative'!B11</f>
        <v>036 Marrdheniet me komunitetin</v>
      </c>
      <c r="C79" s="1077"/>
      <c r="D79" s="1077"/>
      <c r="E79" s="1078"/>
      <c r="G79" s="933">
        <f>C83</f>
        <v>0</v>
      </c>
      <c r="H79" s="933">
        <f>D83</f>
        <v>0</v>
      </c>
      <c r="I79" s="933">
        <f>E83</f>
        <v>0</v>
      </c>
      <c r="J79" s="933">
        <f>C80</f>
        <v>0</v>
      </c>
      <c r="K79" s="933">
        <f>D80</f>
        <v>0</v>
      </c>
      <c r="L79" s="933">
        <f>E80</f>
        <v>0</v>
      </c>
      <c r="M79" s="933">
        <f>C81</f>
        <v>0</v>
      </c>
      <c r="N79" s="933">
        <f>D81</f>
        <v>0</v>
      </c>
      <c r="O79" s="933">
        <f>E81</f>
        <v>0</v>
      </c>
      <c r="P79" s="933">
        <f>C82</f>
        <v>0</v>
      </c>
      <c r="Q79" s="933">
        <f>D82</f>
        <v>0</v>
      </c>
      <c r="R79" s="933">
        <f>E82</f>
        <v>0</v>
      </c>
    </row>
    <row r="80" spans="1:20" x14ac:dyDescent="0.15">
      <c r="A80" s="958" t="str">
        <f>A$8</f>
        <v>Pagat dhe sigurimet shoqërore</v>
      </c>
      <c r="B80" s="958"/>
      <c r="C80" s="959">
        <f t="shared" ref="C80:E81" si="41">C86</f>
        <v>0</v>
      </c>
      <c r="D80" s="959">
        <f t="shared" si="41"/>
        <v>0</v>
      </c>
      <c r="E80" s="959">
        <f t="shared" si="41"/>
        <v>0</v>
      </c>
      <c r="F80" s="934" t="str">
        <f t="shared" ref="F80:R83" si="42">IF(C80&lt;0,"STOPP!","OK!")</f>
        <v>OK!</v>
      </c>
      <c r="G80" s="934" t="str">
        <f t="shared" si="42"/>
        <v>OK!</v>
      </c>
      <c r="H80" s="934" t="str">
        <f t="shared" si="42"/>
        <v>OK!</v>
      </c>
      <c r="I80" s="934" t="str">
        <f t="shared" si="42"/>
        <v>OK!</v>
      </c>
      <c r="J80" s="934" t="str">
        <f t="shared" si="42"/>
        <v>OK!</v>
      </c>
      <c r="K80" s="934" t="str">
        <f t="shared" si="42"/>
        <v>OK!</v>
      </c>
      <c r="L80" s="934" t="str">
        <f t="shared" si="42"/>
        <v>OK!</v>
      </c>
      <c r="M80" s="934" t="str">
        <f t="shared" si="42"/>
        <v>OK!</v>
      </c>
      <c r="N80" s="934" t="str">
        <f t="shared" si="42"/>
        <v>OK!</v>
      </c>
      <c r="O80" s="934" t="str">
        <f t="shared" si="42"/>
        <v>OK!</v>
      </c>
      <c r="P80" s="934" t="str">
        <f t="shared" si="42"/>
        <v>OK!</v>
      </c>
      <c r="Q80" s="934" t="str">
        <f t="shared" si="42"/>
        <v>OK!</v>
      </c>
      <c r="R80" s="934" t="str">
        <f t="shared" si="42"/>
        <v>OK!</v>
      </c>
      <c r="S80" s="934" t="str">
        <f t="shared" ref="S80:T83" si="43">IF(D80&lt;0,"STOPP!","OK!")</f>
        <v>OK!</v>
      </c>
      <c r="T80" s="934" t="str">
        <f t="shared" si="43"/>
        <v>OK!</v>
      </c>
    </row>
    <row r="81" spans="1:20" x14ac:dyDescent="0.15">
      <c r="A81" s="958" t="str">
        <f>A$9</f>
        <v>Të tjera shpenzime korrente</v>
      </c>
      <c r="B81" s="958"/>
      <c r="C81" s="959">
        <f t="shared" si="41"/>
        <v>0</v>
      </c>
      <c r="D81" s="959">
        <f t="shared" si="41"/>
        <v>0</v>
      </c>
      <c r="E81" s="959">
        <f t="shared" si="41"/>
        <v>0</v>
      </c>
      <c r="F81" s="934" t="str">
        <f t="shared" si="42"/>
        <v>OK!</v>
      </c>
      <c r="G81" s="934" t="str">
        <f t="shared" si="42"/>
        <v>OK!</v>
      </c>
      <c r="H81" s="934" t="str">
        <f t="shared" si="42"/>
        <v>OK!</v>
      </c>
      <c r="I81" s="934" t="str">
        <f t="shared" si="42"/>
        <v>OK!</v>
      </c>
      <c r="J81" s="934" t="str">
        <f t="shared" si="42"/>
        <v>OK!</v>
      </c>
      <c r="K81" s="934" t="str">
        <f t="shared" si="42"/>
        <v>OK!</v>
      </c>
      <c r="L81" s="934" t="str">
        <f t="shared" si="42"/>
        <v>OK!</v>
      </c>
      <c r="M81" s="934" t="str">
        <f t="shared" si="42"/>
        <v>OK!</v>
      </c>
      <c r="N81" s="934" t="str">
        <f t="shared" si="42"/>
        <v>OK!</v>
      </c>
      <c r="O81" s="934" t="str">
        <f t="shared" si="42"/>
        <v>OK!</v>
      </c>
      <c r="P81" s="934" t="str">
        <f t="shared" si="42"/>
        <v>OK!</v>
      </c>
      <c r="Q81" s="934" t="str">
        <f t="shared" si="42"/>
        <v>OK!</v>
      </c>
      <c r="R81" s="934" t="str">
        <f t="shared" si="42"/>
        <v>OK!</v>
      </c>
      <c r="S81" s="934" t="str">
        <f t="shared" si="43"/>
        <v>OK!</v>
      </c>
      <c r="T81" s="934" t="str">
        <f t="shared" si="43"/>
        <v>OK!</v>
      </c>
    </row>
    <row r="82" spans="1:20" x14ac:dyDescent="0.15">
      <c r="A82" s="960" t="str">
        <f>A$10</f>
        <v>Shpenzimet kapitale</v>
      </c>
      <c r="B82" s="961"/>
      <c r="C82" s="959">
        <f>C83-C80-C81</f>
        <v>0</v>
      </c>
      <c r="D82" s="962">
        <f>D83-D80-D81</f>
        <v>0</v>
      </c>
      <c r="E82" s="962">
        <f>E83-E80-E81</f>
        <v>0</v>
      </c>
      <c r="F82" s="934" t="str">
        <f t="shared" si="42"/>
        <v>OK!</v>
      </c>
      <c r="G82" s="934" t="str">
        <f t="shared" si="42"/>
        <v>OK!</v>
      </c>
      <c r="H82" s="934" t="str">
        <f t="shared" si="42"/>
        <v>OK!</v>
      </c>
      <c r="I82" s="934" t="str">
        <f t="shared" si="42"/>
        <v>OK!</v>
      </c>
      <c r="J82" s="934" t="str">
        <f t="shared" si="42"/>
        <v>OK!</v>
      </c>
      <c r="K82" s="934" t="str">
        <f t="shared" si="42"/>
        <v>OK!</v>
      </c>
      <c r="L82" s="934" t="str">
        <f t="shared" si="42"/>
        <v>OK!</v>
      </c>
      <c r="M82" s="934" t="str">
        <f t="shared" si="42"/>
        <v>OK!</v>
      </c>
      <c r="N82" s="934" t="str">
        <f t="shared" si="42"/>
        <v>OK!</v>
      </c>
      <c r="O82" s="934" t="str">
        <f t="shared" si="42"/>
        <v>OK!</v>
      </c>
      <c r="P82" s="934" t="str">
        <f t="shared" si="42"/>
        <v>OK!</v>
      </c>
      <c r="Q82" s="934" t="str">
        <f t="shared" si="42"/>
        <v>OK!</v>
      </c>
      <c r="R82" s="934" t="str">
        <f t="shared" si="42"/>
        <v>OK!</v>
      </c>
      <c r="S82" s="934" t="str">
        <f t="shared" si="43"/>
        <v>OK!</v>
      </c>
      <c r="T82" s="934" t="str">
        <f t="shared" si="43"/>
        <v>OK!</v>
      </c>
    </row>
    <row r="83" spans="1:20" x14ac:dyDescent="0.15">
      <c r="A83" s="963" t="str">
        <f>A$11</f>
        <v>Tavanet e përgjithshme</v>
      </c>
      <c r="B83" s="964"/>
      <c r="C83" s="959">
        <f>C89</f>
        <v>0</v>
      </c>
      <c r="D83" s="959">
        <f>D89</f>
        <v>0</v>
      </c>
      <c r="E83" s="959">
        <f>E89</f>
        <v>0</v>
      </c>
      <c r="F83" s="934" t="str">
        <f t="shared" si="42"/>
        <v>OK!</v>
      </c>
      <c r="G83" s="934" t="str">
        <f t="shared" si="42"/>
        <v>OK!</v>
      </c>
      <c r="H83" s="934" t="str">
        <f t="shared" si="42"/>
        <v>OK!</v>
      </c>
      <c r="I83" s="934" t="str">
        <f t="shared" si="42"/>
        <v>OK!</v>
      </c>
      <c r="J83" s="934" t="str">
        <f t="shared" si="42"/>
        <v>OK!</v>
      </c>
      <c r="K83" s="934" t="str">
        <f t="shared" si="42"/>
        <v>OK!</v>
      </c>
      <c r="L83" s="934" t="str">
        <f t="shared" si="42"/>
        <v>OK!</v>
      </c>
      <c r="M83" s="934" t="str">
        <f t="shared" si="42"/>
        <v>OK!</v>
      </c>
      <c r="N83" s="934" t="str">
        <f t="shared" si="42"/>
        <v>OK!</v>
      </c>
      <c r="O83" s="934" t="str">
        <f t="shared" si="42"/>
        <v>OK!</v>
      </c>
      <c r="P83" s="934" t="str">
        <f t="shared" si="42"/>
        <v>OK!</v>
      </c>
      <c r="Q83" s="934" t="str">
        <f t="shared" si="42"/>
        <v>OK!</v>
      </c>
      <c r="R83" s="934" t="str">
        <f t="shared" si="42"/>
        <v>OK!</v>
      </c>
      <c r="S83" s="934" t="str">
        <f t="shared" si="43"/>
        <v>OK!</v>
      </c>
      <c r="T83" s="934" t="str">
        <f t="shared" si="43"/>
        <v>OK!</v>
      </c>
    </row>
    <row r="84" spans="1:20" x14ac:dyDescent="0.15">
      <c r="A84" s="965" t="str">
        <f>A$12</f>
        <v>Angazhimet kujtesë</v>
      </c>
      <c r="B84" s="959"/>
      <c r="C84" s="959">
        <f>'(C5) Angazhimet'!D37</f>
        <v>0</v>
      </c>
      <c r="D84" s="962">
        <f>'(C5) Angazhimet'!E37</f>
        <v>0</v>
      </c>
      <c r="E84" s="962">
        <f>'(C5) Angazhimet'!F37</f>
        <v>0</v>
      </c>
      <c r="F84" s="934" t="str">
        <f>IF(C84&gt;C83,"STOPP!","OK!")</f>
        <v>OK!</v>
      </c>
      <c r="G84" s="934" t="str">
        <f t="shared" ref="G84:R84" si="44">IF(D84&lt;0,"STOPP!","OK!")</f>
        <v>OK!</v>
      </c>
      <c r="H84" s="934" t="str">
        <f t="shared" si="44"/>
        <v>OK!</v>
      </c>
      <c r="I84" s="934" t="str">
        <f t="shared" si="44"/>
        <v>OK!</v>
      </c>
      <c r="J84" s="934" t="str">
        <f t="shared" si="44"/>
        <v>OK!</v>
      </c>
      <c r="K84" s="934" t="str">
        <f t="shared" si="44"/>
        <v>OK!</v>
      </c>
      <c r="L84" s="934" t="str">
        <f t="shared" si="44"/>
        <v>OK!</v>
      </c>
      <c r="M84" s="934" t="str">
        <f t="shared" si="44"/>
        <v>OK!</v>
      </c>
      <c r="N84" s="934" t="str">
        <f t="shared" si="44"/>
        <v>OK!</v>
      </c>
      <c r="O84" s="934" t="str">
        <f t="shared" si="44"/>
        <v>OK!</v>
      </c>
      <c r="P84" s="934" t="str">
        <f t="shared" si="44"/>
        <v>OK!</v>
      </c>
      <c r="Q84" s="934" t="str">
        <f t="shared" si="44"/>
        <v>OK!</v>
      </c>
      <c r="R84" s="934" t="str">
        <f t="shared" si="44"/>
        <v>OK!</v>
      </c>
      <c r="S84" s="934" t="str">
        <f>IF(D84&gt;D83,"STOPP!","OK!")</f>
        <v>OK!</v>
      </c>
      <c r="T84" s="934" t="str">
        <f>IF(E84&gt;E83,"STOPP!","OK!")</f>
        <v>OK!</v>
      </c>
    </row>
    <row r="85" spans="1:20" ht="15.75" customHeight="1" x14ac:dyDescent="0.15">
      <c r="A85" s="1021" t="str">
        <f>'(B3) Struktura Funksionale'!B30</f>
        <v>03600</v>
      </c>
      <c r="B85" s="1089" t="str">
        <f>'(B3) Struktura Funksionale'!C30</f>
        <v>Marrdheniet me komunitetin</v>
      </c>
      <c r="C85" s="1090"/>
      <c r="D85" s="1090"/>
      <c r="E85" s="1091"/>
      <c r="F85" s="934"/>
      <c r="G85" s="934"/>
      <c r="H85" s="934"/>
      <c r="I85" s="934"/>
      <c r="J85" s="934"/>
      <c r="K85" s="934"/>
      <c r="L85" s="934"/>
      <c r="M85" s="934"/>
      <c r="N85" s="934"/>
      <c r="O85" s="934"/>
      <c r="P85" s="934"/>
      <c r="Q85" s="934"/>
      <c r="R85" s="934"/>
      <c r="S85" s="934"/>
      <c r="T85" s="934"/>
    </row>
    <row r="86" spans="1:20" x14ac:dyDescent="0.15">
      <c r="A86" s="958" t="str">
        <f>A$8</f>
        <v>Pagat dhe sigurimet shoqërore</v>
      </c>
      <c r="B86" s="958"/>
      <c r="C86" s="966"/>
      <c r="D86" s="966"/>
      <c r="E86" s="966"/>
      <c r="F86" s="934" t="str">
        <f t="shared" ref="F86:R89" si="45">IF(C86&lt;0,"STOPP!","OK!")</f>
        <v>OK!</v>
      </c>
      <c r="G86" s="934" t="str">
        <f t="shared" si="45"/>
        <v>OK!</v>
      </c>
      <c r="H86" s="934" t="str">
        <f t="shared" si="45"/>
        <v>OK!</v>
      </c>
      <c r="I86" s="934" t="str">
        <f t="shared" si="45"/>
        <v>OK!</v>
      </c>
      <c r="J86" s="934" t="str">
        <f t="shared" si="45"/>
        <v>OK!</v>
      </c>
      <c r="K86" s="934" t="str">
        <f t="shared" si="45"/>
        <v>OK!</v>
      </c>
      <c r="L86" s="934" t="str">
        <f t="shared" si="45"/>
        <v>OK!</v>
      </c>
      <c r="M86" s="934" t="str">
        <f t="shared" si="45"/>
        <v>OK!</v>
      </c>
      <c r="N86" s="934" t="str">
        <f t="shared" si="45"/>
        <v>OK!</v>
      </c>
      <c r="O86" s="934" t="str">
        <f t="shared" si="45"/>
        <v>OK!</v>
      </c>
      <c r="P86" s="934" t="str">
        <f t="shared" si="45"/>
        <v>OK!</v>
      </c>
      <c r="Q86" s="934" t="str">
        <f t="shared" si="45"/>
        <v>OK!</v>
      </c>
      <c r="R86" s="934" t="str">
        <f t="shared" si="45"/>
        <v>OK!</v>
      </c>
      <c r="S86" s="934" t="str">
        <f t="shared" ref="S86:T89" si="46">IF(D86&lt;0,"STOPP!","OK!")</f>
        <v>OK!</v>
      </c>
      <c r="T86" s="934" t="str">
        <f t="shared" si="46"/>
        <v>OK!</v>
      </c>
    </row>
    <row r="87" spans="1:20" x14ac:dyDescent="0.15">
      <c r="A87" s="958" t="str">
        <f>A$9</f>
        <v>Të tjera shpenzime korrente</v>
      </c>
      <c r="B87" s="958"/>
      <c r="C87" s="967"/>
      <c r="D87" s="967"/>
      <c r="E87" s="967"/>
      <c r="F87" s="934" t="str">
        <f t="shared" si="45"/>
        <v>OK!</v>
      </c>
      <c r="G87" s="934" t="str">
        <f t="shared" si="45"/>
        <v>OK!</v>
      </c>
      <c r="H87" s="934" t="str">
        <f t="shared" si="45"/>
        <v>OK!</v>
      </c>
      <c r="I87" s="934" t="str">
        <f t="shared" si="45"/>
        <v>OK!</v>
      </c>
      <c r="J87" s="934" t="str">
        <f t="shared" si="45"/>
        <v>OK!</v>
      </c>
      <c r="K87" s="934" t="str">
        <f t="shared" si="45"/>
        <v>OK!</v>
      </c>
      <c r="L87" s="934" t="str">
        <f t="shared" si="45"/>
        <v>OK!</v>
      </c>
      <c r="M87" s="934" t="str">
        <f t="shared" si="45"/>
        <v>OK!</v>
      </c>
      <c r="N87" s="934" t="str">
        <f t="shared" si="45"/>
        <v>OK!</v>
      </c>
      <c r="O87" s="934" t="str">
        <f t="shared" si="45"/>
        <v>OK!</v>
      </c>
      <c r="P87" s="934" t="str">
        <f t="shared" si="45"/>
        <v>OK!</v>
      </c>
      <c r="Q87" s="934" t="str">
        <f t="shared" si="45"/>
        <v>OK!</v>
      </c>
      <c r="R87" s="934" t="str">
        <f t="shared" si="45"/>
        <v>OK!</v>
      </c>
      <c r="S87" s="934" t="str">
        <f t="shared" si="46"/>
        <v>OK!</v>
      </c>
      <c r="T87" s="934" t="str">
        <f t="shared" si="46"/>
        <v>OK!</v>
      </c>
    </row>
    <row r="88" spans="1:20" x14ac:dyDescent="0.15">
      <c r="A88" s="960" t="str">
        <f>A$10</f>
        <v>Shpenzimet kapitale</v>
      </c>
      <c r="B88" s="961"/>
      <c r="C88" s="959">
        <f>C89-C86-C87</f>
        <v>0</v>
      </c>
      <c r="D88" s="962">
        <f>D89-D86-D87</f>
        <v>0</v>
      </c>
      <c r="E88" s="962">
        <f>E89-E86-E87</f>
        <v>0</v>
      </c>
      <c r="F88" s="934" t="str">
        <f t="shared" si="45"/>
        <v>OK!</v>
      </c>
      <c r="G88" s="934" t="str">
        <f t="shared" si="45"/>
        <v>OK!</v>
      </c>
      <c r="H88" s="934" t="str">
        <f t="shared" si="45"/>
        <v>OK!</v>
      </c>
      <c r="I88" s="934" t="str">
        <f t="shared" si="45"/>
        <v>OK!</v>
      </c>
      <c r="J88" s="934" t="str">
        <f t="shared" si="45"/>
        <v>OK!</v>
      </c>
      <c r="K88" s="934" t="str">
        <f t="shared" si="45"/>
        <v>OK!</v>
      </c>
      <c r="L88" s="934" t="str">
        <f t="shared" si="45"/>
        <v>OK!</v>
      </c>
      <c r="M88" s="934" t="str">
        <f t="shared" si="45"/>
        <v>OK!</v>
      </c>
      <c r="N88" s="934" t="str">
        <f t="shared" si="45"/>
        <v>OK!</v>
      </c>
      <c r="O88" s="934" t="str">
        <f t="shared" si="45"/>
        <v>OK!</v>
      </c>
      <c r="P88" s="934" t="str">
        <f t="shared" si="45"/>
        <v>OK!</v>
      </c>
      <c r="Q88" s="934" t="str">
        <f t="shared" si="45"/>
        <v>OK!</v>
      </c>
      <c r="R88" s="934" t="str">
        <f t="shared" si="45"/>
        <v>OK!</v>
      </c>
      <c r="S88" s="934" t="str">
        <f t="shared" si="46"/>
        <v>OK!</v>
      </c>
      <c r="T88" s="934" t="str">
        <f t="shared" si="46"/>
        <v>OK!</v>
      </c>
    </row>
    <row r="89" spans="1:20" x14ac:dyDescent="0.15">
      <c r="A89" s="963" t="str">
        <f>A$11</f>
        <v>Tavanet e përgjithshme</v>
      </c>
      <c r="B89" s="964"/>
      <c r="C89" s="968"/>
      <c r="D89" s="969"/>
      <c r="E89" s="969"/>
      <c r="F89" s="934" t="str">
        <f t="shared" si="45"/>
        <v>OK!</v>
      </c>
      <c r="G89" s="934" t="str">
        <f t="shared" si="45"/>
        <v>OK!</v>
      </c>
      <c r="H89" s="934" t="str">
        <f t="shared" si="45"/>
        <v>OK!</v>
      </c>
      <c r="I89" s="934" t="str">
        <f t="shared" si="45"/>
        <v>OK!</v>
      </c>
      <c r="J89" s="934" t="str">
        <f t="shared" si="45"/>
        <v>OK!</v>
      </c>
      <c r="K89" s="934" t="str">
        <f t="shared" si="45"/>
        <v>OK!</v>
      </c>
      <c r="L89" s="934" t="str">
        <f t="shared" si="45"/>
        <v>OK!</v>
      </c>
      <c r="M89" s="934" t="str">
        <f t="shared" si="45"/>
        <v>OK!</v>
      </c>
      <c r="N89" s="934" t="str">
        <f t="shared" si="45"/>
        <v>OK!</v>
      </c>
      <c r="O89" s="934" t="str">
        <f t="shared" si="45"/>
        <v>OK!</v>
      </c>
      <c r="P89" s="934" t="str">
        <f t="shared" si="45"/>
        <v>OK!</v>
      </c>
      <c r="Q89" s="934" t="str">
        <f t="shared" si="45"/>
        <v>OK!</v>
      </c>
      <c r="R89" s="934" t="str">
        <f t="shared" si="45"/>
        <v>OK!</v>
      </c>
      <c r="S89" s="934" t="str">
        <f t="shared" si="46"/>
        <v>OK!</v>
      </c>
      <c r="T89" s="934" t="str">
        <f t="shared" si="46"/>
        <v>OK!</v>
      </c>
    </row>
    <row r="90" spans="1:20" x14ac:dyDescent="0.15">
      <c r="A90" s="965" t="str">
        <f>A$12</f>
        <v>Angazhimet kujtesë</v>
      </c>
      <c r="B90" s="959"/>
      <c r="C90" s="959">
        <f>'(C5) Angazhimet'!D34</f>
        <v>0</v>
      </c>
      <c r="D90" s="959">
        <f>'(C5) Angazhimet'!E34</f>
        <v>0</v>
      </c>
      <c r="E90" s="959">
        <f>'(C5) Angazhimet'!F34</f>
        <v>0</v>
      </c>
      <c r="F90" s="934" t="str">
        <f>IF(C90&gt;C89,"STOPP!","OK!")</f>
        <v>OK!</v>
      </c>
      <c r="G90" s="934" t="str">
        <f t="shared" ref="G90:R90" si="47">IF(D90&lt;0,"STOPP!","OK!")</f>
        <v>OK!</v>
      </c>
      <c r="H90" s="934" t="str">
        <f t="shared" si="47"/>
        <v>OK!</v>
      </c>
      <c r="I90" s="934" t="str">
        <f t="shared" si="47"/>
        <v>OK!</v>
      </c>
      <c r="J90" s="934" t="str">
        <f t="shared" si="47"/>
        <v>OK!</v>
      </c>
      <c r="K90" s="934" t="str">
        <f t="shared" si="47"/>
        <v>OK!</v>
      </c>
      <c r="L90" s="934" t="str">
        <f t="shared" si="47"/>
        <v>OK!</v>
      </c>
      <c r="M90" s="934" t="str">
        <f t="shared" si="47"/>
        <v>OK!</v>
      </c>
      <c r="N90" s="934" t="str">
        <f t="shared" si="47"/>
        <v>OK!</v>
      </c>
      <c r="O90" s="934" t="str">
        <f t="shared" si="47"/>
        <v>OK!</v>
      </c>
      <c r="P90" s="934" t="str">
        <f t="shared" si="47"/>
        <v>OK!</v>
      </c>
      <c r="Q90" s="934" t="str">
        <f t="shared" si="47"/>
        <v>OK!</v>
      </c>
      <c r="R90" s="934" t="str">
        <f t="shared" si="47"/>
        <v>OK!</v>
      </c>
      <c r="S90" s="934" t="str">
        <f>IF(D90&gt;D89,"STOPP!","OK!")</f>
        <v>OK!</v>
      </c>
      <c r="T90" s="934" t="str">
        <f>IF(E90&gt;E89,"STOPP!","OK!")</f>
        <v>OK!</v>
      </c>
    </row>
    <row r="91" spans="1:20" ht="18.75" customHeight="1" x14ac:dyDescent="0.25">
      <c r="A91" s="1082" t="str">
        <f>'(B2) Struktura Organizative'!A12</f>
        <v>Nënfunksioni 6</v>
      </c>
      <c r="B91" s="1076" t="str">
        <f>'(B2) Struktura Organizative'!B12</f>
        <v>041 Çështjet e përgjithshme ekonomike, tregtare dhe të punës</v>
      </c>
      <c r="C91" s="1077"/>
      <c r="D91" s="1077"/>
      <c r="E91" s="1078"/>
      <c r="G91" s="933">
        <f>C95</f>
        <v>1710000</v>
      </c>
      <c r="H91" s="933">
        <f>D95</f>
        <v>1725000</v>
      </c>
      <c r="I91" s="933">
        <f>E95</f>
        <v>1770000</v>
      </c>
      <c r="J91" s="933">
        <f>C92</f>
        <v>1650000</v>
      </c>
      <c r="K91" s="933">
        <f>D92</f>
        <v>1660000</v>
      </c>
      <c r="L91" s="933">
        <f>E92</f>
        <v>1700000</v>
      </c>
      <c r="M91" s="933">
        <f>C93</f>
        <v>60000</v>
      </c>
      <c r="N91" s="933">
        <f>D93</f>
        <v>65000</v>
      </c>
      <c r="O91" s="933">
        <f>E93</f>
        <v>70000</v>
      </c>
      <c r="P91" s="933">
        <f>C94</f>
        <v>0</v>
      </c>
      <c r="Q91" s="933">
        <f>D94</f>
        <v>0</v>
      </c>
      <c r="R91" s="933">
        <f>E94</f>
        <v>0</v>
      </c>
    </row>
    <row r="92" spans="1:20" x14ac:dyDescent="0.15">
      <c r="A92" s="958" t="str">
        <f>A$8</f>
        <v>Pagat dhe sigurimet shoqërore</v>
      </c>
      <c r="B92" s="958"/>
      <c r="C92" s="959">
        <f t="shared" ref="C92:E93" si="48">C98+C104+C110+C116</f>
        <v>1650000</v>
      </c>
      <c r="D92" s="959">
        <f t="shared" si="48"/>
        <v>1660000</v>
      </c>
      <c r="E92" s="959">
        <f t="shared" si="48"/>
        <v>1700000</v>
      </c>
      <c r="F92" s="934" t="str">
        <f t="shared" ref="F92:R95" si="49">IF(C92&lt;0,"STOPP!","OK!")</f>
        <v>OK!</v>
      </c>
      <c r="G92" s="934" t="str">
        <f t="shared" si="49"/>
        <v>OK!</v>
      </c>
      <c r="H92" s="934" t="str">
        <f t="shared" si="49"/>
        <v>OK!</v>
      </c>
      <c r="I92" s="934" t="str">
        <f t="shared" si="49"/>
        <v>OK!</v>
      </c>
      <c r="J92" s="934" t="str">
        <f t="shared" si="49"/>
        <v>OK!</v>
      </c>
      <c r="K92" s="934" t="str">
        <f t="shared" si="49"/>
        <v>OK!</v>
      </c>
      <c r="L92" s="934" t="str">
        <f t="shared" si="49"/>
        <v>OK!</v>
      </c>
      <c r="M92" s="934" t="str">
        <f t="shared" si="49"/>
        <v>OK!</v>
      </c>
      <c r="N92" s="934" t="str">
        <f t="shared" si="49"/>
        <v>OK!</v>
      </c>
      <c r="O92" s="934" t="str">
        <f t="shared" si="49"/>
        <v>OK!</v>
      </c>
      <c r="P92" s="934" t="str">
        <f t="shared" si="49"/>
        <v>OK!</v>
      </c>
      <c r="Q92" s="934" t="str">
        <f t="shared" si="49"/>
        <v>OK!</v>
      </c>
      <c r="R92" s="934" t="str">
        <f t="shared" si="49"/>
        <v>OK!</v>
      </c>
      <c r="S92" s="934" t="str">
        <f t="shared" ref="S92:T95" si="50">IF(D92&lt;0,"STOPP!","OK!")</f>
        <v>OK!</v>
      </c>
      <c r="T92" s="934" t="str">
        <f t="shared" si="50"/>
        <v>OK!</v>
      </c>
    </row>
    <row r="93" spans="1:20" x14ac:dyDescent="0.15">
      <c r="A93" s="958" t="str">
        <f>A$9</f>
        <v>Të tjera shpenzime korrente</v>
      </c>
      <c r="B93" s="958"/>
      <c r="C93" s="959">
        <f t="shared" si="48"/>
        <v>60000</v>
      </c>
      <c r="D93" s="959">
        <f t="shared" si="48"/>
        <v>65000</v>
      </c>
      <c r="E93" s="959">
        <f t="shared" si="48"/>
        <v>70000</v>
      </c>
      <c r="F93" s="934" t="str">
        <f t="shared" si="49"/>
        <v>OK!</v>
      </c>
      <c r="G93" s="934" t="str">
        <f t="shared" si="49"/>
        <v>OK!</v>
      </c>
      <c r="H93" s="934" t="str">
        <f t="shared" si="49"/>
        <v>OK!</v>
      </c>
      <c r="I93" s="934" t="str">
        <f t="shared" si="49"/>
        <v>OK!</v>
      </c>
      <c r="J93" s="934" t="str">
        <f t="shared" si="49"/>
        <v>OK!</v>
      </c>
      <c r="K93" s="934" t="str">
        <f t="shared" si="49"/>
        <v>OK!</v>
      </c>
      <c r="L93" s="934" t="str">
        <f t="shared" si="49"/>
        <v>OK!</v>
      </c>
      <c r="M93" s="934" t="str">
        <f t="shared" si="49"/>
        <v>OK!</v>
      </c>
      <c r="N93" s="934" t="str">
        <f t="shared" si="49"/>
        <v>OK!</v>
      </c>
      <c r="O93" s="934" t="str">
        <f t="shared" si="49"/>
        <v>OK!</v>
      </c>
      <c r="P93" s="934" t="str">
        <f t="shared" si="49"/>
        <v>OK!</v>
      </c>
      <c r="Q93" s="934" t="str">
        <f t="shared" si="49"/>
        <v>OK!</v>
      </c>
      <c r="R93" s="934" t="str">
        <f t="shared" si="49"/>
        <v>OK!</v>
      </c>
      <c r="S93" s="934" t="str">
        <f t="shared" si="50"/>
        <v>OK!</v>
      </c>
      <c r="T93" s="934" t="str">
        <f t="shared" si="50"/>
        <v>OK!</v>
      </c>
    </row>
    <row r="94" spans="1:20" x14ac:dyDescent="0.15">
      <c r="A94" s="960" t="str">
        <f>A$10</f>
        <v>Shpenzimet kapitale</v>
      </c>
      <c r="B94" s="961"/>
      <c r="C94" s="959">
        <f>C95-C92-C93</f>
        <v>0</v>
      </c>
      <c r="D94" s="962">
        <f>D95-D92-D93</f>
        <v>0</v>
      </c>
      <c r="E94" s="962">
        <f>E95-E92-E93</f>
        <v>0</v>
      </c>
      <c r="F94" s="934" t="str">
        <f t="shared" si="49"/>
        <v>OK!</v>
      </c>
      <c r="G94" s="934" t="str">
        <f t="shared" si="49"/>
        <v>OK!</v>
      </c>
      <c r="H94" s="934" t="str">
        <f t="shared" si="49"/>
        <v>OK!</v>
      </c>
      <c r="I94" s="934" t="str">
        <f t="shared" si="49"/>
        <v>OK!</v>
      </c>
      <c r="J94" s="934" t="str">
        <f t="shared" si="49"/>
        <v>OK!</v>
      </c>
      <c r="K94" s="934" t="str">
        <f t="shared" si="49"/>
        <v>OK!</v>
      </c>
      <c r="L94" s="934" t="str">
        <f t="shared" si="49"/>
        <v>OK!</v>
      </c>
      <c r="M94" s="934" t="str">
        <f t="shared" si="49"/>
        <v>OK!</v>
      </c>
      <c r="N94" s="934" t="str">
        <f t="shared" si="49"/>
        <v>OK!</v>
      </c>
      <c r="O94" s="934" t="str">
        <f t="shared" si="49"/>
        <v>OK!</v>
      </c>
      <c r="P94" s="934" t="str">
        <f t="shared" si="49"/>
        <v>OK!</v>
      </c>
      <c r="Q94" s="934" t="str">
        <f t="shared" si="49"/>
        <v>OK!</v>
      </c>
      <c r="R94" s="934" t="str">
        <f t="shared" si="49"/>
        <v>OK!</v>
      </c>
      <c r="S94" s="934" t="str">
        <f t="shared" si="50"/>
        <v>OK!</v>
      </c>
      <c r="T94" s="934" t="str">
        <f t="shared" si="50"/>
        <v>OK!</v>
      </c>
    </row>
    <row r="95" spans="1:20" x14ac:dyDescent="0.15">
      <c r="A95" s="963" t="str">
        <f>A$11</f>
        <v>Tavanet e përgjithshme</v>
      </c>
      <c r="B95" s="964"/>
      <c r="C95" s="959">
        <f>C101+C107+C113+C119</f>
        <v>1710000</v>
      </c>
      <c r="D95" s="959">
        <f>D101+D107+D113+D119</f>
        <v>1725000</v>
      </c>
      <c r="E95" s="959">
        <f>E101+E107+E113+E119</f>
        <v>1770000</v>
      </c>
      <c r="F95" s="934" t="str">
        <f t="shared" si="49"/>
        <v>OK!</v>
      </c>
      <c r="G95" s="934" t="str">
        <f t="shared" si="49"/>
        <v>OK!</v>
      </c>
      <c r="H95" s="934" t="str">
        <f t="shared" si="49"/>
        <v>OK!</v>
      </c>
      <c r="I95" s="934" t="str">
        <f t="shared" si="49"/>
        <v>OK!</v>
      </c>
      <c r="J95" s="934" t="str">
        <f t="shared" si="49"/>
        <v>OK!</v>
      </c>
      <c r="K95" s="934" t="str">
        <f t="shared" si="49"/>
        <v>OK!</v>
      </c>
      <c r="L95" s="934" t="str">
        <f t="shared" si="49"/>
        <v>OK!</v>
      </c>
      <c r="M95" s="934" t="str">
        <f t="shared" si="49"/>
        <v>OK!</v>
      </c>
      <c r="N95" s="934" t="str">
        <f t="shared" si="49"/>
        <v>OK!</v>
      </c>
      <c r="O95" s="934" t="str">
        <f t="shared" si="49"/>
        <v>OK!</v>
      </c>
      <c r="P95" s="934" t="str">
        <f t="shared" si="49"/>
        <v>OK!</v>
      </c>
      <c r="Q95" s="934" t="str">
        <f t="shared" si="49"/>
        <v>OK!</v>
      </c>
      <c r="R95" s="934" t="str">
        <f t="shared" si="49"/>
        <v>OK!</v>
      </c>
      <c r="S95" s="934" t="str">
        <f t="shared" si="50"/>
        <v>OK!</v>
      </c>
      <c r="T95" s="934" t="str">
        <f t="shared" si="50"/>
        <v>OK!</v>
      </c>
    </row>
    <row r="96" spans="1:20" x14ac:dyDescent="0.15">
      <c r="A96" s="965" t="str">
        <f>A$12</f>
        <v>Angazhimet kujtesë</v>
      </c>
      <c r="B96" s="959"/>
      <c r="C96" s="959">
        <f>'(C5) Angazhimet'!D45</f>
        <v>0</v>
      </c>
      <c r="D96" s="962">
        <f>'(C5) Angazhimet'!E45</f>
        <v>0</v>
      </c>
      <c r="E96" s="962">
        <f>'(C5) Angazhimet'!F45</f>
        <v>0</v>
      </c>
      <c r="F96" s="934" t="str">
        <f>IF(C96&gt;C95,"STOPP!","OK!")</f>
        <v>OK!</v>
      </c>
      <c r="G96" s="934" t="str">
        <f t="shared" ref="G96:R96" si="51">IF(D96&lt;0,"STOPP!","OK!")</f>
        <v>OK!</v>
      </c>
      <c r="H96" s="934" t="str">
        <f t="shared" si="51"/>
        <v>OK!</v>
      </c>
      <c r="I96" s="934" t="str">
        <f t="shared" si="51"/>
        <v>OK!</v>
      </c>
      <c r="J96" s="934" t="str">
        <f t="shared" si="51"/>
        <v>OK!</v>
      </c>
      <c r="K96" s="934" t="str">
        <f t="shared" si="51"/>
        <v>OK!</v>
      </c>
      <c r="L96" s="934" t="str">
        <f t="shared" si="51"/>
        <v>OK!</v>
      </c>
      <c r="M96" s="934" t="str">
        <f t="shared" si="51"/>
        <v>OK!</v>
      </c>
      <c r="N96" s="934" t="str">
        <f t="shared" si="51"/>
        <v>OK!</v>
      </c>
      <c r="O96" s="934" t="str">
        <f t="shared" si="51"/>
        <v>OK!</v>
      </c>
      <c r="P96" s="934" t="str">
        <f t="shared" si="51"/>
        <v>OK!</v>
      </c>
      <c r="Q96" s="934" t="str">
        <f t="shared" si="51"/>
        <v>OK!</v>
      </c>
      <c r="R96" s="934" t="str">
        <f t="shared" si="51"/>
        <v>OK!</v>
      </c>
      <c r="S96" s="934" t="str">
        <f>IF(D96&gt;D95,"STOPP!","OK!")</f>
        <v>OK!</v>
      </c>
      <c r="T96" s="934" t="str">
        <f>IF(E96&gt;E95,"STOPP!","OK!")</f>
        <v>OK!</v>
      </c>
    </row>
    <row r="97" spans="1:20" ht="15.75" hidden="1" customHeight="1" x14ac:dyDescent="0.15">
      <c r="A97" s="1089" t="str">
        <f>'(B3) Struktura Funksionale'!B35</f>
        <v>04110</v>
      </c>
      <c r="B97" s="1079" t="str">
        <f>'(B3) Struktura Funksionale'!C35</f>
        <v xml:space="preserve">Çështjet e përgjithshme ekonomike dhe tregtare </v>
      </c>
      <c r="C97" s="1080"/>
      <c r="D97" s="1080"/>
      <c r="E97" s="1081"/>
      <c r="F97" s="934"/>
      <c r="G97" s="934"/>
      <c r="H97" s="934"/>
      <c r="I97" s="934"/>
      <c r="J97" s="934"/>
      <c r="K97" s="934"/>
      <c r="L97" s="934"/>
      <c r="M97" s="934"/>
      <c r="N97" s="934"/>
      <c r="O97" s="934"/>
      <c r="P97" s="934"/>
      <c r="Q97" s="934"/>
      <c r="R97" s="934"/>
      <c r="S97" s="934"/>
      <c r="T97" s="934"/>
    </row>
    <row r="98" spans="1:20" ht="12.75" hidden="1" customHeight="1" x14ac:dyDescent="0.15">
      <c r="A98" s="958" t="str">
        <f>A$8</f>
        <v>Pagat dhe sigurimet shoqërore</v>
      </c>
      <c r="B98" s="958"/>
      <c r="C98" s="966"/>
      <c r="D98" s="966"/>
      <c r="E98" s="966"/>
      <c r="F98" s="934" t="str">
        <f t="shared" ref="F98:R101" si="52">IF(C98&lt;0,"STOPP!","OK!")</f>
        <v>OK!</v>
      </c>
      <c r="G98" s="934" t="str">
        <f t="shared" si="52"/>
        <v>OK!</v>
      </c>
      <c r="H98" s="934" t="str">
        <f t="shared" si="52"/>
        <v>OK!</v>
      </c>
      <c r="I98" s="934" t="str">
        <f t="shared" si="52"/>
        <v>OK!</v>
      </c>
      <c r="J98" s="934" t="str">
        <f t="shared" si="52"/>
        <v>OK!</v>
      </c>
      <c r="K98" s="934" t="str">
        <f t="shared" si="52"/>
        <v>OK!</v>
      </c>
      <c r="L98" s="934" t="str">
        <f t="shared" si="52"/>
        <v>OK!</v>
      </c>
      <c r="M98" s="934" t="str">
        <f t="shared" si="52"/>
        <v>OK!</v>
      </c>
      <c r="N98" s="934" t="str">
        <f t="shared" si="52"/>
        <v>OK!</v>
      </c>
      <c r="O98" s="934" t="str">
        <f t="shared" si="52"/>
        <v>OK!</v>
      </c>
      <c r="P98" s="934" t="str">
        <f t="shared" si="52"/>
        <v>OK!</v>
      </c>
      <c r="Q98" s="934" t="str">
        <f t="shared" si="52"/>
        <v>OK!</v>
      </c>
      <c r="R98" s="934" t="str">
        <f t="shared" si="52"/>
        <v>OK!</v>
      </c>
      <c r="S98" s="934" t="str">
        <f t="shared" ref="S98:T101" si="53">IF(D98&lt;0,"STOPP!","OK!")</f>
        <v>OK!</v>
      </c>
      <c r="T98" s="934" t="str">
        <f t="shared" si="53"/>
        <v>OK!</v>
      </c>
    </row>
    <row r="99" spans="1:20" ht="12.75" hidden="1" customHeight="1" x14ac:dyDescent="0.15">
      <c r="A99" s="958" t="str">
        <f>A$9</f>
        <v>Të tjera shpenzime korrente</v>
      </c>
      <c r="B99" s="958"/>
      <c r="C99" s="967"/>
      <c r="D99" s="967"/>
      <c r="E99" s="967"/>
      <c r="F99" s="934" t="str">
        <f t="shared" si="52"/>
        <v>OK!</v>
      </c>
      <c r="G99" s="934" t="str">
        <f t="shared" si="52"/>
        <v>OK!</v>
      </c>
      <c r="H99" s="934" t="str">
        <f t="shared" si="52"/>
        <v>OK!</v>
      </c>
      <c r="I99" s="934" t="str">
        <f t="shared" si="52"/>
        <v>OK!</v>
      </c>
      <c r="J99" s="934" t="str">
        <f t="shared" si="52"/>
        <v>OK!</v>
      </c>
      <c r="K99" s="934" t="str">
        <f t="shared" si="52"/>
        <v>OK!</v>
      </c>
      <c r="L99" s="934" t="str">
        <f t="shared" si="52"/>
        <v>OK!</v>
      </c>
      <c r="M99" s="934" t="str">
        <f t="shared" si="52"/>
        <v>OK!</v>
      </c>
      <c r="N99" s="934" t="str">
        <f t="shared" si="52"/>
        <v>OK!</v>
      </c>
      <c r="O99" s="934" t="str">
        <f t="shared" si="52"/>
        <v>OK!</v>
      </c>
      <c r="P99" s="934" t="str">
        <f t="shared" si="52"/>
        <v>OK!</v>
      </c>
      <c r="Q99" s="934" t="str">
        <f t="shared" si="52"/>
        <v>OK!</v>
      </c>
      <c r="R99" s="934" t="str">
        <f t="shared" si="52"/>
        <v>OK!</v>
      </c>
      <c r="S99" s="934" t="str">
        <f t="shared" si="53"/>
        <v>OK!</v>
      </c>
      <c r="T99" s="934" t="str">
        <f t="shared" si="53"/>
        <v>OK!</v>
      </c>
    </row>
    <row r="100" spans="1:20" ht="12.75" hidden="1" customHeight="1" x14ac:dyDescent="0.15">
      <c r="A100" s="960" t="str">
        <f>A$10</f>
        <v>Shpenzimet kapitale</v>
      </c>
      <c r="B100" s="961"/>
      <c r="C100" s="959">
        <f>C101-C98-C99</f>
        <v>0</v>
      </c>
      <c r="D100" s="962">
        <f>D101-D98-D99</f>
        <v>0</v>
      </c>
      <c r="E100" s="962">
        <f>E101-E98-E99</f>
        <v>0</v>
      </c>
      <c r="F100" s="934" t="str">
        <f t="shared" si="52"/>
        <v>OK!</v>
      </c>
      <c r="G100" s="934" t="str">
        <f t="shared" si="52"/>
        <v>OK!</v>
      </c>
      <c r="H100" s="934" t="str">
        <f t="shared" si="52"/>
        <v>OK!</v>
      </c>
      <c r="I100" s="934" t="str">
        <f t="shared" si="52"/>
        <v>OK!</v>
      </c>
      <c r="J100" s="934" t="str">
        <f t="shared" si="52"/>
        <v>OK!</v>
      </c>
      <c r="K100" s="934" t="str">
        <f t="shared" si="52"/>
        <v>OK!</v>
      </c>
      <c r="L100" s="934" t="str">
        <f t="shared" si="52"/>
        <v>OK!</v>
      </c>
      <c r="M100" s="934" t="str">
        <f t="shared" si="52"/>
        <v>OK!</v>
      </c>
      <c r="N100" s="934" t="str">
        <f t="shared" si="52"/>
        <v>OK!</v>
      </c>
      <c r="O100" s="934" t="str">
        <f t="shared" si="52"/>
        <v>OK!</v>
      </c>
      <c r="P100" s="934" t="str">
        <f t="shared" si="52"/>
        <v>OK!</v>
      </c>
      <c r="Q100" s="934" t="str">
        <f t="shared" si="52"/>
        <v>OK!</v>
      </c>
      <c r="R100" s="934" t="str">
        <f t="shared" si="52"/>
        <v>OK!</v>
      </c>
      <c r="S100" s="934" t="str">
        <f t="shared" si="53"/>
        <v>OK!</v>
      </c>
      <c r="T100" s="934" t="str">
        <f t="shared" si="53"/>
        <v>OK!</v>
      </c>
    </row>
    <row r="101" spans="1:20" ht="12.75" hidden="1" customHeight="1" x14ac:dyDescent="0.15">
      <c r="A101" s="963" t="str">
        <f>A$11</f>
        <v>Tavanet e përgjithshme</v>
      </c>
      <c r="B101" s="964"/>
      <c r="C101" s="968"/>
      <c r="D101" s="969"/>
      <c r="E101" s="969"/>
      <c r="F101" s="934" t="str">
        <f t="shared" si="52"/>
        <v>OK!</v>
      </c>
      <c r="G101" s="934" t="str">
        <f t="shared" si="52"/>
        <v>OK!</v>
      </c>
      <c r="H101" s="934" t="str">
        <f t="shared" si="52"/>
        <v>OK!</v>
      </c>
      <c r="I101" s="934" t="str">
        <f t="shared" si="52"/>
        <v>OK!</v>
      </c>
      <c r="J101" s="934" t="str">
        <f t="shared" si="52"/>
        <v>OK!</v>
      </c>
      <c r="K101" s="934" t="str">
        <f t="shared" si="52"/>
        <v>OK!</v>
      </c>
      <c r="L101" s="934" t="str">
        <f t="shared" si="52"/>
        <v>OK!</v>
      </c>
      <c r="M101" s="934" t="str">
        <f t="shared" si="52"/>
        <v>OK!</v>
      </c>
      <c r="N101" s="934" t="str">
        <f t="shared" si="52"/>
        <v>OK!</v>
      </c>
      <c r="O101" s="934" t="str">
        <f t="shared" si="52"/>
        <v>OK!</v>
      </c>
      <c r="P101" s="934" t="str">
        <f t="shared" si="52"/>
        <v>OK!</v>
      </c>
      <c r="Q101" s="934" t="str">
        <f t="shared" si="52"/>
        <v>OK!</v>
      </c>
      <c r="R101" s="934" t="str">
        <f t="shared" si="52"/>
        <v>OK!</v>
      </c>
      <c r="S101" s="934" t="str">
        <f t="shared" si="53"/>
        <v>OK!</v>
      </c>
      <c r="T101" s="934" t="str">
        <f t="shared" si="53"/>
        <v>OK!</v>
      </c>
    </row>
    <row r="102" spans="1:20" ht="12.75" hidden="1" customHeight="1" x14ac:dyDescent="0.15">
      <c r="A102" s="965" t="str">
        <f>A$12</f>
        <v>Angazhimet kujtesë</v>
      </c>
      <c r="B102" s="959"/>
      <c r="C102" s="959">
        <f>'(C5) Angazhimet'!D39</f>
        <v>0</v>
      </c>
      <c r="D102" s="959">
        <f>'(C5) Angazhimet'!E39</f>
        <v>0</v>
      </c>
      <c r="E102" s="959">
        <f>'(C5) Angazhimet'!F39</f>
        <v>0</v>
      </c>
      <c r="F102" s="934" t="str">
        <f>IF(C102&gt;C101,"STOPP!","OK!")</f>
        <v>OK!</v>
      </c>
      <c r="G102" s="934" t="str">
        <f t="shared" ref="G102:R102" si="54">IF(D102&lt;0,"STOPP!","OK!")</f>
        <v>OK!</v>
      </c>
      <c r="H102" s="934" t="str">
        <f t="shared" si="54"/>
        <v>OK!</v>
      </c>
      <c r="I102" s="934" t="str">
        <f t="shared" si="54"/>
        <v>OK!</v>
      </c>
      <c r="J102" s="934" t="str">
        <f t="shared" si="54"/>
        <v>OK!</v>
      </c>
      <c r="K102" s="934" t="str">
        <f t="shared" si="54"/>
        <v>OK!</v>
      </c>
      <c r="L102" s="934" t="str">
        <f t="shared" si="54"/>
        <v>OK!</v>
      </c>
      <c r="M102" s="934" t="str">
        <f t="shared" si="54"/>
        <v>OK!</v>
      </c>
      <c r="N102" s="934" t="str">
        <f t="shared" si="54"/>
        <v>OK!</v>
      </c>
      <c r="O102" s="934" t="str">
        <f t="shared" si="54"/>
        <v>OK!</v>
      </c>
      <c r="P102" s="934" t="str">
        <f t="shared" si="54"/>
        <v>OK!</v>
      </c>
      <c r="Q102" s="934" t="str">
        <f t="shared" si="54"/>
        <v>OK!</v>
      </c>
      <c r="R102" s="934" t="str">
        <f t="shared" si="54"/>
        <v>OK!</v>
      </c>
      <c r="S102" s="934" t="str">
        <f>IF(D102&gt;D101,"STOPP!","OK!")</f>
        <v>OK!</v>
      </c>
      <c r="T102" s="934" t="str">
        <f>IF(E102&gt;E101,"STOPP!","OK!")</f>
        <v>OK!</v>
      </c>
    </row>
    <row r="103" spans="1:20" ht="18.75" customHeight="1" x14ac:dyDescent="0.15">
      <c r="A103" s="1021" t="str">
        <f>'(B3) Struktura Funksionale'!B36</f>
        <v>04130</v>
      </c>
      <c r="B103" s="1079" t="str">
        <f>'(B3) Struktura Funksionale'!C36</f>
        <v>Mbështetje për zhvillimin ekonomik</v>
      </c>
      <c r="C103" s="1080"/>
      <c r="D103" s="1080"/>
      <c r="E103" s="1081"/>
      <c r="F103" s="934"/>
      <c r="G103" s="934"/>
      <c r="H103" s="934"/>
      <c r="I103" s="934"/>
      <c r="J103" s="934"/>
      <c r="K103" s="934"/>
      <c r="L103" s="934"/>
      <c r="M103" s="934"/>
      <c r="N103" s="934"/>
      <c r="O103" s="934"/>
      <c r="P103" s="934"/>
      <c r="Q103" s="934"/>
      <c r="R103" s="934"/>
      <c r="S103" s="934"/>
      <c r="T103" s="934"/>
    </row>
    <row r="104" spans="1:20" x14ac:dyDescent="0.15">
      <c r="A104" s="958" t="str">
        <f>A$8</f>
        <v>Pagat dhe sigurimet shoqërore</v>
      </c>
      <c r="B104" s="958"/>
      <c r="C104" s="966">
        <v>1650000</v>
      </c>
      <c r="D104" s="966">
        <v>1660000</v>
      </c>
      <c r="E104" s="966">
        <v>1700000</v>
      </c>
      <c r="F104" s="934" t="str">
        <f t="shared" ref="F104:R107" si="55">IF(C104&lt;0,"STOPP!","OK!")</f>
        <v>OK!</v>
      </c>
      <c r="G104" s="934" t="str">
        <f t="shared" si="55"/>
        <v>OK!</v>
      </c>
      <c r="H104" s="934" t="str">
        <f t="shared" si="55"/>
        <v>OK!</v>
      </c>
      <c r="I104" s="934" t="str">
        <f t="shared" si="55"/>
        <v>OK!</v>
      </c>
      <c r="J104" s="934" t="str">
        <f t="shared" si="55"/>
        <v>OK!</v>
      </c>
      <c r="K104" s="934" t="str">
        <f t="shared" si="55"/>
        <v>OK!</v>
      </c>
      <c r="L104" s="934" t="str">
        <f t="shared" si="55"/>
        <v>OK!</v>
      </c>
      <c r="M104" s="934" t="str">
        <f t="shared" si="55"/>
        <v>OK!</v>
      </c>
      <c r="N104" s="934" t="str">
        <f t="shared" si="55"/>
        <v>OK!</v>
      </c>
      <c r="O104" s="934" t="str">
        <f t="shared" si="55"/>
        <v>OK!</v>
      </c>
      <c r="P104" s="934" t="str">
        <f t="shared" si="55"/>
        <v>OK!</v>
      </c>
      <c r="Q104" s="934" t="str">
        <f t="shared" si="55"/>
        <v>OK!</v>
      </c>
      <c r="R104" s="934" t="str">
        <f t="shared" si="55"/>
        <v>OK!</v>
      </c>
      <c r="S104" s="934" t="str">
        <f t="shared" ref="S104:T107" si="56">IF(D104&lt;0,"STOPP!","OK!")</f>
        <v>OK!</v>
      </c>
      <c r="T104" s="934" t="str">
        <f t="shared" si="56"/>
        <v>OK!</v>
      </c>
    </row>
    <row r="105" spans="1:20" x14ac:dyDescent="0.15">
      <c r="A105" s="958" t="str">
        <f>A$9</f>
        <v>Të tjera shpenzime korrente</v>
      </c>
      <c r="B105" s="958"/>
      <c r="C105" s="967">
        <v>60000</v>
      </c>
      <c r="D105" s="967">
        <v>65000</v>
      </c>
      <c r="E105" s="967">
        <v>70000</v>
      </c>
      <c r="F105" s="934" t="str">
        <f t="shared" si="55"/>
        <v>OK!</v>
      </c>
      <c r="G105" s="934" t="str">
        <f t="shared" si="55"/>
        <v>OK!</v>
      </c>
      <c r="H105" s="934" t="str">
        <f t="shared" si="55"/>
        <v>OK!</v>
      </c>
      <c r="I105" s="934" t="str">
        <f t="shared" si="55"/>
        <v>OK!</v>
      </c>
      <c r="J105" s="934" t="str">
        <f t="shared" si="55"/>
        <v>OK!</v>
      </c>
      <c r="K105" s="934" t="str">
        <f t="shared" si="55"/>
        <v>OK!</v>
      </c>
      <c r="L105" s="934" t="str">
        <f t="shared" si="55"/>
        <v>OK!</v>
      </c>
      <c r="M105" s="934" t="str">
        <f t="shared" si="55"/>
        <v>OK!</v>
      </c>
      <c r="N105" s="934" t="str">
        <f t="shared" si="55"/>
        <v>OK!</v>
      </c>
      <c r="O105" s="934" t="str">
        <f t="shared" si="55"/>
        <v>OK!</v>
      </c>
      <c r="P105" s="934" t="str">
        <f t="shared" si="55"/>
        <v>OK!</v>
      </c>
      <c r="Q105" s="934" t="str">
        <f t="shared" si="55"/>
        <v>OK!</v>
      </c>
      <c r="R105" s="934" t="str">
        <f t="shared" si="55"/>
        <v>OK!</v>
      </c>
      <c r="S105" s="934" t="str">
        <f t="shared" si="56"/>
        <v>OK!</v>
      </c>
      <c r="T105" s="934" t="str">
        <f t="shared" si="56"/>
        <v>OK!</v>
      </c>
    </row>
    <row r="106" spans="1:20" x14ac:dyDescent="0.15">
      <c r="A106" s="960" t="str">
        <f>A$10</f>
        <v>Shpenzimet kapitale</v>
      </c>
      <c r="B106" s="961"/>
      <c r="C106" s="959">
        <f>C107-C104-C105</f>
        <v>0</v>
      </c>
      <c r="D106" s="962">
        <f>D107-D104-D105</f>
        <v>0</v>
      </c>
      <c r="E106" s="962">
        <f>E107-E104-E105</f>
        <v>0</v>
      </c>
      <c r="F106" s="934" t="str">
        <f t="shared" si="55"/>
        <v>OK!</v>
      </c>
      <c r="G106" s="934" t="str">
        <f t="shared" si="55"/>
        <v>OK!</v>
      </c>
      <c r="H106" s="934" t="str">
        <f t="shared" si="55"/>
        <v>OK!</v>
      </c>
      <c r="I106" s="934" t="str">
        <f t="shared" si="55"/>
        <v>OK!</v>
      </c>
      <c r="J106" s="934" t="str">
        <f t="shared" si="55"/>
        <v>OK!</v>
      </c>
      <c r="K106" s="934" t="str">
        <f t="shared" si="55"/>
        <v>OK!</v>
      </c>
      <c r="L106" s="934" t="str">
        <f t="shared" si="55"/>
        <v>OK!</v>
      </c>
      <c r="M106" s="934" t="str">
        <f t="shared" si="55"/>
        <v>OK!</v>
      </c>
      <c r="N106" s="934" t="str">
        <f t="shared" si="55"/>
        <v>OK!</v>
      </c>
      <c r="O106" s="934" t="str">
        <f t="shared" si="55"/>
        <v>OK!</v>
      </c>
      <c r="P106" s="934" t="str">
        <f t="shared" si="55"/>
        <v>OK!</v>
      </c>
      <c r="Q106" s="934" t="str">
        <f t="shared" si="55"/>
        <v>OK!</v>
      </c>
      <c r="R106" s="934" t="str">
        <f t="shared" si="55"/>
        <v>OK!</v>
      </c>
      <c r="S106" s="934" t="str">
        <f t="shared" si="56"/>
        <v>OK!</v>
      </c>
      <c r="T106" s="934" t="str">
        <f t="shared" si="56"/>
        <v>OK!</v>
      </c>
    </row>
    <row r="107" spans="1:20" x14ac:dyDescent="0.15">
      <c r="A107" s="963" t="str">
        <f>A$11</f>
        <v>Tavanet e përgjithshme</v>
      </c>
      <c r="B107" s="964"/>
      <c r="C107" s="968">
        <v>1710000</v>
      </c>
      <c r="D107" s="968">
        <v>1725000</v>
      </c>
      <c r="E107" s="968">
        <v>1770000</v>
      </c>
      <c r="F107" s="934" t="str">
        <f t="shared" si="55"/>
        <v>OK!</v>
      </c>
      <c r="G107" s="934" t="str">
        <f t="shared" si="55"/>
        <v>OK!</v>
      </c>
      <c r="H107" s="934" t="str">
        <f t="shared" si="55"/>
        <v>OK!</v>
      </c>
      <c r="I107" s="934" t="str">
        <f t="shared" si="55"/>
        <v>OK!</v>
      </c>
      <c r="J107" s="934" t="str">
        <f t="shared" si="55"/>
        <v>OK!</v>
      </c>
      <c r="K107" s="934" t="str">
        <f t="shared" si="55"/>
        <v>OK!</v>
      </c>
      <c r="L107" s="934" t="str">
        <f t="shared" si="55"/>
        <v>OK!</v>
      </c>
      <c r="M107" s="934" t="str">
        <f t="shared" si="55"/>
        <v>OK!</v>
      </c>
      <c r="N107" s="934" t="str">
        <f t="shared" si="55"/>
        <v>OK!</v>
      </c>
      <c r="O107" s="934" t="str">
        <f t="shared" si="55"/>
        <v>OK!</v>
      </c>
      <c r="P107" s="934" t="str">
        <f t="shared" si="55"/>
        <v>OK!</v>
      </c>
      <c r="Q107" s="934" t="str">
        <f t="shared" si="55"/>
        <v>OK!</v>
      </c>
      <c r="R107" s="934" t="str">
        <f t="shared" si="55"/>
        <v>OK!</v>
      </c>
      <c r="S107" s="934" t="str">
        <f t="shared" si="56"/>
        <v>OK!</v>
      </c>
      <c r="T107" s="934" t="str">
        <f t="shared" si="56"/>
        <v>OK!</v>
      </c>
    </row>
    <row r="108" spans="1:20" x14ac:dyDescent="0.15">
      <c r="A108" s="965" t="str">
        <f>A$12</f>
        <v>Angazhimet kujtesë</v>
      </c>
      <c r="B108" s="959"/>
      <c r="C108" s="959">
        <f>'(C5) Angazhimet'!D40</f>
        <v>0</v>
      </c>
      <c r="D108" s="959">
        <f>'(C5) Angazhimet'!E40</f>
        <v>0</v>
      </c>
      <c r="E108" s="959">
        <f>'(C5) Angazhimet'!F40</f>
        <v>0</v>
      </c>
      <c r="F108" s="934" t="str">
        <f>IF(C108&gt;C107,"STOPP!","OK!")</f>
        <v>OK!</v>
      </c>
      <c r="G108" s="934" t="str">
        <f t="shared" ref="G108:R108" si="57">IF(D108&lt;0,"STOPP!","OK!")</f>
        <v>OK!</v>
      </c>
      <c r="H108" s="934" t="str">
        <f t="shared" si="57"/>
        <v>OK!</v>
      </c>
      <c r="I108" s="934" t="str">
        <f t="shared" si="57"/>
        <v>OK!</v>
      </c>
      <c r="J108" s="934" t="str">
        <f t="shared" si="57"/>
        <v>OK!</v>
      </c>
      <c r="K108" s="934" t="str">
        <f t="shared" si="57"/>
        <v>OK!</v>
      </c>
      <c r="L108" s="934" t="str">
        <f t="shared" si="57"/>
        <v>OK!</v>
      </c>
      <c r="M108" s="934" t="str">
        <f t="shared" si="57"/>
        <v>OK!</v>
      </c>
      <c r="N108" s="934" t="str">
        <f t="shared" si="57"/>
        <v>OK!</v>
      </c>
      <c r="O108" s="934" t="str">
        <f t="shared" si="57"/>
        <v>OK!</v>
      </c>
      <c r="P108" s="934" t="str">
        <f t="shared" si="57"/>
        <v>OK!</v>
      </c>
      <c r="Q108" s="934" t="str">
        <f t="shared" si="57"/>
        <v>OK!</v>
      </c>
      <c r="R108" s="934" t="str">
        <f t="shared" si="57"/>
        <v>OK!</v>
      </c>
      <c r="S108" s="934" t="str">
        <f>IF(D108&gt;D107,"STOPP!","OK!")</f>
        <v>OK!</v>
      </c>
      <c r="T108" s="934" t="str">
        <f>IF(E108&gt;E107,"STOPP!","OK!")</f>
        <v>OK!</v>
      </c>
    </row>
    <row r="109" spans="1:20" ht="18.75" hidden="1" customHeight="1" x14ac:dyDescent="0.15">
      <c r="A109" s="1089" t="str">
        <f>'(B3) Struktura Funksionale'!B38</f>
        <v>04132</v>
      </c>
      <c r="B109" s="1079" t="str">
        <f>'(B3) Struktura Funksionale'!C38</f>
        <v>Mbështetja e Zhvillimit rajonal</v>
      </c>
      <c r="C109" s="1080"/>
      <c r="D109" s="1080"/>
      <c r="E109" s="1081"/>
      <c r="F109" s="934"/>
      <c r="G109" s="934"/>
      <c r="H109" s="934"/>
      <c r="I109" s="934"/>
      <c r="J109" s="934"/>
      <c r="K109" s="934"/>
      <c r="L109" s="934"/>
      <c r="M109" s="934"/>
      <c r="N109" s="934"/>
      <c r="O109" s="934"/>
      <c r="P109" s="934"/>
      <c r="Q109" s="934"/>
      <c r="R109" s="934"/>
      <c r="S109" s="934"/>
      <c r="T109" s="934"/>
    </row>
    <row r="110" spans="1:20" ht="12.75" hidden="1" customHeight="1" x14ac:dyDescent="0.15">
      <c r="A110" s="958" t="str">
        <f>A$8</f>
        <v>Pagat dhe sigurimet shoqërore</v>
      </c>
      <c r="B110" s="958"/>
      <c r="C110" s="966"/>
      <c r="D110" s="966"/>
      <c r="E110" s="966"/>
      <c r="F110" s="934" t="str">
        <f t="shared" ref="F110:R113" si="58">IF(C110&lt;0,"STOPP!","OK!")</f>
        <v>OK!</v>
      </c>
      <c r="G110" s="934" t="str">
        <f t="shared" si="58"/>
        <v>OK!</v>
      </c>
      <c r="H110" s="934" t="str">
        <f t="shared" si="58"/>
        <v>OK!</v>
      </c>
      <c r="I110" s="934" t="str">
        <f t="shared" si="58"/>
        <v>OK!</v>
      </c>
      <c r="J110" s="934" t="str">
        <f t="shared" si="58"/>
        <v>OK!</v>
      </c>
      <c r="K110" s="934" t="str">
        <f t="shared" si="58"/>
        <v>OK!</v>
      </c>
      <c r="L110" s="934" t="str">
        <f t="shared" si="58"/>
        <v>OK!</v>
      </c>
      <c r="M110" s="934" t="str">
        <f t="shared" si="58"/>
        <v>OK!</v>
      </c>
      <c r="N110" s="934" t="str">
        <f t="shared" si="58"/>
        <v>OK!</v>
      </c>
      <c r="O110" s="934" t="str">
        <f t="shared" si="58"/>
        <v>OK!</v>
      </c>
      <c r="P110" s="934" t="str">
        <f t="shared" si="58"/>
        <v>OK!</v>
      </c>
      <c r="Q110" s="934" t="str">
        <f t="shared" si="58"/>
        <v>OK!</v>
      </c>
      <c r="R110" s="934" t="str">
        <f t="shared" si="58"/>
        <v>OK!</v>
      </c>
      <c r="S110" s="934" t="str">
        <f t="shared" ref="S110:T113" si="59">IF(D110&lt;0,"STOPP!","OK!")</f>
        <v>OK!</v>
      </c>
      <c r="T110" s="934" t="str">
        <f t="shared" si="59"/>
        <v>OK!</v>
      </c>
    </row>
    <row r="111" spans="1:20" ht="12.75" hidden="1" customHeight="1" x14ac:dyDescent="0.15">
      <c r="A111" s="958" t="str">
        <f>A$9</f>
        <v>Të tjera shpenzime korrente</v>
      </c>
      <c r="B111" s="958"/>
      <c r="C111" s="967"/>
      <c r="D111" s="967"/>
      <c r="E111" s="967"/>
      <c r="F111" s="934" t="str">
        <f t="shared" si="58"/>
        <v>OK!</v>
      </c>
      <c r="G111" s="934" t="str">
        <f t="shared" si="58"/>
        <v>OK!</v>
      </c>
      <c r="H111" s="934" t="str">
        <f t="shared" si="58"/>
        <v>OK!</v>
      </c>
      <c r="I111" s="934" t="str">
        <f t="shared" si="58"/>
        <v>OK!</v>
      </c>
      <c r="J111" s="934" t="str">
        <f t="shared" si="58"/>
        <v>OK!</v>
      </c>
      <c r="K111" s="934" t="str">
        <f t="shared" si="58"/>
        <v>OK!</v>
      </c>
      <c r="L111" s="934" t="str">
        <f t="shared" si="58"/>
        <v>OK!</v>
      </c>
      <c r="M111" s="934" t="str">
        <f t="shared" si="58"/>
        <v>OK!</v>
      </c>
      <c r="N111" s="934" t="str">
        <f t="shared" si="58"/>
        <v>OK!</v>
      </c>
      <c r="O111" s="934" t="str">
        <f t="shared" si="58"/>
        <v>OK!</v>
      </c>
      <c r="P111" s="934" t="str">
        <f t="shared" si="58"/>
        <v>OK!</v>
      </c>
      <c r="Q111" s="934" t="str">
        <f t="shared" si="58"/>
        <v>OK!</v>
      </c>
      <c r="R111" s="934" t="str">
        <f t="shared" si="58"/>
        <v>OK!</v>
      </c>
      <c r="S111" s="934" t="str">
        <f t="shared" si="59"/>
        <v>OK!</v>
      </c>
      <c r="T111" s="934" t="str">
        <f t="shared" si="59"/>
        <v>OK!</v>
      </c>
    </row>
    <row r="112" spans="1:20" ht="12.75" hidden="1" customHeight="1" x14ac:dyDescent="0.15">
      <c r="A112" s="960" t="str">
        <f>A$10</f>
        <v>Shpenzimet kapitale</v>
      </c>
      <c r="B112" s="961"/>
      <c r="C112" s="959">
        <f>C113-C110-C111</f>
        <v>0</v>
      </c>
      <c r="D112" s="962">
        <f>D113-D110-D111</f>
        <v>0</v>
      </c>
      <c r="E112" s="962">
        <f>E113-E110-E111</f>
        <v>0</v>
      </c>
      <c r="F112" s="934" t="str">
        <f t="shared" si="58"/>
        <v>OK!</v>
      </c>
      <c r="G112" s="934" t="str">
        <f t="shared" si="58"/>
        <v>OK!</v>
      </c>
      <c r="H112" s="934" t="str">
        <f t="shared" si="58"/>
        <v>OK!</v>
      </c>
      <c r="I112" s="934" t="str">
        <f t="shared" si="58"/>
        <v>OK!</v>
      </c>
      <c r="J112" s="934" t="str">
        <f t="shared" si="58"/>
        <v>OK!</v>
      </c>
      <c r="K112" s="934" t="str">
        <f t="shared" si="58"/>
        <v>OK!</v>
      </c>
      <c r="L112" s="934" t="str">
        <f t="shared" si="58"/>
        <v>OK!</v>
      </c>
      <c r="M112" s="934" t="str">
        <f t="shared" si="58"/>
        <v>OK!</v>
      </c>
      <c r="N112" s="934" t="str">
        <f t="shared" si="58"/>
        <v>OK!</v>
      </c>
      <c r="O112" s="934" t="str">
        <f t="shared" si="58"/>
        <v>OK!</v>
      </c>
      <c r="P112" s="934" t="str">
        <f t="shared" si="58"/>
        <v>OK!</v>
      </c>
      <c r="Q112" s="934" t="str">
        <f t="shared" si="58"/>
        <v>OK!</v>
      </c>
      <c r="R112" s="934" t="str">
        <f t="shared" si="58"/>
        <v>OK!</v>
      </c>
      <c r="S112" s="934" t="str">
        <f t="shared" si="59"/>
        <v>OK!</v>
      </c>
      <c r="T112" s="934" t="str">
        <f t="shared" si="59"/>
        <v>OK!</v>
      </c>
    </row>
    <row r="113" spans="1:20" ht="12.75" hidden="1" customHeight="1" x14ac:dyDescent="0.15">
      <c r="A113" s="963" t="str">
        <f>A$11</f>
        <v>Tavanet e përgjithshme</v>
      </c>
      <c r="B113" s="964"/>
      <c r="C113" s="968"/>
      <c r="D113" s="969"/>
      <c r="E113" s="969"/>
      <c r="F113" s="934" t="str">
        <f t="shared" si="58"/>
        <v>OK!</v>
      </c>
      <c r="G113" s="934" t="str">
        <f t="shared" si="58"/>
        <v>OK!</v>
      </c>
      <c r="H113" s="934" t="str">
        <f t="shared" si="58"/>
        <v>OK!</v>
      </c>
      <c r="I113" s="934" t="str">
        <f t="shared" si="58"/>
        <v>OK!</v>
      </c>
      <c r="J113" s="934" t="str">
        <f t="shared" si="58"/>
        <v>OK!</v>
      </c>
      <c r="K113" s="934" t="str">
        <f t="shared" si="58"/>
        <v>OK!</v>
      </c>
      <c r="L113" s="934" t="str">
        <f t="shared" si="58"/>
        <v>OK!</v>
      </c>
      <c r="M113" s="934" t="str">
        <f t="shared" si="58"/>
        <v>OK!</v>
      </c>
      <c r="N113" s="934" t="str">
        <f t="shared" si="58"/>
        <v>OK!</v>
      </c>
      <c r="O113" s="934" t="str">
        <f t="shared" si="58"/>
        <v>OK!</v>
      </c>
      <c r="P113" s="934" t="str">
        <f t="shared" si="58"/>
        <v>OK!</v>
      </c>
      <c r="Q113" s="934" t="str">
        <f t="shared" si="58"/>
        <v>OK!</v>
      </c>
      <c r="R113" s="934" t="str">
        <f t="shared" si="58"/>
        <v>OK!</v>
      </c>
      <c r="S113" s="934" t="str">
        <f t="shared" si="59"/>
        <v>OK!</v>
      </c>
      <c r="T113" s="934" t="str">
        <f t="shared" si="59"/>
        <v>OK!</v>
      </c>
    </row>
    <row r="114" spans="1:20" ht="12.75" hidden="1" customHeight="1" x14ac:dyDescent="0.15">
      <c r="A114" s="965" t="str">
        <f>A$12</f>
        <v>Angazhimet kujtesë</v>
      </c>
      <c r="B114" s="959"/>
      <c r="C114" s="959">
        <f>'(C5) Angazhimet'!D42</f>
        <v>0</v>
      </c>
      <c r="D114" s="959">
        <f>'(C5) Angazhimet'!E42</f>
        <v>0</v>
      </c>
      <c r="E114" s="959">
        <f>'(C5) Angazhimet'!F42</f>
        <v>0</v>
      </c>
      <c r="F114" s="934" t="str">
        <f>IF(C114&gt;C113,"STOPP!","OK!")</f>
        <v>OK!</v>
      </c>
      <c r="G114" s="934" t="str">
        <f t="shared" ref="G114:R114" si="60">IF(D114&lt;0,"STOPP!","OK!")</f>
        <v>OK!</v>
      </c>
      <c r="H114" s="934" t="str">
        <f t="shared" si="60"/>
        <v>OK!</v>
      </c>
      <c r="I114" s="934" t="str">
        <f t="shared" si="60"/>
        <v>OK!</v>
      </c>
      <c r="J114" s="934" t="str">
        <f t="shared" si="60"/>
        <v>OK!</v>
      </c>
      <c r="K114" s="934" t="str">
        <f t="shared" si="60"/>
        <v>OK!</v>
      </c>
      <c r="L114" s="934" t="str">
        <f t="shared" si="60"/>
        <v>OK!</v>
      </c>
      <c r="M114" s="934" t="str">
        <f t="shared" si="60"/>
        <v>OK!</v>
      </c>
      <c r="N114" s="934" t="str">
        <f t="shared" si="60"/>
        <v>OK!</v>
      </c>
      <c r="O114" s="934" t="str">
        <f t="shared" si="60"/>
        <v>OK!</v>
      </c>
      <c r="P114" s="934" t="str">
        <f t="shared" si="60"/>
        <v>OK!</v>
      </c>
      <c r="Q114" s="934" t="str">
        <f t="shared" si="60"/>
        <v>OK!</v>
      </c>
      <c r="R114" s="934" t="str">
        <f t="shared" si="60"/>
        <v>OK!</v>
      </c>
      <c r="S114" s="934" t="str">
        <f>IF(D114&gt;D113,"STOPP!","OK!")</f>
        <v>OK!</v>
      </c>
      <c r="T114" s="934" t="str">
        <f>IF(E114&gt;E113,"STOPP!","OK!")</f>
        <v>OK!</v>
      </c>
    </row>
    <row r="115" spans="1:20" ht="18.75" customHeight="1" x14ac:dyDescent="0.15">
      <c r="A115" s="1089" t="str">
        <f>'(B3) Struktura Funksionale'!B39</f>
        <v>04160</v>
      </c>
      <c r="B115" s="1079" t="str">
        <f>'(B3) Struktura Funksionale'!C39</f>
        <v>Shërbimet e tregjeve, akreditimi dhe inspektimi</v>
      </c>
      <c r="C115" s="1080"/>
      <c r="D115" s="1080"/>
      <c r="E115" s="1081"/>
      <c r="F115" s="934"/>
      <c r="G115" s="934"/>
      <c r="H115" s="934"/>
      <c r="I115" s="934"/>
      <c r="J115" s="934"/>
      <c r="K115" s="934"/>
      <c r="L115" s="934"/>
      <c r="M115" s="934"/>
      <c r="N115" s="934"/>
      <c r="O115" s="934"/>
      <c r="P115" s="934"/>
      <c r="Q115" s="934"/>
      <c r="R115" s="934"/>
      <c r="S115" s="934"/>
      <c r="T115" s="934"/>
    </row>
    <row r="116" spans="1:20" x14ac:dyDescent="0.15">
      <c r="A116" s="958" t="str">
        <f>A$8</f>
        <v>Pagat dhe sigurimet shoqërore</v>
      </c>
      <c r="B116" s="958"/>
      <c r="C116" s="966"/>
      <c r="D116" s="966"/>
      <c r="E116" s="966"/>
      <c r="F116" s="934" t="str">
        <f t="shared" ref="F116:R119" si="61">IF(C116&lt;0,"STOPP!","OK!")</f>
        <v>OK!</v>
      </c>
      <c r="G116" s="934" t="str">
        <f t="shared" si="61"/>
        <v>OK!</v>
      </c>
      <c r="H116" s="934" t="str">
        <f t="shared" si="61"/>
        <v>OK!</v>
      </c>
      <c r="I116" s="934" t="str">
        <f t="shared" si="61"/>
        <v>OK!</v>
      </c>
      <c r="J116" s="934" t="str">
        <f t="shared" si="61"/>
        <v>OK!</v>
      </c>
      <c r="K116" s="934" t="str">
        <f t="shared" si="61"/>
        <v>OK!</v>
      </c>
      <c r="L116" s="934" t="str">
        <f t="shared" si="61"/>
        <v>OK!</v>
      </c>
      <c r="M116" s="934" t="str">
        <f t="shared" si="61"/>
        <v>OK!</v>
      </c>
      <c r="N116" s="934" t="str">
        <f t="shared" si="61"/>
        <v>OK!</v>
      </c>
      <c r="O116" s="934" t="str">
        <f t="shared" si="61"/>
        <v>OK!</v>
      </c>
      <c r="P116" s="934" t="str">
        <f t="shared" si="61"/>
        <v>OK!</v>
      </c>
      <c r="Q116" s="934" t="str">
        <f t="shared" si="61"/>
        <v>OK!</v>
      </c>
      <c r="R116" s="934" t="str">
        <f t="shared" si="61"/>
        <v>OK!</v>
      </c>
      <c r="S116" s="934" t="str">
        <f t="shared" ref="S116:T119" si="62">IF(D116&lt;0,"STOPP!","OK!")</f>
        <v>OK!</v>
      </c>
      <c r="T116" s="934" t="str">
        <f t="shared" si="62"/>
        <v>OK!</v>
      </c>
    </row>
    <row r="117" spans="1:20" x14ac:dyDescent="0.15">
      <c r="A117" s="958" t="str">
        <f>A$9</f>
        <v>Të tjera shpenzime korrente</v>
      </c>
      <c r="B117" s="958"/>
      <c r="C117" s="967"/>
      <c r="D117" s="967"/>
      <c r="E117" s="967"/>
      <c r="F117" s="934" t="str">
        <f t="shared" si="61"/>
        <v>OK!</v>
      </c>
      <c r="G117" s="934" t="str">
        <f t="shared" si="61"/>
        <v>OK!</v>
      </c>
      <c r="H117" s="934" t="str">
        <f t="shared" si="61"/>
        <v>OK!</v>
      </c>
      <c r="I117" s="934" t="str">
        <f t="shared" si="61"/>
        <v>OK!</v>
      </c>
      <c r="J117" s="934" t="str">
        <f t="shared" si="61"/>
        <v>OK!</v>
      </c>
      <c r="K117" s="934" t="str">
        <f t="shared" si="61"/>
        <v>OK!</v>
      </c>
      <c r="L117" s="934" t="str">
        <f t="shared" si="61"/>
        <v>OK!</v>
      </c>
      <c r="M117" s="934" t="str">
        <f t="shared" si="61"/>
        <v>OK!</v>
      </c>
      <c r="N117" s="934" t="str">
        <f t="shared" si="61"/>
        <v>OK!</v>
      </c>
      <c r="O117" s="934" t="str">
        <f t="shared" si="61"/>
        <v>OK!</v>
      </c>
      <c r="P117" s="934" t="str">
        <f t="shared" si="61"/>
        <v>OK!</v>
      </c>
      <c r="Q117" s="934" t="str">
        <f t="shared" si="61"/>
        <v>OK!</v>
      </c>
      <c r="R117" s="934" t="str">
        <f t="shared" si="61"/>
        <v>OK!</v>
      </c>
      <c r="S117" s="934" t="str">
        <f t="shared" si="62"/>
        <v>OK!</v>
      </c>
      <c r="T117" s="934" t="str">
        <f t="shared" si="62"/>
        <v>OK!</v>
      </c>
    </row>
    <row r="118" spans="1:20" x14ac:dyDescent="0.15">
      <c r="A118" s="960" t="str">
        <f>A$10</f>
        <v>Shpenzimet kapitale</v>
      </c>
      <c r="B118" s="961"/>
      <c r="C118" s="959">
        <f>C119-C116-C117</f>
        <v>0</v>
      </c>
      <c r="D118" s="962">
        <f>D119-D116-D117</f>
        <v>0</v>
      </c>
      <c r="E118" s="962">
        <f>E119-E116-E117</f>
        <v>0</v>
      </c>
      <c r="F118" s="934" t="str">
        <f t="shared" si="61"/>
        <v>OK!</v>
      </c>
      <c r="G118" s="934" t="str">
        <f t="shared" si="61"/>
        <v>OK!</v>
      </c>
      <c r="H118" s="934" t="str">
        <f t="shared" si="61"/>
        <v>OK!</v>
      </c>
      <c r="I118" s="934" t="str">
        <f t="shared" si="61"/>
        <v>OK!</v>
      </c>
      <c r="J118" s="934" t="str">
        <f t="shared" si="61"/>
        <v>OK!</v>
      </c>
      <c r="K118" s="934" t="str">
        <f t="shared" si="61"/>
        <v>OK!</v>
      </c>
      <c r="L118" s="934" t="str">
        <f t="shared" si="61"/>
        <v>OK!</v>
      </c>
      <c r="M118" s="934" t="str">
        <f t="shared" si="61"/>
        <v>OK!</v>
      </c>
      <c r="N118" s="934" t="str">
        <f t="shared" si="61"/>
        <v>OK!</v>
      </c>
      <c r="O118" s="934" t="str">
        <f t="shared" si="61"/>
        <v>OK!</v>
      </c>
      <c r="P118" s="934" t="str">
        <f t="shared" si="61"/>
        <v>OK!</v>
      </c>
      <c r="Q118" s="934" t="str">
        <f t="shared" si="61"/>
        <v>OK!</v>
      </c>
      <c r="R118" s="934" t="str">
        <f t="shared" si="61"/>
        <v>OK!</v>
      </c>
      <c r="S118" s="934" t="str">
        <f t="shared" si="62"/>
        <v>OK!</v>
      </c>
      <c r="T118" s="934" t="str">
        <f t="shared" si="62"/>
        <v>OK!</v>
      </c>
    </row>
    <row r="119" spans="1:20" x14ac:dyDescent="0.15">
      <c r="A119" s="963" t="str">
        <f>A$11</f>
        <v>Tavanet e përgjithshme</v>
      </c>
      <c r="B119" s="964"/>
      <c r="C119" s="968"/>
      <c r="D119" s="969"/>
      <c r="E119" s="969"/>
      <c r="F119" s="934" t="str">
        <f t="shared" si="61"/>
        <v>OK!</v>
      </c>
      <c r="G119" s="934" t="str">
        <f t="shared" si="61"/>
        <v>OK!</v>
      </c>
      <c r="H119" s="934" t="str">
        <f t="shared" si="61"/>
        <v>OK!</v>
      </c>
      <c r="I119" s="934" t="str">
        <f t="shared" si="61"/>
        <v>OK!</v>
      </c>
      <c r="J119" s="934" t="str">
        <f t="shared" si="61"/>
        <v>OK!</v>
      </c>
      <c r="K119" s="934" t="str">
        <f t="shared" si="61"/>
        <v>OK!</v>
      </c>
      <c r="L119" s="934" t="str">
        <f t="shared" si="61"/>
        <v>OK!</v>
      </c>
      <c r="M119" s="934" t="str">
        <f t="shared" si="61"/>
        <v>OK!</v>
      </c>
      <c r="N119" s="934" t="str">
        <f t="shared" si="61"/>
        <v>OK!</v>
      </c>
      <c r="O119" s="934" t="str">
        <f t="shared" si="61"/>
        <v>OK!</v>
      </c>
      <c r="P119" s="934" t="str">
        <f t="shared" si="61"/>
        <v>OK!</v>
      </c>
      <c r="Q119" s="934" t="str">
        <f t="shared" si="61"/>
        <v>OK!</v>
      </c>
      <c r="R119" s="934" t="str">
        <f t="shared" si="61"/>
        <v>OK!</v>
      </c>
      <c r="S119" s="934" t="str">
        <f t="shared" si="62"/>
        <v>OK!</v>
      </c>
      <c r="T119" s="934" t="str">
        <f t="shared" si="62"/>
        <v>OK!</v>
      </c>
    </row>
    <row r="120" spans="1:20" x14ac:dyDescent="0.15">
      <c r="A120" s="965" t="str">
        <f>A$12</f>
        <v>Angazhimet kujtesë</v>
      </c>
      <c r="B120" s="959"/>
      <c r="C120" s="959">
        <f>'(C5) Angazhimet'!D43</f>
        <v>0</v>
      </c>
      <c r="D120" s="959">
        <f>'(C5) Angazhimet'!E43</f>
        <v>0</v>
      </c>
      <c r="E120" s="959">
        <f>'(C5) Angazhimet'!F43</f>
        <v>0</v>
      </c>
      <c r="F120" s="934" t="str">
        <f>IF(C120&gt;C119,"STOPP!","OK!")</f>
        <v>OK!</v>
      </c>
      <c r="G120" s="934" t="str">
        <f t="shared" ref="G120:R120" si="63">IF(D120&lt;0,"STOPP!","OK!")</f>
        <v>OK!</v>
      </c>
      <c r="H120" s="934" t="str">
        <f t="shared" si="63"/>
        <v>OK!</v>
      </c>
      <c r="I120" s="934" t="str">
        <f t="shared" si="63"/>
        <v>OK!</v>
      </c>
      <c r="J120" s="934" t="str">
        <f t="shared" si="63"/>
        <v>OK!</v>
      </c>
      <c r="K120" s="934" t="str">
        <f t="shared" si="63"/>
        <v>OK!</v>
      </c>
      <c r="L120" s="934" t="str">
        <f t="shared" si="63"/>
        <v>OK!</v>
      </c>
      <c r="M120" s="934" t="str">
        <f t="shared" si="63"/>
        <v>OK!</v>
      </c>
      <c r="N120" s="934" t="str">
        <f t="shared" si="63"/>
        <v>OK!</v>
      </c>
      <c r="O120" s="934" t="str">
        <f t="shared" si="63"/>
        <v>OK!</v>
      </c>
      <c r="P120" s="934" t="str">
        <f t="shared" si="63"/>
        <v>OK!</v>
      </c>
      <c r="Q120" s="934" t="str">
        <f t="shared" si="63"/>
        <v>OK!</v>
      </c>
      <c r="R120" s="934" t="str">
        <f t="shared" si="63"/>
        <v>OK!</v>
      </c>
      <c r="S120" s="934" t="str">
        <f>IF(D120&gt;D119,"STOPP!","OK!")</f>
        <v>OK!</v>
      </c>
      <c r="T120" s="934" t="str">
        <f>IF(E120&gt;E119,"STOPP!","OK!")</f>
        <v>OK!</v>
      </c>
    </row>
    <row r="121" spans="1:20" ht="18.75" customHeight="1" x14ac:dyDescent="0.25">
      <c r="A121" s="1082" t="str">
        <f>'(B2) Struktura Organizative'!A13</f>
        <v>Nënfunksioni 7</v>
      </c>
      <c r="B121" s="1076" t="str">
        <f>'(B2) Struktura Organizative'!B13</f>
        <v>042 Bujqësia, pyjet, peshkimi dhe gjuetia</v>
      </c>
      <c r="C121" s="1077"/>
      <c r="D121" s="1077"/>
      <c r="E121" s="1078"/>
      <c r="G121" s="933">
        <f>C125</f>
        <v>42344600</v>
      </c>
      <c r="H121" s="933">
        <f>D125</f>
        <v>44176460</v>
      </c>
      <c r="I121" s="933">
        <f>E125</f>
        <v>46049240</v>
      </c>
      <c r="J121" s="933">
        <f>C122</f>
        <v>17018302</v>
      </c>
      <c r="K121" s="933">
        <f>D122</f>
        <v>17869204</v>
      </c>
      <c r="L121" s="933">
        <f>E122</f>
        <v>18762667</v>
      </c>
      <c r="M121" s="933">
        <f>C123</f>
        <v>16976298</v>
      </c>
      <c r="N121" s="933">
        <f>D123</f>
        <v>17737656</v>
      </c>
      <c r="O121" s="933">
        <f>E123</f>
        <v>18455873</v>
      </c>
      <c r="P121" s="933">
        <f>C124</f>
        <v>8350000</v>
      </c>
      <c r="Q121" s="933">
        <f>D124</f>
        <v>8569600</v>
      </c>
      <c r="R121" s="933">
        <f>E124</f>
        <v>8830700</v>
      </c>
    </row>
    <row r="122" spans="1:20" x14ac:dyDescent="0.15">
      <c r="A122" s="958" t="str">
        <f>A$8</f>
        <v>Pagat dhe sigurimet shoqërore</v>
      </c>
      <c r="B122" s="958"/>
      <c r="C122" s="959">
        <f t="shared" ref="C122:E123" si="64">C128+C134+C140</f>
        <v>17018302</v>
      </c>
      <c r="D122" s="959">
        <f t="shared" si="64"/>
        <v>17869204</v>
      </c>
      <c r="E122" s="959">
        <f t="shared" si="64"/>
        <v>18762667</v>
      </c>
      <c r="F122" s="934" t="str">
        <f t="shared" ref="F122:R125" si="65">IF(C122&lt;0,"STOPP!","OK!")</f>
        <v>OK!</v>
      </c>
      <c r="G122" s="934" t="str">
        <f t="shared" si="65"/>
        <v>OK!</v>
      </c>
      <c r="H122" s="934" t="str">
        <f t="shared" si="65"/>
        <v>OK!</v>
      </c>
      <c r="I122" s="934" t="str">
        <f t="shared" si="65"/>
        <v>OK!</v>
      </c>
      <c r="J122" s="934" t="str">
        <f t="shared" si="65"/>
        <v>OK!</v>
      </c>
      <c r="K122" s="934" t="str">
        <f t="shared" si="65"/>
        <v>OK!</v>
      </c>
      <c r="L122" s="934" t="str">
        <f t="shared" si="65"/>
        <v>OK!</v>
      </c>
      <c r="M122" s="934" t="str">
        <f t="shared" si="65"/>
        <v>OK!</v>
      </c>
      <c r="N122" s="934" t="str">
        <f t="shared" si="65"/>
        <v>OK!</v>
      </c>
      <c r="O122" s="934" t="str">
        <f t="shared" si="65"/>
        <v>OK!</v>
      </c>
      <c r="P122" s="934" t="str">
        <f t="shared" si="65"/>
        <v>OK!</v>
      </c>
      <c r="Q122" s="934" t="str">
        <f t="shared" si="65"/>
        <v>OK!</v>
      </c>
      <c r="R122" s="934" t="str">
        <f t="shared" si="65"/>
        <v>OK!</v>
      </c>
      <c r="S122" s="934" t="str">
        <f t="shared" ref="S122:T125" si="66">IF(D122&lt;0,"STOPP!","OK!")</f>
        <v>OK!</v>
      </c>
      <c r="T122" s="934" t="str">
        <f t="shared" si="66"/>
        <v>OK!</v>
      </c>
    </row>
    <row r="123" spans="1:20" x14ac:dyDescent="0.15">
      <c r="A123" s="958" t="str">
        <f>A$9</f>
        <v>Të tjera shpenzime korrente</v>
      </c>
      <c r="B123" s="958"/>
      <c r="C123" s="959">
        <f t="shared" si="64"/>
        <v>16976298</v>
      </c>
      <c r="D123" s="959">
        <f t="shared" si="64"/>
        <v>17737656</v>
      </c>
      <c r="E123" s="959">
        <f t="shared" si="64"/>
        <v>18455873</v>
      </c>
      <c r="F123" s="934" t="str">
        <f t="shared" si="65"/>
        <v>OK!</v>
      </c>
      <c r="G123" s="934" t="str">
        <f t="shared" si="65"/>
        <v>OK!</v>
      </c>
      <c r="H123" s="934" t="str">
        <f t="shared" si="65"/>
        <v>OK!</v>
      </c>
      <c r="I123" s="934" t="str">
        <f t="shared" si="65"/>
        <v>OK!</v>
      </c>
      <c r="J123" s="934" t="str">
        <f t="shared" si="65"/>
        <v>OK!</v>
      </c>
      <c r="K123" s="934" t="str">
        <f t="shared" si="65"/>
        <v>OK!</v>
      </c>
      <c r="L123" s="934" t="str">
        <f t="shared" si="65"/>
        <v>OK!</v>
      </c>
      <c r="M123" s="934" t="str">
        <f t="shared" si="65"/>
        <v>OK!</v>
      </c>
      <c r="N123" s="934" t="str">
        <f t="shared" si="65"/>
        <v>OK!</v>
      </c>
      <c r="O123" s="934" t="str">
        <f t="shared" si="65"/>
        <v>OK!</v>
      </c>
      <c r="P123" s="934" t="str">
        <f t="shared" si="65"/>
        <v>OK!</v>
      </c>
      <c r="Q123" s="934" t="str">
        <f t="shared" si="65"/>
        <v>OK!</v>
      </c>
      <c r="R123" s="934" t="str">
        <f t="shared" si="65"/>
        <v>OK!</v>
      </c>
      <c r="S123" s="934" t="str">
        <f t="shared" si="66"/>
        <v>OK!</v>
      </c>
      <c r="T123" s="934" t="str">
        <f t="shared" si="66"/>
        <v>OK!</v>
      </c>
    </row>
    <row r="124" spans="1:20" x14ac:dyDescent="0.15">
      <c r="A124" s="960" t="str">
        <f>A$10</f>
        <v>Shpenzimet kapitale</v>
      </c>
      <c r="B124" s="961"/>
      <c r="C124" s="959">
        <f>C125-C122-C123</f>
        <v>8350000</v>
      </c>
      <c r="D124" s="962">
        <f>D125-D122-D123</f>
        <v>8569600</v>
      </c>
      <c r="E124" s="962">
        <f>E125-E122-E123</f>
        <v>8830700</v>
      </c>
      <c r="F124" s="934" t="str">
        <f t="shared" si="65"/>
        <v>OK!</v>
      </c>
      <c r="G124" s="934" t="str">
        <f t="shared" si="65"/>
        <v>OK!</v>
      </c>
      <c r="H124" s="934" t="str">
        <f t="shared" si="65"/>
        <v>OK!</v>
      </c>
      <c r="I124" s="934" t="str">
        <f t="shared" si="65"/>
        <v>OK!</v>
      </c>
      <c r="J124" s="934" t="str">
        <f t="shared" si="65"/>
        <v>OK!</v>
      </c>
      <c r="K124" s="934" t="str">
        <f t="shared" si="65"/>
        <v>OK!</v>
      </c>
      <c r="L124" s="934" t="str">
        <f t="shared" si="65"/>
        <v>OK!</v>
      </c>
      <c r="M124" s="934" t="str">
        <f t="shared" si="65"/>
        <v>OK!</v>
      </c>
      <c r="N124" s="934" t="str">
        <f t="shared" si="65"/>
        <v>OK!</v>
      </c>
      <c r="O124" s="934" t="str">
        <f t="shared" si="65"/>
        <v>OK!</v>
      </c>
      <c r="P124" s="934" t="str">
        <f t="shared" si="65"/>
        <v>OK!</v>
      </c>
      <c r="Q124" s="934" t="str">
        <f t="shared" si="65"/>
        <v>OK!</v>
      </c>
      <c r="R124" s="934" t="str">
        <f t="shared" si="65"/>
        <v>OK!</v>
      </c>
      <c r="S124" s="934" t="str">
        <f t="shared" si="66"/>
        <v>OK!</v>
      </c>
      <c r="T124" s="934" t="str">
        <f t="shared" si="66"/>
        <v>OK!</v>
      </c>
    </row>
    <row r="125" spans="1:20" x14ac:dyDescent="0.15">
      <c r="A125" s="963" t="str">
        <f>A$11</f>
        <v>Tavanet e përgjithshme</v>
      </c>
      <c r="B125" s="964"/>
      <c r="C125" s="1023">
        <f>C131+C137+C143</f>
        <v>42344600</v>
      </c>
      <c r="D125" s="1023">
        <f>D131+D137+D143</f>
        <v>44176460</v>
      </c>
      <c r="E125" s="1023">
        <f>E131+E137+E143</f>
        <v>46049240</v>
      </c>
      <c r="F125" s="934" t="str">
        <f t="shared" si="65"/>
        <v>OK!</v>
      </c>
      <c r="G125" s="934" t="str">
        <f t="shared" si="65"/>
        <v>OK!</v>
      </c>
      <c r="H125" s="934" t="str">
        <f t="shared" si="65"/>
        <v>OK!</v>
      </c>
      <c r="I125" s="934" t="str">
        <f t="shared" si="65"/>
        <v>OK!</v>
      </c>
      <c r="J125" s="934" t="str">
        <f t="shared" si="65"/>
        <v>OK!</v>
      </c>
      <c r="K125" s="934" t="str">
        <f t="shared" si="65"/>
        <v>OK!</v>
      </c>
      <c r="L125" s="934" t="str">
        <f t="shared" si="65"/>
        <v>OK!</v>
      </c>
      <c r="M125" s="934" t="str">
        <f t="shared" si="65"/>
        <v>OK!</v>
      </c>
      <c r="N125" s="934" t="str">
        <f t="shared" si="65"/>
        <v>OK!</v>
      </c>
      <c r="O125" s="934" t="str">
        <f t="shared" si="65"/>
        <v>OK!</v>
      </c>
      <c r="P125" s="934" t="str">
        <f t="shared" si="65"/>
        <v>OK!</v>
      </c>
      <c r="Q125" s="934" t="str">
        <f t="shared" si="65"/>
        <v>OK!</v>
      </c>
      <c r="R125" s="934" t="str">
        <f t="shared" si="65"/>
        <v>OK!</v>
      </c>
      <c r="S125" s="934" t="str">
        <f t="shared" si="66"/>
        <v>OK!</v>
      </c>
      <c r="T125" s="934" t="str">
        <f t="shared" si="66"/>
        <v>OK!</v>
      </c>
    </row>
    <row r="126" spans="1:20" x14ac:dyDescent="0.15">
      <c r="A126" s="965" t="str">
        <f>A$12</f>
        <v>Angazhimet kujtesë</v>
      </c>
      <c r="B126" s="959"/>
      <c r="C126" s="959">
        <f>'(C5) Angazhimet'!D53</f>
        <v>0</v>
      </c>
      <c r="D126" s="962">
        <f>'(C5) Angazhimet'!E53</f>
        <v>0</v>
      </c>
      <c r="E126" s="962">
        <f>'(C5) Angazhimet'!F53</f>
        <v>0</v>
      </c>
      <c r="F126" s="934" t="str">
        <f>IF(C126&gt;C125,"STOPP!","OK!")</f>
        <v>OK!</v>
      </c>
      <c r="G126" s="934" t="str">
        <f t="shared" ref="G126:R126" si="67">IF(D126&lt;0,"STOPP!","OK!")</f>
        <v>OK!</v>
      </c>
      <c r="H126" s="934" t="str">
        <f t="shared" si="67"/>
        <v>OK!</v>
      </c>
      <c r="I126" s="934" t="str">
        <f t="shared" si="67"/>
        <v>OK!</v>
      </c>
      <c r="J126" s="934" t="str">
        <f t="shared" si="67"/>
        <v>OK!</v>
      </c>
      <c r="K126" s="934" t="str">
        <f t="shared" si="67"/>
        <v>OK!</v>
      </c>
      <c r="L126" s="934" t="str">
        <f t="shared" si="67"/>
        <v>OK!</v>
      </c>
      <c r="M126" s="934" t="str">
        <f t="shared" si="67"/>
        <v>OK!</v>
      </c>
      <c r="N126" s="934" t="str">
        <f t="shared" si="67"/>
        <v>OK!</v>
      </c>
      <c r="O126" s="934" t="str">
        <f t="shared" si="67"/>
        <v>OK!</v>
      </c>
      <c r="P126" s="934" t="str">
        <f t="shared" si="67"/>
        <v>OK!</v>
      </c>
      <c r="Q126" s="934" t="str">
        <f t="shared" si="67"/>
        <v>OK!</v>
      </c>
      <c r="R126" s="934" t="str">
        <f t="shared" si="67"/>
        <v>OK!</v>
      </c>
      <c r="S126" s="934" t="str">
        <f>IF(D126&gt;D125,"STOPP!","OK!")</f>
        <v>OK!</v>
      </c>
      <c r="T126" s="934" t="str">
        <f>IF(E126&gt;E125,"STOPP!","OK!")</f>
        <v>OK!</v>
      </c>
    </row>
    <row r="127" spans="1:20" ht="18.75" customHeight="1" x14ac:dyDescent="0.15">
      <c r="A127" s="1089" t="str">
        <f>'(B3) Struktura Funksionale'!B42</f>
        <v>04220</v>
      </c>
      <c r="B127" s="1083" t="str">
        <f>'(B3) Struktura Funksionale'!C42</f>
        <v>Shërbimet bujqësore, inspektimi, ushqimi dhe mbrojtja e konsumatoreve</v>
      </c>
      <c r="C127" s="1084"/>
      <c r="D127" s="1084"/>
      <c r="E127" s="1085"/>
      <c r="F127" s="934"/>
      <c r="G127" s="934"/>
      <c r="H127" s="934"/>
      <c r="I127" s="934"/>
      <c r="J127" s="934"/>
      <c r="K127" s="934"/>
      <c r="L127" s="934"/>
      <c r="M127" s="934"/>
      <c r="N127" s="934"/>
      <c r="O127" s="934"/>
      <c r="P127" s="934"/>
      <c r="Q127" s="934"/>
      <c r="R127" s="934"/>
      <c r="S127" s="934"/>
      <c r="T127" s="934"/>
    </row>
    <row r="128" spans="1:20" x14ac:dyDescent="0.15">
      <c r="A128" s="958" t="str">
        <f>A$8</f>
        <v>Pagat dhe sigurimet shoqërore</v>
      </c>
      <c r="B128" s="958"/>
      <c r="C128" s="966"/>
      <c r="D128" s="966"/>
      <c r="E128" s="966"/>
      <c r="F128" s="934" t="str">
        <f t="shared" ref="F128:R131" si="68">IF(C128&lt;0,"STOPP!","OK!")</f>
        <v>OK!</v>
      </c>
      <c r="G128" s="934" t="str">
        <f t="shared" si="68"/>
        <v>OK!</v>
      </c>
      <c r="H128" s="934" t="str">
        <f t="shared" si="68"/>
        <v>OK!</v>
      </c>
      <c r="I128" s="934" t="str">
        <f t="shared" si="68"/>
        <v>OK!</v>
      </c>
      <c r="J128" s="934" t="str">
        <f t="shared" si="68"/>
        <v>OK!</v>
      </c>
      <c r="K128" s="934" t="str">
        <f t="shared" si="68"/>
        <v>OK!</v>
      </c>
      <c r="L128" s="934" t="str">
        <f t="shared" si="68"/>
        <v>OK!</v>
      </c>
      <c r="M128" s="934" t="str">
        <f t="shared" si="68"/>
        <v>OK!</v>
      </c>
      <c r="N128" s="934" t="str">
        <f t="shared" si="68"/>
        <v>OK!</v>
      </c>
      <c r="O128" s="934" t="str">
        <f t="shared" si="68"/>
        <v>OK!</v>
      </c>
      <c r="P128" s="934" t="str">
        <f t="shared" si="68"/>
        <v>OK!</v>
      </c>
      <c r="Q128" s="934" t="str">
        <f t="shared" si="68"/>
        <v>OK!</v>
      </c>
      <c r="R128" s="934" t="str">
        <f t="shared" si="68"/>
        <v>OK!</v>
      </c>
      <c r="S128" s="934" t="str">
        <f t="shared" ref="S128:T131" si="69">IF(D128&lt;0,"STOPP!","OK!")</f>
        <v>OK!</v>
      </c>
      <c r="T128" s="934" t="str">
        <f t="shared" si="69"/>
        <v>OK!</v>
      </c>
    </row>
    <row r="129" spans="1:25" x14ac:dyDescent="0.15">
      <c r="A129" s="958" t="str">
        <f>A$9</f>
        <v>Të tjera shpenzime korrente</v>
      </c>
      <c r="B129" s="958"/>
      <c r="C129" s="967"/>
      <c r="D129" s="967"/>
      <c r="E129" s="967"/>
      <c r="F129" s="934" t="str">
        <f t="shared" si="68"/>
        <v>OK!</v>
      </c>
      <c r="G129" s="934" t="str">
        <f t="shared" si="68"/>
        <v>OK!</v>
      </c>
      <c r="H129" s="934" t="str">
        <f t="shared" si="68"/>
        <v>OK!</v>
      </c>
      <c r="I129" s="934" t="str">
        <f t="shared" si="68"/>
        <v>OK!</v>
      </c>
      <c r="J129" s="934" t="str">
        <f t="shared" si="68"/>
        <v>OK!</v>
      </c>
      <c r="K129" s="934" t="str">
        <f t="shared" si="68"/>
        <v>OK!</v>
      </c>
      <c r="L129" s="934" t="str">
        <f t="shared" si="68"/>
        <v>OK!</v>
      </c>
      <c r="M129" s="934" t="str">
        <f t="shared" si="68"/>
        <v>OK!</v>
      </c>
      <c r="N129" s="934" t="str">
        <f t="shared" si="68"/>
        <v>OK!</v>
      </c>
      <c r="O129" s="934" t="str">
        <f t="shared" si="68"/>
        <v>OK!</v>
      </c>
      <c r="P129" s="934" t="str">
        <f t="shared" si="68"/>
        <v>OK!</v>
      </c>
      <c r="Q129" s="934" t="str">
        <f t="shared" si="68"/>
        <v>OK!</v>
      </c>
      <c r="R129" s="934" t="str">
        <f t="shared" si="68"/>
        <v>OK!</v>
      </c>
      <c r="S129" s="934" t="str">
        <f t="shared" si="69"/>
        <v>OK!</v>
      </c>
      <c r="T129" s="934" t="str">
        <f t="shared" si="69"/>
        <v>OK!</v>
      </c>
    </row>
    <row r="130" spans="1:25" x14ac:dyDescent="0.15">
      <c r="A130" s="960" t="str">
        <f>A$10</f>
        <v>Shpenzimet kapitale</v>
      </c>
      <c r="B130" s="961"/>
      <c r="C130" s="959">
        <f>C131-C128-C129</f>
        <v>0</v>
      </c>
      <c r="D130" s="962">
        <f>D131-D128-D129</f>
        <v>0</v>
      </c>
      <c r="E130" s="962">
        <f>E131-E128-E129</f>
        <v>0</v>
      </c>
      <c r="F130" s="934" t="str">
        <f t="shared" si="68"/>
        <v>OK!</v>
      </c>
      <c r="G130" s="934" t="str">
        <f t="shared" si="68"/>
        <v>OK!</v>
      </c>
      <c r="H130" s="934" t="str">
        <f t="shared" si="68"/>
        <v>OK!</v>
      </c>
      <c r="I130" s="934" t="str">
        <f t="shared" si="68"/>
        <v>OK!</v>
      </c>
      <c r="J130" s="934" t="str">
        <f t="shared" si="68"/>
        <v>OK!</v>
      </c>
      <c r="K130" s="934" t="str">
        <f t="shared" si="68"/>
        <v>OK!</v>
      </c>
      <c r="L130" s="934" t="str">
        <f t="shared" si="68"/>
        <v>OK!</v>
      </c>
      <c r="M130" s="934" t="str">
        <f t="shared" si="68"/>
        <v>OK!</v>
      </c>
      <c r="N130" s="934" t="str">
        <f t="shared" si="68"/>
        <v>OK!</v>
      </c>
      <c r="O130" s="934" t="str">
        <f t="shared" si="68"/>
        <v>OK!</v>
      </c>
      <c r="P130" s="934" t="str">
        <f t="shared" si="68"/>
        <v>OK!</v>
      </c>
      <c r="Q130" s="934" t="str">
        <f t="shared" si="68"/>
        <v>OK!</v>
      </c>
      <c r="R130" s="934" t="str">
        <f t="shared" si="68"/>
        <v>OK!</v>
      </c>
      <c r="S130" s="934" t="str">
        <f t="shared" si="69"/>
        <v>OK!</v>
      </c>
      <c r="T130" s="934" t="str">
        <f t="shared" si="69"/>
        <v>OK!</v>
      </c>
    </row>
    <row r="131" spans="1:25" x14ac:dyDescent="0.15">
      <c r="A131" s="963" t="str">
        <f>A$11</f>
        <v>Tavanet e përgjithshme</v>
      </c>
      <c r="B131" s="964"/>
      <c r="C131" s="968"/>
      <c r="D131" s="969"/>
      <c r="E131" s="969"/>
      <c r="F131" s="934" t="str">
        <f t="shared" si="68"/>
        <v>OK!</v>
      </c>
      <c r="G131" s="934" t="str">
        <f t="shared" si="68"/>
        <v>OK!</v>
      </c>
      <c r="H131" s="934" t="str">
        <f t="shared" si="68"/>
        <v>OK!</v>
      </c>
      <c r="I131" s="934" t="str">
        <f t="shared" si="68"/>
        <v>OK!</v>
      </c>
      <c r="J131" s="934" t="str">
        <f t="shared" si="68"/>
        <v>OK!</v>
      </c>
      <c r="K131" s="934" t="str">
        <f t="shared" si="68"/>
        <v>OK!</v>
      </c>
      <c r="L131" s="934" t="str">
        <f t="shared" si="68"/>
        <v>OK!</v>
      </c>
      <c r="M131" s="934" t="str">
        <f t="shared" si="68"/>
        <v>OK!</v>
      </c>
      <c r="N131" s="934" t="str">
        <f t="shared" si="68"/>
        <v>OK!</v>
      </c>
      <c r="O131" s="934" t="str">
        <f t="shared" si="68"/>
        <v>OK!</v>
      </c>
      <c r="P131" s="934" t="str">
        <f t="shared" si="68"/>
        <v>OK!</v>
      </c>
      <c r="Q131" s="934" t="str">
        <f t="shared" si="68"/>
        <v>OK!</v>
      </c>
      <c r="R131" s="934" t="str">
        <f t="shared" si="68"/>
        <v>OK!</v>
      </c>
      <c r="S131" s="934" t="str">
        <f t="shared" si="69"/>
        <v>OK!</v>
      </c>
      <c r="T131" s="934" t="str">
        <f t="shared" si="69"/>
        <v>OK!</v>
      </c>
    </row>
    <row r="132" spans="1:25" x14ac:dyDescent="0.15">
      <c r="A132" s="965" t="str">
        <f>A$12</f>
        <v>Angazhimet kujtesë</v>
      </c>
      <c r="B132" s="959"/>
      <c r="C132" s="959">
        <f>'(C5) Angazhimet'!D47</f>
        <v>0</v>
      </c>
      <c r="D132" s="959">
        <f>'(C5) Angazhimet'!E47</f>
        <v>0</v>
      </c>
      <c r="E132" s="959">
        <f>'(C5) Angazhimet'!F47</f>
        <v>0</v>
      </c>
      <c r="F132" s="934" t="str">
        <f>IF(C132&gt;C131,"STOPP!","OK!")</f>
        <v>OK!</v>
      </c>
      <c r="G132" s="934" t="str">
        <f t="shared" ref="G132:R132" si="70">IF(D132&lt;0,"STOPP!","OK!")</f>
        <v>OK!</v>
      </c>
      <c r="H132" s="934" t="str">
        <f t="shared" si="70"/>
        <v>OK!</v>
      </c>
      <c r="I132" s="934" t="str">
        <f t="shared" si="70"/>
        <v>OK!</v>
      </c>
      <c r="J132" s="934" t="str">
        <f t="shared" si="70"/>
        <v>OK!</v>
      </c>
      <c r="K132" s="934" t="str">
        <f t="shared" si="70"/>
        <v>OK!</v>
      </c>
      <c r="L132" s="934" t="str">
        <f t="shared" si="70"/>
        <v>OK!</v>
      </c>
      <c r="M132" s="934" t="str">
        <f t="shared" si="70"/>
        <v>OK!</v>
      </c>
      <c r="N132" s="934" t="str">
        <f t="shared" si="70"/>
        <v>OK!</v>
      </c>
      <c r="O132" s="934" t="str">
        <f t="shared" si="70"/>
        <v>OK!</v>
      </c>
      <c r="P132" s="934" t="str">
        <f t="shared" si="70"/>
        <v>OK!</v>
      </c>
      <c r="Q132" s="934" t="str">
        <f t="shared" si="70"/>
        <v>OK!</v>
      </c>
      <c r="R132" s="934" t="str">
        <f t="shared" si="70"/>
        <v>OK!</v>
      </c>
      <c r="S132" s="934" t="str">
        <f>IF(D132&gt;D131,"STOPP!","OK!")</f>
        <v>OK!</v>
      </c>
      <c r="T132" s="934" t="str">
        <f>IF(E132&gt;E131,"STOPP!","OK!")</f>
        <v>OK!</v>
      </c>
    </row>
    <row r="133" spans="1:25" ht="18.75" customHeight="1" x14ac:dyDescent="0.15">
      <c r="A133" s="1021" t="str">
        <f>'(B3) Struktura Funksionale'!B45</f>
        <v>04240</v>
      </c>
      <c r="B133" s="1079" t="str">
        <f>'(B3) Struktura Funksionale'!C45</f>
        <v>Menaxhimi i Infrastruktuës së ujitjes dhe kullimit</v>
      </c>
      <c r="C133" s="1080"/>
      <c r="D133" s="1080"/>
      <c r="E133" s="1081"/>
      <c r="F133" s="934"/>
      <c r="G133" s="934"/>
      <c r="H133" s="934"/>
      <c r="I133" s="934"/>
      <c r="J133" s="934"/>
      <c r="K133" s="934"/>
      <c r="L133" s="934"/>
      <c r="M133" s="934"/>
      <c r="N133" s="934"/>
      <c r="O133" s="934"/>
      <c r="P133" s="934"/>
      <c r="Q133" s="934"/>
      <c r="R133" s="934"/>
      <c r="S133" s="934"/>
      <c r="T133" s="934"/>
      <c r="V133" s="807"/>
      <c r="W133" s="807"/>
      <c r="X133" s="807"/>
      <c r="Y133" s="807"/>
    </row>
    <row r="134" spans="1:25" x14ac:dyDescent="0.15">
      <c r="A134" s="958" t="str">
        <f>A$8</f>
        <v>Pagat dhe sigurimet shoqërore</v>
      </c>
      <c r="B134" s="958"/>
      <c r="C134" s="966">
        <v>2804242</v>
      </c>
      <c r="D134" s="966">
        <v>2944454</v>
      </c>
      <c r="E134" s="966">
        <v>3091677</v>
      </c>
      <c r="F134" s="934" t="str">
        <f t="shared" ref="F134:R137" si="71">IF(C134&lt;0,"STOPP!","OK!")</f>
        <v>OK!</v>
      </c>
      <c r="G134" s="934" t="str">
        <f t="shared" si="71"/>
        <v>OK!</v>
      </c>
      <c r="H134" s="934" t="str">
        <f t="shared" si="71"/>
        <v>OK!</v>
      </c>
      <c r="I134" s="934" t="str">
        <f t="shared" si="71"/>
        <v>OK!</v>
      </c>
      <c r="J134" s="934" t="str">
        <f t="shared" si="71"/>
        <v>OK!</v>
      </c>
      <c r="K134" s="934" t="str">
        <f t="shared" si="71"/>
        <v>OK!</v>
      </c>
      <c r="L134" s="934" t="str">
        <f t="shared" si="71"/>
        <v>OK!</v>
      </c>
      <c r="M134" s="934" t="str">
        <f t="shared" si="71"/>
        <v>OK!</v>
      </c>
      <c r="N134" s="934" t="str">
        <f t="shared" si="71"/>
        <v>OK!</v>
      </c>
      <c r="O134" s="934" t="str">
        <f t="shared" si="71"/>
        <v>OK!</v>
      </c>
      <c r="P134" s="934" t="str">
        <f t="shared" si="71"/>
        <v>OK!</v>
      </c>
      <c r="Q134" s="934" t="str">
        <f t="shared" si="71"/>
        <v>OK!</v>
      </c>
      <c r="R134" s="934" t="str">
        <f t="shared" si="71"/>
        <v>OK!</v>
      </c>
      <c r="S134" s="934" t="str">
        <f t="shared" ref="S134:T137" si="72">IF(D134&lt;0,"STOPP!","OK!")</f>
        <v>OK!</v>
      </c>
      <c r="T134" s="934" t="str">
        <f t="shared" si="72"/>
        <v>OK!</v>
      </c>
      <c r="V134" s="977"/>
      <c r="W134" s="977"/>
      <c r="X134" s="977"/>
      <c r="Y134" s="807"/>
    </row>
    <row r="135" spans="1:25" x14ac:dyDescent="0.15">
      <c r="A135" s="958" t="str">
        <f>A$9</f>
        <v>Të tjera shpenzime korrente</v>
      </c>
      <c r="B135" s="958"/>
      <c r="C135" s="967">
        <v>8530758</v>
      </c>
      <c r="D135" s="967">
        <v>8957296</v>
      </c>
      <c r="E135" s="967">
        <v>9405163</v>
      </c>
      <c r="F135" s="934" t="str">
        <f t="shared" si="71"/>
        <v>OK!</v>
      </c>
      <c r="G135" s="934" t="str">
        <f t="shared" si="71"/>
        <v>OK!</v>
      </c>
      <c r="H135" s="934" t="str">
        <f t="shared" si="71"/>
        <v>OK!</v>
      </c>
      <c r="I135" s="934" t="str">
        <f t="shared" si="71"/>
        <v>OK!</v>
      </c>
      <c r="J135" s="934" t="str">
        <f t="shared" si="71"/>
        <v>OK!</v>
      </c>
      <c r="K135" s="934" t="str">
        <f t="shared" si="71"/>
        <v>OK!</v>
      </c>
      <c r="L135" s="934" t="str">
        <f t="shared" si="71"/>
        <v>OK!</v>
      </c>
      <c r="M135" s="934" t="str">
        <f t="shared" si="71"/>
        <v>OK!</v>
      </c>
      <c r="N135" s="934" t="str">
        <f t="shared" si="71"/>
        <v>OK!</v>
      </c>
      <c r="O135" s="934" t="str">
        <f t="shared" si="71"/>
        <v>OK!</v>
      </c>
      <c r="P135" s="934" t="str">
        <f t="shared" si="71"/>
        <v>OK!</v>
      </c>
      <c r="Q135" s="934" t="str">
        <f t="shared" si="71"/>
        <v>OK!</v>
      </c>
      <c r="R135" s="934" t="str">
        <f t="shared" si="71"/>
        <v>OK!</v>
      </c>
      <c r="S135" s="934" t="str">
        <f t="shared" si="72"/>
        <v>OK!</v>
      </c>
      <c r="T135" s="934" t="str">
        <f t="shared" si="72"/>
        <v>OK!</v>
      </c>
      <c r="V135" s="985"/>
      <c r="W135" s="985"/>
      <c r="X135" s="985"/>
      <c r="Y135" s="807"/>
    </row>
    <row r="136" spans="1:25" x14ac:dyDescent="0.15">
      <c r="A136" s="960" t="str">
        <f>A$10</f>
        <v>Shpenzimet kapitale</v>
      </c>
      <c r="B136" s="961"/>
      <c r="C136" s="959">
        <f>C137-C134-C135</f>
        <v>30000</v>
      </c>
      <c r="D136" s="962">
        <f>D137-D134-D135</f>
        <v>0</v>
      </c>
      <c r="E136" s="962">
        <f>E137-E134-E135</f>
        <v>0</v>
      </c>
      <c r="F136" s="934" t="str">
        <f t="shared" si="71"/>
        <v>OK!</v>
      </c>
      <c r="G136" s="934" t="str">
        <f t="shared" si="71"/>
        <v>OK!</v>
      </c>
      <c r="H136" s="934" t="str">
        <f t="shared" si="71"/>
        <v>OK!</v>
      </c>
      <c r="I136" s="934" t="str">
        <f t="shared" si="71"/>
        <v>OK!</v>
      </c>
      <c r="J136" s="934" t="str">
        <f t="shared" si="71"/>
        <v>OK!</v>
      </c>
      <c r="K136" s="934" t="str">
        <f t="shared" si="71"/>
        <v>OK!</v>
      </c>
      <c r="L136" s="934" t="str">
        <f t="shared" si="71"/>
        <v>OK!</v>
      </c>
      <c r="M136" s="934" t="str">
        <f t="shared" si="71"/>
        <v>OK!</v>
      </c>
      <c r="N136" s="934" t="str">
        <f t="shared" si="71"/>
        <v>OK!</v>
      </c>
      <c r="O136" s="934" t="str">
        <f t="shared" si="71"/>
        <v>OK!</v>
      </c>
      <c r="P136" s="934" t="str">
        <f t="shared" si="71"/>
        <v>OK!</v>
      </c>
      <c r="Q136" s="934" t="str">
        <f t="shared" si="71"/>
        <v>OK!</v>
      </c>
      <c r="R136" s="934" t="str">
        <f t="shared" si="71"/>
        <v>OK!</v>
      </c>
      <c r="S136" s="934" t="str">
        <f t="shared" si="72"/>
        <v>OK!</v>
      </c>
      <c r="T136" s="934" t="str">
        <f t="shared" si="72"/>
        <v>OK!</v>
      </c>
      <c r="V136" s="807"/>
      <c r="W136" s="807"/>
      <c r="X136" s="807"/>
      <c r="Y136" s="807"/>
    </row>
    <row r="137" spans="1:25" x14ac:dyDescent="0.15">
      <c r="A137" s="963" t="str">
        <f>A$11</f>
        <v>Tavanet e përgjithshme</v>
      </c>
      <c r="B137" s="964"/>
      <c r="C137" s="968">
        <v>11365000</v>
      </c>
      <c r="D137" s="969">
        <v>11901750</v>
      </c>
      <c r="E137" s="969">
        <v>12496840</v>
      </c>
      <c r="F137" s="934" t="str">
        <f t="shared" si="71"/>
        <v>OK!</v>
      </c>
      <c r="G137" s="934" t="str">
        <f t="shared" si="71"/>
        <v>OK!</v>
      </c>
      <c r="H137" s="934" t="str">
        <f t="shared" si="71"/>
        <v>OK!</v>
      </c>
      <c r="I137" s="934" t="str">
        <f t="shared" si="71"/>
        <v>OK!</v>
      </c>
      <c r="J137" s="934" t="str">
        <f t="shared" si="71"/>
        <v>OK!</v>
      </c>
      <c r="K137" s="934" t="str">
        <f t="shared" si="71"/>
        <v>OK!</v>
      </c>
      <c r="L137" s="934" t="str">
        <f t="shared" si="71"/>
        <v>OK!</v>
      </c>
      <c r="M137" s="934" t="str">
        <f t="shared" si="71"/>
        <v>OK!</v>
      </c>
      <c r="N137" s="934" t="str">
        <f t="shared" si="71"/>
        <v>OK!</v>
      </c>
      <c r="O137" s="934" t="str">
        <f t="shared" si="71"/>
        <v>OK!</v>
      </c>
      <c r="P137" s="934" t="str">
        <f t="shared" si="71"/>
        <v>OK!</v>
      </c>
      <c r="Q137" s="934" t="str">
        <f t="shared" si="71"/>
        <v>OK!</v>
      </c>
      <c r="R137" s="934" t="str">
        <f t="shared" si="71"/>
        <v>OK!</v>
      </c>
      <c r="S137" s="934" t="str">
        <f t="shared" si="72"/>
        <v>OK!</v>
      </c>
      <c r="T137" s="934" t="str">
        <f t="shared" si="72"/>
        <v>OK!</v>
      </c>
      <c r="V137" s="807"/>
      <c r="W137" s="807"/>
      <c r="X137" s="807"/>
      <c r="Y137" s="807"/>
    </row>
    <row r="138" spans="1:25" x14ac:dyDescent="0.15">
      <c r="A138" s="965" t="str">
        <f>A$12</f>
        <v>Angazhimet kujtesë</v>
      </c>
      <c r="B138" s="959"/>
      <c r="C138" s="959">
        <f>'(C5) Angazhimet'!D50</f>
        <v>0</v>
      </c>
      <c r="D138" s="959">
        <f>'(C5) Angazhimet'!E50</f>
        <v>0</v>
      </c>
      <c r="E138" s="959">
        <f>'(C5) Angazhimet'!F50</f>
        <v>0</v>
      </c>
      <c r="F138" s="934" t="str">
        <f>IF(C138&gt;C137,"STOPP!","OK!")</f>
        <v>OK!</v>
      </c>
      <c r="G138" s="934" t="str">
        <f t="shared" ref="G138:R138" si="73">IF(D138&lt;0,"STOPP!","OK!")</f>
        <v>OK!</v>
      </c>
      <c r="H138" s="934" t="str">
        <f t="shared" si="73"/>
        <v>OK!</v>
      </c>
      <c r="I138" s="934" t="str">
        <f t="shared" si="73"/>
        <v>OK!</v>
      </c>
      <c r="J138" s="934" t="str">
        <f t="shared" si="73"/>
        <v>OK!</v>
      </c>
      <c r="K138" s="934" t="str">
        <f t="shared" si="73"/>
        <v>OK!</v>
      </c>
      <c r="L138" s="934" t="str">
        <f t="shared" si="73"/>
        <v>OK!</v>
      </c>
      <c r="M138" s="934" t="str">
        <f t="shared" si="73"/>
        <v>OK!</v>
      </c>
      <c r="N138" s="934" t="str">
        <f t="shared" si="73"/>
        <v>OK!</v>
      </c>
      <c r="O138" s="934" t="str">
        <f t="shared" si="73"/>
        <v>OK!</v>
      </c>
      <c r="P138" s="934" t="str">
        <f t="shared" si="73"/>
        <v>OK!</v>
      </c>
      <c r="Q138" s="934" t="str">
        <f t="shared" si="73"/>
        <v>OK!</v>
      </c>
      <c r="R138" s="934" t="str">
        <f t="shared" si="73"/>
        <v>OK!</v>
      </c>
      <c r="S138" s="934" t="str">
        <f>IF(D138&gt;D137,"STOPP!","OK!")</f>
        <v>OK!</v>
      </c>
      <c r="T138" s="934" t="str">
        <f>IF(E138&gt;E137,"STOPP!","OK!")</f>
        <v>OK!</v>
      </c>
      <c r="V138" s="807"/>
      <c r="W138" s="807"/>
      <c r="X138" s="807"/>
      <c r="Y138" s="807"/>
    </row>
    <row r="139" spans="1:25" ht="18.75" customHeight="1" x14ac:dyDescent="0.15">
      <c r="A139" s="1021" t="str">
        <f>'(B3) Struktura Funksionale'!B46</f>
        <v>04260</v>
      </c>
      <c r="B139" s="1079" t="str">
        <f>'(B3) Struktura Funksionale'!C46</f>
        <v>Administrimi i pyjeve dhe kullotave</v>
      </c>
      <c r="C139" s="1080"/>
      <c r="D139" s="1080"/>
      <c r="E139" s="1081"/>
      <c r="F139" s="934"/>
      <c r="G139" s="934"/>
      <c r="H139" s="934"/>
      <c r="I139" s="934"/>
      <c r="J139" s="934"/>
      <c r="K139" s="934"/>
      <c r="L139" s="934"/>
      <c r="M139" s="934"/>
      <c r="N139" s="934"/>
      <c r="O139" s="934"/>
      <c r="P139" s="934"/>
      <c r="Q139" s="934"/>
      <c r="R139" s="934"/>
      <c r="S139" s="934"/>
      <c r="T139" s="934"/>
      <c r="V139" s="807"/>
      <c r="W139" s="807"/>
      <c r="X139" s="807"/>
      <c r="Y139" s="807"/>
    </row>
    <row r="140" spans="1:25" x14ac:dyDescent="0.15">
      <c r="A140" s="958" t="str">
        <f>A$8</f>
        <v>Pagat dhe sigurimet shoqërore</v>
      </c>
      <c r="B140" s="958"/>
      <c r="C140" s="966">
        <v>14214060</v>
      </c>
      <c r="D140" s="966">
        <v>14924750</v>
      </c>
      <c r="E140" s="966">
        <v>15670990</v>
      </c>
      <c r="F140" s="934" t="str">
        <f t="shared" ref="F140:R143" si="74">IF(C140&lt;0,"STOPP!","OK!")</f>
        <v>OK!</v>
      </c>
      <c r="G140" s="934" t="str">
        <f t="shared" si="74"/>
        <v>OK!</v>
      </c>
      <c r="H140" s="934" t="str">
        <f t="shared" si="74"/>
        <v>OK!</v>
      </c>
      <c r="I140" s="934" t="str">
        <f t="shared" si="74"/>
        <v>OK!</v>
      </c>
      <c r="J140" s="934" t="str">
        <f t="shared" si="74"/>
        <v>OK!</v>
      </c>
      <c r="K140" s="934" t="str">
        <f t="shared" si="74"/>
        <v>OK!</v>
      </c>
      <c r="L140" s="934" t="str">
        <f t="shared" si="74"/>
        <v>OK!</v>
      </c>
      <c r="M140" s="934" t="str">
        <f t="shared" si="74"/>
        <v>OK!</v>
      </c>
      <c r="N140" s="934" t="str">
        <f t="shared" si="74"/>
        <v>OK!</v>
      </c>
      <c r="O140" s="934" t="str">
        <f t="shared" si="74"/>
        <v>OK!</v>
      </c>
      <c r="P140" s="934" t="str">
        <f t="shared" si="74"/>
        <v>OK!</v>
      </c>
      <c r="Q140" s="934" t="str">
        <f t="shared" si="74"/>
        <v>OK!</v>
      </c>
      <c r="R140" s="934" t="str">
        <f t="shared" si="74"/>
        <v>OK!</v>
      </c>
      <c r="S140" s="934" t="str">
        <f t="shared" ref="S140:T143" si="75">IF(D140&lt;0,"STOPP!","OK!")</f>
        <v>OK!</v>
      </c>
      <c r="T140" s="934" t="str">
        <f t="shared" si="75"/>
        <v>OK!</v>
      </c>
      <c r="V140" s="977"/>
      <c r="W140" s="977"/>
      <c r="X140" s="977"/>
      <c r="Y140" s="807"/>
    </row>
    <row r="141" spans="1:25" x14ac:dyDescent="0.15">
      <c r="A141" s="958" t="str">
        <f>A$9</f>
        <v>Të tjera shpenzime korrente</v>
      </c>
      <c r="B141" s="958"/>
      <c r="C141" s="967">
        <v>8445540</v>
      </c>
      <c r="D141" s="967">
        <v>8780360</v>
      </c>
      <c r="E141" s="967">
        <v>9050710</v>
      </c>
      <c r="F141" s="934" t="str">
        <f t="shared" si="74"/>
        <v>OK!</v>
      </c>
      <c r="G141" s="934" t="str">
        <f t="shared" si="74"/>
        <v>OK!</v>
      </c>
      <c r="H141" s="934" t="str">
        <f t="shared" si="74"/>
        <v>OK!</v>
      </c>
      <c r="I141" s="934" t="str">
        <f t="shared" si="74"/>
        <v>OK!</v>
      </c>
      <c r="J141" s="934" t="str">
        <f t="shared" si="74"/>
        <v>OK!</v>
      </c>
      <c r="K141" s="934" t="str">
        <f t="shared" si="74"/>
        <v>OK!</v>
      </c>
      <c r="L141" s="934" t="str">
        <f t="shared" si="74"/>
        <v>OK!</v>
      </c>
      <c r="M141" s="934" t="str">
        <f t="shared" si="74"/>
        <v>OK!</v>
      </c>
      <c r="N141" s="934" t="str">
        <f t="shared" si="74"/>
        <v>OK!</v>
      </c>
      <c r="O141" s="934" t="str">
        <f t="shared" si="74"/>
        <v>OK!</v>
      </c>
      <c r="P141" s="934" t="str">
        <f t="shared" si="74"/>
        <v>OK!</v>
      </c>
      <c r="Q141" s="934" t="str">
        <f t="shared" si="74"/>
        <v>OK!</v>
      </c>
      <c r="R141" s="934" t="str">
        <f t="shared" si="74"/>
        <v>OK!</v>
      </c>
      <c r="S141" s="934" t="str">
        <f t="shared" si="75"/>
        <v>OK!</v>
      </c>
      <c r="T141" s="934" t="str">
        <f t="shared" si="75"/>
        <v>OK!</v>
      </c>
      <c r="V141" s="985"/>
      <c r="W141" s="985"/>
      <c r="X141" s="985"/>
      <c r="Y141" s="807"/>
    </row>
    <row r="142" spans="1:25" x14ac:dyDescent="0.15">
      <c r="A142" s="960" t="str">
        <f>A$10</f>
        <v>Shpenzimet kapitale</v>
      </c>
      <c r="B142" s="961"/>
      <c r="C142" s="959">
        <f>C143-C140-C141</f>
        <v>8320000</v>
      </c>
      <c r="D142" s="962">
        <f>D143-D140-D141</f>
        <v>8569600</v>
      </c>
      <c r="E142" s="962">
        <f>E143-E140-E141</f>
        <v>8830700</v>
      </c>
      <c r="F142" s="934" t="str">
        <f t="shared" si="74"/>
        <v>OK!</v>
      </c>
      <c r="G142" s="934" t="str">
        <f t="shared" si="74"/>
        <v>OK!</v>
      </c>
      <c r="H142" s="934" t="str">
        <f t="shared" si="74"/>
        <v>OK!</v>
      </c>
      <c r="I142" s="934" t="str">
        <f t="shared" si="74"/>
        <v>OK!</v>
      </c>
      <c r="J142" s="934" t="str">
        <f t="shared" si="74"/>
        <v>OK!</v>
      </c>
      <c r="K142" s="934" t="str">
        <f t="shared" si="74"/>
        <v>OK!</v>
      </c>
      <c r="L142" s="934" t="str">
        <f t="shared" si="74"/>
        <v>OK!</v>
      </c>
      <c r="M142" s="934" t="str">
        <f t="shared" si="74"/>
        <v>OK!</v>
      </c>
      <c r="N142" s="934" t="str">
        <f t="shared" si="74"/>
        <v>OK!</v>
      </c>
      <c r="O142" s="934" t="str">
        <f t="shared" si="74"/>
        <v>OK!</v>
      </c>
      <c r="P142" s="934" t="str">
        <f t="shared" si="74"/>
        <v>OK!</v>
      </c>
      <c r="Q142" s="934" t="str">
        <f t="shared" si="74"/>
        <v>OK!</v>
      </c>
      <c r="R142" s="934" t="str">
        <f t="shared" si="74"/>
        <v>OK!</v>
      </c>
      <c r="S142" s="934" t="str">
        <f t="shared" si="75"/>
        <v>OK!</v>
      </c>
      <c r="T142" s="934" t="str">
        <f t="shared" si="75"/>
        <v>OK!</v>
      </c>
      <c r="V142" s="986"/>
      <c r="W142" s="986"/>
      <c r="X142" s="986"/>
      <c r="Y142" s="807"/>
    </row>
    <row r="143" spans="1:25" x14ac:dyDescent="0.15">
      <c r="A143" s="963" t="str">
        <f>A$11</f>
        <v>Tavanet e përgjithshme</v>
      </c>
      <c r="B143" s="964"/>
      <c r="C143" s="968">
        <v>30979600</v>
      </c>
      <c r="D143" s="969">
        <v>32274710</v>
      </c>
      <c r="E143" s="969">
        <v>33552400</v>
      </c>
      <c r="F143" s="934" t="str">
        <f t="shared" si="74"/>
        <v>OK!</v>
      </c>
      <c r="G143" s="934" t="str">
        <f t="shared" si="74"/>
        <v>OK!</v>
      </c>
      <c r="H143" s="934" t="str">
        <f t="shared" si="74"/>
        <v>OK!</v>
      </c>
      <c r="I143" s="934" t="str">
        <f t="shared" si="74"/>
        <v>OK!</v>
      </c>
      <c r="J143" s="934" t="str">
        <f t="shared" si="74"/>
        <v>OK!</v>
      </c>
      <c r="K143" s="934" t="str">
        <f t="shared" si="74"/>
        <v>OK!</v>
      </c>
      <c r="L143" s="934" t="str">
        <f t="shared" si="74"/>
        <v>OK!</v>
      </c>
      <c r="M143" s="934" t="str">
        <f t="shared" si="74"/>
        <v>OK!</v>
      </c>
      <c r="N143" s="934" t="str">
        <f t="shared" si="74"/>
        <v>OK!</v>
      </c>
      <c r="O143" s="934" t="str">
        <f t="shared" si="74"/>
        <v>OK!</v>
      </c>
      <c r="P143" s="934" t="str">
        <f t="shared" si="74"/>
        <v>OK!</v>
      </c>
      <c r="Q143" s="934" t="str">
        <f t="shared" si="74"/>
        <v>OK!</v>
      </c>
      <c r="R143" s="934" t="str">
        <f t="shared" si="74"/>
        <v>OK!</v>
      </c>
      <c r="S143" s="934" t="str">
        <f t="shared" si="75"/>
        <v>OK!</v>
      </c>
      <c r="T143" s="934" t="str">
        <f t="shared" si="75"/>
        <v>OK!</v>
      </c>
      <c r="V143" s="807"/>
      <c r="W143" s="807"/>
      <c r="X143" s="807"/>
      <c r="Y143" s="807"/>
    </row>
    <row r="144" spans="1:25" x14ac:dyDescent="0.15">
      <c r="A144" s="965" t="str">
        <f>A$12</f>
        <v>Angazhimet kujtesë</v>
      </c>
      <c r="B144" s="959"/>
      <c r="C144" s="959">
        <f>'(C5) Angazhimet'!D51</f>
        <v>0</v>
      </c>
      <c r="D144" s="959">
        <f>'(C5) Angazhimet'!E51</f>
        <v>0</v>
      </c>
      <c r="E144" s="959">
        <f>'(C5) Angazhimet'!F51</f>
        <v>0</v>
      </c>
      <c r="F144" s="934" t="str">
        <f>IF(C144&gt;C143,"STOPP!","OK!")</f>
        <v>OK!</v>
      </c>
      <c r="G144" s="934" t="str">
        <f t="shared" ref="G144:R144" si="76">IF(D144&lt;0,"STOPP!","OK!")</f>
        <v>OK!</v>
      </c>
      <c r="H144" s="934" t="str">
        <f t="shared" si="76"/>
        <v>OK!</v>
      </c>
      <c r="I144" s="934" t="str">
        <f t="shared" si="76"/>
        <v>OK!</v>
      </c>
      <c r="J144" s="934" t="str">
        <f t="shared" si="76"/>
        <v>OK!</v>
      </c>
      <c r="K144" s="934" t="str">
        <f t="shared" si="76"/>
        <v>OK!</v>
      </c>
      <c r="L144" s="934" t="str">
        <f t="shared" si="76"/>
        <v>OK!</v>
      </c>
      <c r="M144" s="934" t="str">
        <f t="shared" si="76"/>
        <v>OK!</v>
      </c>
      <c r="N144" s="934" t="str">
        <f t="shared" si="76"/>
        <v>OK!</v>
      </c>
      <c r="O144" s="934" t="str">
        <f t="shared" si="76"/>
        <v>OK!</v>
      </c>
      <c r="P144" s="934" t="str">
        <f t="shared" si="76"/>
        <v>OK!</v>
      </c>
      <c r="Q144" s="934" t="str">
        <f t="shared" si="76"/>
        <v>OK!</v>
      </c>
      <c r="R144" s="934" t="str">
        <f t="shared" si="76"/>
        <v>OK!</v>
      </c>
      <c r="S144" s="934" t="str">
        <f>IF(D144&gt;D143,"STOPP!","OK!")</f>
        <v>OK!</v>
      </c>
      <c r="T144" s="934" t="str">
        <f>IF(E144&gt;E143,"STOPP!","OK!")</f>
        <v>OK!</v>
      </c>
      <c r="V144" s="807"/>
      <c r="W144" s="807"/>
      <c r="X144" s="807"/>
      <c r="Y144" s="807"/>
    </row>
    <row r="145" spans="1:24" ht="18.75" x14ac:dyDescent="0.25">
      <c r="A145" s="1082" t="str">
        <f>'(B2) Struktura Organizative'!A14</f>
        <v>Nënfunksioni 8</v>
      </c>
      <c r="B145" s="1076" t="str">
        <f>'(B2) Struktura Organizative'!B14</f>
        <v>045 Trasporti</v>
      </c>
      <c r="C145" s="1077"/>
      <c r="D145" s="1077"/>
      <c r="E145" s="1078"/>
      <c r="G145" s="933">
        <f>C149</f>
        <v>205545310</v>
      </c>
      <c r="H145" s="933">
        <f>D149</f>
        <v>208462000</v>
      </c>
      <c r="I145" s="933">
        <f>E149</f>
        <v>214454600</v>
      </c>
      <c r="J145" s="933">
        <f>C146</f>
        <v>21725550</v>
      </c>
      <c r="K145" s="933">
        <f>D146</f>
        <v>22812000</v>
      </c>
      <c r="L145" s="933">
        <f>E146</f>
        <v>23952600</v>
      </c>
      <c r="M145" s="933">
        <f>C147</f>
        <v>16119760</v>
      </c>
      <c r="N145" s="933">
        <f>D147</f>
        <v>17550000</v>
      </c>
      <c r="O145" s="933">
        <f>E147</f>
        <v>18300000</v>
      </c>
      <c r="P145" s="933">
        <f>C148</f>
        <v>167700000</v>
      </c>
      <c r="Q145" s="933">
        <f>D148</f>
        <v>168100000</v>
      </c>
      <c r="R145" s="933">
        <f>E148</f>
        <v>172202000</v>
      </c>
    </row>
    <row r="146" spans="1:24" x14ac:dyDescent="0.15">
      <c r="A146" s="958" t="str">
        <f>A$8</f>
        <v>Pagat dhe sigurimet shoqërore</v>
      </c>
      <c r="B146" s="958"/>
      <c r="C146" s="959">
        <f t="shared" ref="C146:E147" si="77">C152+C158+C164</f>
        <v>21725550</v>
      </c>
      <c r="D146" s="959">
        <f t="shared" si="77"/>
        <v>22812000</v>
      </c>
      <c r="E146" s="959">
        <f t="shared" si="77"/>
        <v>23952600</v>
      </c>
      <c r="F146" s="934" t="str">
        <f t="shared" ref="F146:R149" si="78">IF(C146&lt;0,"STOPP!","OK!")</f>
        <v>OK!</v>
      </c>
      <c r="G146" s="934" t="str">
        <f t="shared" si="78"/>
        <v>OK!</v>
      </c>
      <c r="H146" s="934" t="str">
        <f t="shared" si="78"/>
        <v>OK!</v>
      </c>
      <c r="I146" s="934" t="str">
        <f t="shared" si="78"/>
        <v>OK!</v>
      </c>
      <c r="J146" s="934" t="str">
        <f t="shared" si="78"/>
        <v>OK!</v>
      </c>
      <c r="K146" s="934" t="str">
        <f t="shared" si="78"/>
        <v>OK!</v>
      </c>
      <c r="L146" s="934" t="str">
        <f t="shared" si="78"/>
        <v>OK!</v>
      </c>
      <c r="M146" s="934" t="str">
        <f t="shared" si="78"/>
        <v>OK!</v>
      </c>
      <c r="N146" s="934" t="str">
        <f t="shared" si="78"/>
        <v>OK!</v>
      </c>
      <c r="O146" s="934" t="str">
        <f t="shared" si="78"/>
        <v>OK!</v>
      </c>
      <c r="P146" s="934" t="str">
        <f t="shared" si="78"/>
        <v>OK!</v>
      </c>
      <c r="Q146" s="934" t="str">
        <f t="shared" si="78"/>
        <v>OK!</v>
      </c>
      <c r="R146" s="934" t="str">
        <f t="shared" si="78"/>
        <v>OK!</v>
      </c>
      <c r="S146" s="934" t="str">
        <f t="shared" ref="S146:T149" si="79">IF(D146&lt;0,"STOPP!","OK!")</f>
        <v>OK!</v>
      </c>
      <c r="T146" s="934" t="str">
        <f t="shared" si="79"/>
        <v>OK!</v>
      </c>
    </row>
    <row r="147" spans="1:24" x14ac:dyDescent="0.15">
      <c r="A147" s="958" t="str">
        <f>A$9</f>
        <v>Të tjera shpenzime korrente</v>
      </c>
      <c r="B147" s="958"/>
      <c r="C147" s="959">
        <f t="shared" si="77"/>
        <v>16119760</v>
      </c>
      <c r="D147" s="959">
        <f t="shared" si="77"/>
        <v>17550000</v>
      </c>
      <c r="E147" s="959">
        <f t="shared" si="77"/>
        <v>18300000</v>
      </c>
      <c r="F147" s="934" t="str">
        <f t="shared" si="78"/>
        <v>OK!</v>
      </c>
      <c r="G147" s="934" t="str">
        <f t="shared" si="78"/>
        <v>OK!</v>
      </c>
      <c r="H147" s="934" t="str">
        <f t="shared" si="78"/>
        <v>OK!</v>
      </c>
      <c r="I147" s="934" t="str">
        <f t="shared" si="78"/>
        <v>OK!</v>
      </c>
      <c r="J147" s="934" t="str">
        <f t="shared" si="78"/>
        <v>OK!</v>
      </c>
      <c r="K147" s="934" t="str">
        <f t="shared" si="78"/>
        <v>OK!</v>
      </c>
      <c r="L147" s="934" t="str">
        <f t="shared" si="78"/>
        <v>OK!</v>
      </c>
      <c r="M147" s="934" t="str">
        <f t="shared" si="78"/>
        <v>OK!</v>
      </c>
      <c r="N147" s="934" t="str">
        <f t="shared" si="78"/>
        <v>OK!</v>
      </c>
      <c r="O147" s="934" t="str">
        <f t="shared" si="78"/>
        <v>OK!</v>
      </c>
      <c r="P147" s="934" t="str">
        <f t="shared" si="78"/>
        <v>OK!</v>
      </c>
      <c r="Q147" s="934" t="str">
        <f t="shared" si="78"/>
        <v>OK!</v>
      </c>
      <c r="R147" s="934" t="str">
        <f t="shared" si="78"/>
        <v>OK!</v>
      </c>
      <c r="S147" s="934" t="str">
        <f t="shared" si="79"/>
        <v>OK!</v>
      </c>
      <c r="T147" s="934" t="str">
        <f t="shared" si="79"/>
        <v>OK!</v>
      </c>
    </row>
    <row r="148" spans="1:24" x14ac:dyDescent="0.15">
      <c r="A148" s="960" t="str">
        <f>A$10</f>
        <v>Shpenzimet kapitale</v>
      </c>
      <c r="B148" s="961"/>
      <c r="C148" s="959">
        <f>C149-C146-C147</f>
        <v>167700000</v>
      </c>
      <c r="D148" s="962">
        <f>D149-D146-D147</f>
        <v>168100000</v>
      </c>
      <c r="E148" s="962">
        <f>E149-E146-E147</f>
        <v>172202000</v>
      </c>
      <c r="F148" s="934" t="str">
        <f t="shared" si="78"/>
        <v>OK!</v>
      </c>
      <c r="G148" s="934" t="str">
        <f t="shared" si="78"/>
        <v>OK!</v>
      </c>
      <c r="H148" s="934" t="str">
        <f t="shared" si="78"/>
        <v>OK!</v>
      </c>
      <c r="I148" s="934" t="str">
        <f t="shared" si="78"/>
        <v>OK!</v>
      </c>
      <c r="J148" s="934" t="str">
        <f t="shared" si="78"/>
        <v>OK!</v>
      </c>
      <c r="K148" s="934" t="str">
        <f t="shared" si="78"/>
        <v>OK!</v>
      </c>
      <c r="L148" s="934" t="str">
        <f t="shared" si="78"/>
        <v>OK!</v>
      </c>
      <c r="M148" s="934" t="str">
        <f t="shared" si="78"/>
        <v>OK!</v>
      </c>
      <c r="N148" s="934" t="str">
        <f t="shared" si="78"/>
        <v>OK!</v>
      </c>
      <c r="O148" s="934" t="str">
        <f t="shared" si="78"/>
        <v>OK!</v>
      </c>
      <c r="P148" s="934" t="str">
        <f t="shared" si="78"/>
        <v>OK!</v>
      </c>
      <c r="Q148" s="934" t="str">
        <f t="shared" si="78"/>
        <v>OK!</v>
      </c>
      <c r="R148" s="934" t="str">
        <f t="shared" si="78"/>
        <v>OK!</v>
      </c>
      <c r="S148" s="934" t="str">
        <f t="shared" si="79"/>
        <v>OK!</v>
      </c>
      <c r="T148" s="934" t="str">
        <f t="shared" si="79"/>
        <v>OK!</v>
      </c>
    </row>
    <row r="149" spans="1:24" x14ac:dyDescent="0.15">
      <c r="A149" s="963" t="str">
        <f>A$11</f>
        <v>Tavanet e përgjithshme</v>
      </c>
      <c r="B149" s="964"/>
      <c r="C149" s="959">
        <f>C155+C161+C167</f>
        <v>205545310</v>
      </c>
      <c r="D149" s="959">
        <f>D155+D161+D167</f>
        <v>208462000</v>
      </c>
      <c r="E149" s="959">
        <f>E155+E161+E167</f>
        <v>214454600</v>
      </c>
      <c r="F149" s="934" t="str">
        <f t="shared" si="78"/>
        <v>OK!</v>
      </c>
      <c r="G149" s="934" t="str">
        <f t="shared" si="78"/>
        <v>OK!</v>
      </c>
      <c r="H149" s="934" t="str">
        <f t="shared" si="78"/>
        <v>OK!</v>
      </c>
      <c r="I149" s="934" t="str">
        <f t="shared" si="78"/>
        <v>OK!</v>
      </c>
      <c r="J149" s="934" t="str">
        <f t="shared" si="78"/>
        <v>OK!</v>
      </c>
      <c r="K149" s="934" t="str">
        <f t="shared" si="78"/>
        <v>OK!</v>
      </c>
      <c r="L149" s="934" t="str">
        <f t="shared" si="78"/>
        <v>OK!</v>
      </c>
      <c r="M149" s="934" t="str">
        <f t="shared" si="78"/>
        <v>OK!</v>
      </c>
      <c r="N149" s="934" t="str">
        <f t="shared" si="78"/>
        <v>OK!</v>
      </c>
      <c r="O149" s="934" t="str">
        <f t="shared" si="78"/>
        <v>OK!</v>
      </c>
      <c r="P149" s="934" t="str">
        <f t="shared" si="78"/>
        <v>OK!</v>
      </c>
      <c r="Q149" s="934" t="str">
        <f t="shared" si="78"/>
        <v>OK!</v>
      </c>
      <c r="R149" s="934" t="str">
        <f t="shared" si="78"/>
        <v>OK!</v>
      </c>
      <c r="S149" s="934" t="str">
        <f t="shared" si="79"/>
        <v>OK!</v>
      </c>
      <c r="T149" s="934" t="str">
        <f t="shared" si="79"/>
        <v>OK!</v>
      </c>
    </row>
    <row r="150" spans="1:24" x14ac:dyDescent="0.15">
      <c r="A150" s="965" t="str">
        <f>A$12</f>
        <v>Angazhimet kujtesë</v>
      </c>
      <c r="B150" s="959"/>
      <c r="C150" s="959">
        <f>'(C5) Angazhimet'!D59</f>
        <v>0</v>
      </c>
      <c r="D150" s="962">
        <f>'(C5) Angazhimet'!E59</f>
        <v>0</v>
      </c>
      <c r="E150" s="962">
        <f>'(C5) Angazhimet'!F59</f>
        <v>0</v>
      </c>
      <c r="F150" s="934" t="str">
        <f>IF(C150&gt;C149,"STOPP!","OK!")</f>
        <v>OK!</v>
      </c>
      <c r="G150" s="934" t="str">
        <f t="shared" ref="G150:R150" si="80">IF(D150&lt;0,"STOPP!","OK!")</f>
        <v>OK!</v>
      </c>
      <c r="H150" s="934" t="str">
        <f t="shared" si="80"/>
        <v>OK!</v>
      </c>
      <c r="I150" s="934" t="str">
        <f t="shared" si="80"/>
        <v>OK!</v>
      </c>
      <c r="J150" s="934" t="str">
        <f t="shared" si="80"/>
        <v>OK!</v>
      </c>
      <c r="K150" s="934" t="str">
        <f t="shared" si="80"/>
        <v>OK!</v>
      </c>
      <c r="L150" s="934" t="str">
        <f t="shared" si="80"/>
        <v>OK!</v>
      </c>
      <c r="M150" s="934" t="str">
        <f t="shared" si="80"/>
        <v>OK!</v>
      </c>
      <c r="N150" s="934" t="str">
        <f t="shared" si="80"/>
        <v>OK!</v>
      </c>
      <c r="O150" s="934" t="str">
        <f t="shared" si="80"/>
        <v>OK!</v>
      </c>
      <c r="P150" s="934" t="str">
        <f t="shared" si="80"/>
        <v>OK!</v>
      </c>
      <c r="Q150" s="934" t="str">
        <f t="shared" si="80"/>
        <v>OK!</v>
      </c>
      <c r="R150" s="934" t="str">
        <f t="shared" si="80"/>
        <v>OK!</v>
      </c>
      <c r="S150" s="934" t="str">
        <f>IF(D150&gt;D149,"STOPP!","OK!")</f>
        <v>OK!</v>
      </c>
      <c r="T150" s="934" t="str">
        <f>IF(E150&gt;E149,"STOPP!","OK!")</f>
        <v>OK!</v>
      </c>
    </row>
    <row r="151" spans="1:24" ht="15.75" x14ac:dyDescent="0.15">
      <c r="A151" s="1021" t="str">
        <f>'(B3) Struktura Funksionale'!B49</f>
        <v>04520</v>
      </c>
      <c r="B151" s="1079" t="str">
        <f>'(B3) Struktura Funksionale'!C49</f>
        <v>Rrjeti rrugor rural</v>
      </c>
      <c r="C151" s="1080"/>
      <c r="D151" s="1080"/>
      <c r="E151" s="1081"/>
      <c r="F151" s="934"/>
      <c r="G151" s="934"/>
      <c r="H151" s="934"/>
      <c r="I151" s="934"/>
      <c r="J151" s="934"/>
      <c r="K151" s="934"/>
      <c r="L151" s="934"/>
      <c r="M151" s="934"/>
      <c r="N151" s="934"/>
      <c r="O151" s="934"/>
      <c r="P151" s="934"/>
      <c r="Q151" s="934"/>
      <c r="R151" s="934"/>
      <c r="S151" s="934"/>
      <c r="T151" s="934"/>
    </row>
    <row r="152" spans="1:24" x14ac:dyDescent="0.15">
      <c r="A152" s="958" t="str">
        <f>A$8</f>
        <v>Pagat dhe sigurimet shoqërore</v>
      </c>
      <c r="B152" s="958"/>
      <c r="C152" s="966">
        <v>21725550</v>
      </c>
      <c r="D152" s="966">
        <v>22812000</v>
      </c>
      <c r="E152" s="966">
        <v>23952600</v>
      </c>
      <c r="F152" s="934" t="str">
        <f t="shared" ref="F152:R155" si="81">IF(C152&lt;0,"STOPP!","OK!")</f>
        <v>OK!</v>
      </c>
      <c r="G152" s="934" t="str">
        <f t="shared" si="81"/>
        <v>OK!</v>
      </c>
      <c r="H152" s="934" t="str">
        <f t="shared" si="81"/>
        <v>OK!</v>
      </c>
      <c r="I152" s="934" t="str">
        <f t="shared" si="81"/>
        <v>OK!</v>
      </c>
      <c r="J152" s="934" t="str">
        <f t="shared" si="81"/>
        <v>OK!</v>
      </c>
      <c r="K152" s="934" t="str">
        <f t="shared" si="81"/>
        <v>OK!</v>
      </c>
      <c r="L152" s="934" t="str">
        <f t="shared" si="81"/>
        <v>OK!</v>
      </c>
      <c r="M152" s="934" t="str">
        <f t="shared" si="81"/>
        <v>OK!</v>
      </c>
      <c r="N152" s="934" t="str">
        <f t="shared" si="81"/>
        <v>OK!</v>
      </c>
      <c r="O152" s="934" t="str">
        <f t="shared" si="81"/>
        <v>OK!</v>
      </c>
      <c r="P152" s="934" t="str">
        <f t="shared" si="81"/>
        <v>OK!</v>
      </c>
      <c r="Q152" s="934" t="str">
        <f t="shared" si="81"/>
        <v>OK!</v>
      </c>
      <c r="R152" s="934" t="str">
        <f t="shared" si="81"/>
        <v>OK!</v>
      </c>
      <c r="S152" s="934" t="str">
        <f t="shared" ref="S152:T155" si="82">IF(D152&lt;0,"STOPP!","OK!")</f>
        <v>OK!</v>
      </c>
      <c r="T152" s="934" t="str">
        <f t="shared" si="82"/>
        <v>OK!</v>
      </c>
      <c r="V152" s="977"/>
      <c r="W152" s="977"/>
      <c r="X152" s="977"/>
    </row>
    <row r="153" spans="1:24" x14ac:dyDescent="0.15">
      <c r="A153" s="958" t="str">
        <f>A$9</f>
        <v>Të tjera shpenzime korrente</v>
      </c>
      <c r="B153" s="958"/>
      <c r="C153" s="967">
        <v>16119760</v>
      </c>
      <c r="D153" s="967">
        <v>17550000</v>
      </c>
      <c r="E153" s="967">
        <v>18300000</v>
      </c>
      <c r="F153" s="934" t="str">
        <f t="shared" si="81"/>
        <v>OK!</v>
      </c>
      <c r="G153" s="934" t="str">
        <f t="shared" si="81"/>
        <v>OK!</v>
      </c>
      <c r="H153" s="934" t="str">
        <f t="shared" si="81"/>
        <v>OK!</v>
      </c>
      <c r="I153" s="934" t="str">
        <f t="shared" si="81"/>
        <v>OK!</v>
      </c>
      <c r="J153" s="934" t="str">
        <f t="shared" si="81"/>
        <v>OK!</v>
      </c>
      <c r="K153" s="934" t="str">
        <f t="shared" si="81"/>
        <v>OK!</v>
      </c>
      <c r="L153" s="934" t="str">
        <f t="shared" si="81"/>
        <v>OK!</v>
      </c>
      <c r="M153" s="934" t="str">
        <f t="shared" si="81"/>
        <v>OK!</v>
      </c>
      <c r="N153" s="934" t="str">
        <f t="shared" si="81"/>
        <v>OK!</v>
      </c>
      <c r="O153" s="934" t="str">
        <f t="shared" si="81"/>
        <v>OK!</v>
      </c>
      <c r="P153" s="934" t="str">
        <f t="shared" si="81"/>
        <v>OK!</v>
      </c>
      <c r="Q153" s="934" t="str">
        <f t="shared" si="81"/>
        <v>OK!</v>
      </c>
      <c r="R153" s="934" t="str">
        <f t="shared" si="81"/>
        <v>OK!</v>
      </c>
      <c r="S153" s="934" t="str">
        <f t="shared" si="82"/>
        <v>OK!</v>
      </c>
      <c r="T153" s="934" t="str">
        <f t="shared" si="82"/>
        <v>OK!</v>
      </c>
      <c r="V153" s="985"/>
      <c r="W153" s="985"/>
      <c r="X153" s="985"/>
    </row>
    <row r="154" spans="1:24" x14ac:dyDescent="0.15">
      <c r="A154" s="960" t="str">
        <f>A$10</f>
        <v>Shpenzimet kapitale</v>
      </c>
      <c r="B154" s="961"/>
      <c r="C154" s="975">
        <f>C155-C152-C153</f>
        <v>167700000</v>
      </c>
      <c r="D154" s="974">
        <f>D155-D153-D152</f>
        <v>168100000</v>
      </c>
      <c r="E154" s="974">
        <f>E155-E153-E152</f>
        <v>172202000</v>
      </c>
      <c r="F154" s="934" t="str">
        <f t="shared" si="81"/>
        <v>OK!</v>
      </c>
      <c r="G154" s="934" t="str">
        <f t="shared" si="81"/>
        <v>OK!</v>
      </c>
      <c r="H154" s="934" t="str">
        <f t="shared" si="81"/>
        <v>OK!</v>
      </c>
      <c r="I154" s="934" t="str">
        <f t="shared" si="81"/>
        <v>OK!</v>
      </c>
      <c r="J154" s="934" t="str">
        <f t="shared" si="81"/>
        <v>OK!</v>
      </c>
      <c r="K154" s="934" t="str">
        <f t="shared" si="81"/>
        <v>OK!</v>
      </c>
      <c r="L154" s="934" t="str">
        <f t="shared" si="81"/>
        <v>OK!</v>
      </c>
      <c r="M154" s="934" t="str">
        <f t="shared" si="81"/>
        <v>OK!</v>
      </c>
      <c r="N154" s="934" t="str">
        <f t="shared" si="81"/>
        <v>OK!</v>
      </c>
      <c r="O154" s="934" t="str">
        <f t="shared" si="81"/>
        <v>OK!</v>
      </c>
      <c r="P154" s="934" t="str">
        <f t="shared" si="81"/>
        <v>OK!</v>
      </c>
      <c r="Q154" s="934" t="str">
        <f t="shared" si="81"/>
        <v>OK!</v>
      </c>
      <c r="R154" s="934" t="str">
        <f t="shared" si="81"/>
        <v>OK!</v>
      </c>
      <c r="S154" s="934" t="str">
        <f t="shared" si="82"/>
        <v>OK!</v>
      </c>
      <c r="T154" s="934" t="str">
        <f t="shared" si="82"/>
        <v>OK!</v>
      </c>
      <c r="V154" s="986"/>
      <c r="W154" s="986"/>
      <c r="X154" s="986"/>
    </row>
    <row r="155" spans="1:24" x14ac:dyDescent="0.15">
      <c r="A155" s="963" t="str">
        <f>A$11</f>
        <v>Tavanet e përgjithshme</v>
      </c>
      <c r="B155" s="964"/>
      <c r="C155" s="933">
        <f>141545310+64000000</f>
        <v>205545310</v>
      </c>
      <c r="D155" s="933">
        <f>144462000+64000000</f>
        <v>208462000</v>
      </c>
      <c r="E155" s="933">
        <f>147454600+67000000</f>
        <v>214454600</v>
      </c>
      <c r="F155" s="934" t="str">
        <f t="shared" si="81"/>
        <v>OK!</v>
      </c>
      <c r="G155" s="934" t="str">
        <f t="shared" si="81"/>
        <v>OK!</v>
      </c>
      <c r="H155" s="934" t="str">
        <f t="shared" si="81"/>
        <v>OK!</v>
      </c>
      <c r="I155" s="934" t="str">
        <f t="shared" si="81"/>
        <v>OK!</v>
      </c>
      <c r="J155" s="934" t="str">
        <f t="shared" si="81"/>
        <v>OK!</v>
      </c>
      <c r="K155" s="934" t="str">
        <f t="shared" si="81"/>
        <v>OK!</v>
      </c>
      <c r="L155" s="934" t="str">
        <f t="shared" si="81"/>
        <v>OK!</v>
      </c>
      <c r="M155" s="934" t="str">
        <f t="shared" si="81"/>
        <v>OK!</v>
      </c>
      <c r="N155" s="934" t="str">
        <f t="shared" si="81"/>
        <v>OK!</v>
      </c>
      <c r="O155" s="934" t="str">
        <f t="shared" si="81"/>
        <v>OK!</v>
      </c>
      <c r="P155" s="934" t="str">
        <f t="shared" si="81"/>
        <v>OK!</v>
      </c>
      <c r="Q155" s="934" t="str">
        <f t="shared" si="81"/>
        <v>OK!</v>
      </c>
      <c r="R155" s="934" t="str">
        <f t="shared" si="81"/>
        <v>OK!</v>
      </c>
      <c r="S155" s="934" t="str">
        <f t="shared" si="82"/>
        <v>OK!</v>
      </c>
      <c r="T155" s="934" t="str">
        <f t="shared" si="82"/>
        <v>OK!</v>
      </c>
      <c r="V155" s="987"/>
      <c r="W155" s="987"/>
      <c r="X155" s="987"/>
    </row>
    <row r="156" spans="1:24" x14ac:dyDescent="0.15">
      <c r="A156" s="965" t="str">
        <f>A$12</f>
        <v>Angazhimet kujtesë</v>
      </c>
      <c r="B156" s="959"/>
      <c r="C156" s="959">
        <f>'(C5) Angazhimet'!D55</f>
        <v>0</v>
      </c>
      <c r="D156" s="959">
        <f>'(C5) Angazhimet'!E55</f>
        <v>0</v>
      </c>
      <c r="E156" s="959">
        <f>'(C5) Angazhimet'!F55</f>
        <v>0</v>
      </c>
      <c r="F156" s="934" t="str">
        <f>IF(C156&gt;C155,"STOPP!","OK!")</f>
        <v>OK!</v>
      </c>
      <c r="G156" s="934" t="str">
        <f t="shared" ref="G156:R156" si="83">IF(D156&lt;0,"STOPP!","OK!")</f>
        <v>OK!</v>
      </c>
      <c r="H156" s="934" t="str">
        <f t="shared" si="83"/>
        <v>OK!</v>
      </c>
      <c r="I156" s="934" t="str">
        <f t="shared" si="83"/>
        <v>OK!</v>
      </c>
      <c r="J156" s="934" t="str">
        <f t="shared" si="83"/>
        <v>OK!</v>
      </c>
      <c r="K156" s="934" t="str">
        <f t="shared" si="83"/>
        <v>OK!</v>
      </c>
      <c r="L156" s="934" t="str">
        <f t="shared" si="83"/>
        <v>OK!</v>
      </c>
      <c r="M156" s="934" t="str">
        <f t="shared" si="83"/>
        <v>OK!</v>
      </c>
      <c r="N156" s="934" t="str">
        <f t="shared" si="83"/>
        <v>OK!</v>
      </c>
      <c r="O156" s="934" t="str">
        <f t="shared" si="83"/>
        <v>OK!</v>
      </c>
      <c r="P156" s="934" t="str">
        <f t="shared" si="83"/>
        <v>OK!</v>
      </c>
      <c r="Q156" s="934" t="str">
        <f t="shared" si="83"/>
        <v>OK!</v>
      </c>
      <c r="R156" s="934" t="str">
        <f t="shared" si="83"/>
        <v>OK!</v>
      </c>
      <c r="S156" s="934" t="str">
        <f>IF(D156&gt;D155,"STOPP!","OK!")</f>
        <v>OK!</v>
      </c>
      <c r="T156" s="934" t="str">
        <f>IF(E156&gt;E155,"STOPP!","OK!")</f>
        <v>OK!</v>
      </c>
      <c r="V156" s="807"/>
      <c r="W156" s="807"/>
      <c r="X156" s="807"/>
    </row>
    <row r="157" spans="1:24" ht="15.75" x14ac:dyDescent="0.15">
      <c r="A157" s="1089" t="str">
        <f>'(B3) Struktura Funksionale'!B50</f>
        <v>04530</v>
      </c>
      <c r="B157" s="1079" t="str">
        <f>'(B3) Struktura Funksionale'!C50</f>
        <v>Studimi i rrugëve</v>
      </c>
      <c r="C157" s="1080"/>
      <c r="D157" s="1080"/>
      <c r="E157" s="1081"/>
      <c r="F157" s="934"/>
      <c r="G157" s="934"/>
      <c r="H157" s="934"/>
      <c r="I157" s="934"/>
      <c r="J157" s="934"/>
      <c r="K157" s="934"/>
      <c r="L157" s="934"/>
      <c r="M157" s="934"/>
      <c r="N157" s="934"/>
      <c r="O157" s="934"/>
      <c r="P157" s="934"/>
      <c r="Q157" s="934"/>
      <c r="R157" s="934"/>
      <c r="S157" s="934"/>
      <c r="T157" s="934"/>
    </row>
    <row r="158" spans="1:24" x14ac:dyDescent="0.15">
      <c r="A158" s="958" t="str">
        <f>A$8</f>
        <v>Pagat dhe sigurimet shoqërore</v>
      </c>
      <c r="B158" s="958"/>
      <c r="C158" s="966"/>
      <c r="D158" s="966"/>
      <c r="E158" s="966"/>
      <c r="F158" s="934" t="str">
        <f t="shared" ref="F158:R161" si="84">IF(C158&lt;0,"STOPP!","OK!")</f>
        <v>OK!</v>
      </c>
      <c r="G158" s="934" t="str">
        <f t="shared" si="84"/>
        <v>OK!</v>
      </c>
      <c r="H158" s="934" t="str">
        <f t="shared" si="84"/>
        <v>OK!</v>
      </c>
      <c r="I158" s="934" t="str">
        <f t="shared" si="84"/>
        <v>OK!</v>
      </c>
      <c r="J158" s="934" t="str">
        <f t="shared" si="84"/>
        <v>OK!</v>
      </c>
      <c r="K158" s="934" t="str">
        <f t="shared" si="84"/>
        <v>OK!</v>
      </c>
      <c r="L158" s="934" t="str">
        <f t="shared" si="84"/>
        <v>OK!</v>
      </c>
      <c r="M158" s="934" t="str">
        <f t="shared" si="84"/>
        <v>OK!</v>
      </c>
      <c r="N158" s="934" t="str">
        <f t="shared" si="84"/>
        <v>OK!</v>
      </c>
      <c r="O158" s="934" t="str">
        <f t="shared" si="84"/>
        <v>OK!</v>
      </c>
      <c r="P158" s="934" t="str">
        <f t="shared" si="84"/>
        <v>OK!</v>
      </c>
      <c r="Q158" s="934" t="str">
        <f t="shared" si="84"/>
        <v>OK!</v>
      </c>
      <c r="R158" s="934" t="str">
        <f t="shared" si="84"/>
        <v>OK!</v>
      </c>
      <c r="S158" s="934" t="str">
        <f t="shared" ref="S158:T161" si="85">IF(D158&lt;0,"STOPP!","OK!")</f>
        <v>OK!</v>
      </c>
      <c r="T158" s="934" t="str">
        <f t="shared" si="85"/>
        <v>OK!</v>
      </c>
    </row>
    <row r="159" spans="1:24" x14ac:dyDescent="0.15">
      <c r="A159" s="958" t="str">
        <f>A$9</f>
        <v>Të tjera shpenzime korrente</v>
      </c>
      <c r="B159" s="958"/>
      <c r="C159" s="967"/>
      <c r="D159" s="967"/>
      <c r="E159" s="967"/>
      <c r="F159" s="934" t="str">
        <f t="shared" si="84"/>
        <v>OK!</v>
      </c>
      <c r="G159" s="934" t="str">
        <f t="shared" si="84"/>
        <v>OK!</v>
      </c>
      <c r="H159" s="934" t="str">
        <f t="shared" si="84"/>
        <v>OK!</v>
      </c>
      <c r="I159" s="934" t="str">
        <f t="shared" si="84"/>
        <v>OK!</v>
      </c>
      <c r="J159" s="934" t="str">
        <f t="shared" si="84"/>
        <v>OK!</v>
      </c>
      <c r="K159" s="934" t="str">
        <f t="shared" si="84"/>
        <v>OK!</v>
      </c>
      <c r="L159" s="934" t="str">
        <f t="shared" si="84"/>
        <v>OK!</v>
      </c>
      <c r="M159" s="934" t="str">
        <f t="shared" si="84"/>
        <v>OK!</v>
      </c>
      <c r="N159" s="934" t="str">
        <f t="shared" si="84"/>
        <v>OK!</v>
      </c>
      <c r="O159" s="934" t="str">
        <f t="shared" si="84"/>
        <v>OK!</v>
      </c>
      <c r="P159" s="934" t="str">
        <f t="shared" si="84"/>
        <v>OK!</v>
      </c>
      <c r="Q159" s="934" t="str">
        <f t="shared" si="84"/>
        <v>OK!</v>
      </c>
      <c r="R159" s="934" t="str">
        <f t="shared" si="84"/>
        <v>OK!</v>
      </c>
      <c r="S159" s="934" t="str">
        <f t="shared" si="85"/>
        <v>OK!</v>
      </c>
      <c r="T159" s="934" t="str">
        <f t="shared" si="85"/>
        <v>OK!</v>
      </c>
    </row>
    <row r="160" spans="1:24" x14ac:dyDescent="0.15">
      <c r="A160" s="960" t="str">
        <f>A$10</f>
        <v>Shpenzimet kapitale</v>
      </c>
      <c r="B160" s="961"/>
      <c r="C160" s="959">
        <f>C161-C158-C159</f>
        <v>0</v>
      </c>
      <c r="D160" s="962">
        <f>D161-D158-D159</f>
        <v>0</v>
      </c>
      <c r="E160" s="962">
        <f>E161-E158-E159</f>
        <v>0</v>
      </c>
      <c r="F160" s="934" t="str">
        <f t="shared" si="84"/>
        <v>OK!</v>
      </c>
      <c r="G160" s="934" t="str">
        <f t="shared" si="84"/>
        <v>OK!</v>
      </c>
      <c r="H160" s="934" t="str">
        <f t="shared" si="84"/>
        <v>OK!</v>
      </c>
      <c r="I160" s="934" t="str">
        <f t="shared" si="84"/>
        <v>OK!</v>
      </c>
      <c r="J160" s="934" t="str">
        <f t="shared" si="84"/>
        <v>OK!</v>
      </c>
      <c r="K160" s="934" t="str">
        <f t="shared" si="84"/>
        <v>OK!</v>
      </c>
      <c r="L160" s="934" t="str">
        <f t="shared" si="84"/>
        <v>OK!</v>
      </c>
      <c r="M160" s="934" t="str">
        <f t="shared" si="84"/>
        <v>OK!</v>
      </c>
      <c r="N160" s="934" t="str">
        <f t="shared" si="84"/>
        <v>OK!</v>
      </c>
      <c r="O160" s="934" t="str">
        <f t="shared" si="84"/>
        <v>OK!</v>
      </c>
      <c r="P160" s="934" t="str">
        <f t="shared" si="84"/>
        <v>OK!</v>
      </c>
      <c r="Q160" s="934" t="str">
        <f t="shared" si="84"/>
        <v>OK!</v>
      </c>
      <c r="R160" s="934" t="str">
        <f t="shared" si="84"/>
        <v>OK!</v>
      </c>
      <c r="S160" s="934" t="str">
        <f t="shared" si="85"/>
        <v>OK!</v>
      </c>
      <c r="T160" s="934" t="str">
        <f t="shared" si="85"/>
        <v>OK!</v>
      </c>
    </row>
    <row r="161" spans="1:20" x14ac:dyDescent="0.15">
      <c r="A161" s="963" t="str">
        <f>A$11</f>
        <v>Tavanet e përgjithshme</v>
      </c>
      <c r="B161" s="964"/>
      <c r="C161" s="968">
        <v>0</v>
      </c>
      <c r="D161" s="968">
        <v>0</v>
      </c>
      <c r="E161" s="969">
        <v>0</v>
      </c>
      <c r="F161" s="934" t="str">
        <f t="shared" si="84"/>
        <v>OK!</v>
      </c>
      <c r="G161" s="934" t="str">
        <f t="shared" si="84"/>
        <v>OK!</v>
      </c>
      <c r="H161" s="934" t="str">
        <f t="shared" si="84"/>
        <v>OK!</v>
      </c>
      <c r="I161" s="934" t="str">
        <f t="shared" si="84"/>
        <v>OK!</v>
      </c>
      <c r="J161" s="934" t="str">
        <f t="shared" si="84"/>
        <v>OK!</v>
      </c>
      <c r="K161" s="934" t="str">
        <f t="shared" si="84"/>
        <v>OK!</v>
      </c>
      <c r="L161" s="934" t="str">
        <f t="shared" si="84"/>
        <v>OK!</v>
      </c>
      <c r="M161" s="934" t="str">
        <f t="shared" si="84"/>
        <v>OK!</v>
      </c>
      <c r="N161" s="934" t="str">
        <f t="shared" si="84"/>
        <v>OK!</v>
      </c>
      <c r="O161" s="934" t="str">
        <f t="shared" si="84"/>
        <v>OK!</v>
      </c>
      <c r="P161" s="934" t="str">
        <f t="shared" si="84"/>
        <v>OK!</v>
      </c>
      <c r="Q161" s="934" t="str">
        <f t="shared" si="84"/>
        <v>OK!</v>
      </c>
      <c r="R161" s="934" t="str">
        <f t="shared" si="84"/>
        <v>OK!</v>
      </c>
      <c r="S161" s="934" t="str">
        <f t="shared" si="85"/>
        <v>OK!</v>
      </c>
      <c r="T161" s="934" t="str">
        <f t="shared" si="85"/>
        <v>OK!</v>
      </c>
    </row>
    <row r="162" spans="1:20" x14ac:dyDescent="0.15">
      <c r="A162" s="965" t="str">
        <f>A$12</f>
        <v>Angazhimet kujtesë</v>
      </c>
      <c r="B162" s="959"/>
      <c r="C162" s="959">
        <f>'(C5) Angazhimet'!D56</f>
        <v>0</v>
      </c>
      <c r="D162" s="959">
        <f>'(C5) Angazhimet'!E56</f>
        <v>0</v>
      </c>
      <c r="E162" s="959">
        <f>'(C5) Angazhimet'!F56</f>
        <v>0</v>
      </c>
      <c r="F162" s="934" t="str">
        <f>IF(C162&gt;C161,"STOPP!","OK!")</f>
        <v>OK!</v>
      </c>
      <c r="G162" s="934" t="str">
        <f t="shared" ref="G162:R162" si="86">IF(D162&lt;0,"STOPP!","OK!")</f>
        <v>OK!</v>
      </c>
      <c r="H162" s="934" t="str">
        <f t="shared" si="86"/>
        <v>OK!</v>
      </c>
      <c r="I162" s="934" t="str">
        <f t="shared" si="86"/>
        <v>OK!</v>
      </c>
      <c r="J162" s="934" t="str">
        <f t="shared" si="86"/>
        <v>OK!</v>
      </c>
      <c r="K162" s="934" t="str">
        <f t="shared" si="86"/>
        <v>OK!</v>
      </c>
      <c r="L162" s="934" t="str">
        <f t="shared" si="86"/>
        <v>OK!</v>
      </c>
      <c r="M162" s="934" t="str">
        <f t="shared" si="86"/>
        <v>OK!</v>
      </c>
      <c r="N162" s="934" t="str">
        <f t="shared" si="86"/>
        <v>OK!</v>
      </c>
      <c r="O162" s="934" t="str">
        <f t="shared" si="86"/>
        <v>OK!</v>
      </c>
      <c r="P162" s="934" t="str">
        <f t="shared" si="86"/>
        <v>OK!</v>
      </c>
      <c r="Q162" s="934" t="str">
        <f t="shared" si="86"/>
        <v>OK!</v>
      </c>
      <c r="R162" s="934" t="str">
        <f t="shared" si="86"/>
        <v>OK!</v>
      </c>
      <c r="S162" s="934" t="str">
        <f>IF(D162&gt;D161,"STOPP!","OK!")</f>
        <v>OK!</v>
      </c>
      <c r="T162" s="934" t="str">
        <f>IF(E162&gt;E161,"STOPP!","OK!")</f>
        <v>OK!</v>
      </c>
    </row>
    <row r="163" spans="1:20" ht="15.75" x14ac:dyDescent="0.15">
      <c r="A163" s="1089" t="str">
        <f>'(B3) Struktura Funksionale'!B51</f>
        <v>04570</v>
      </c>
      <c r="B163" s="1079" t="str">
        <f>'(B3) Struktura Funksionale'!C51</f>
        <v>Transporti publik</v>
      </c>
      <c r="C163" s="1080"/>
      <c r="D163" s="1080"/>
      <c r="E163" s="1081"/>
      <c r="F163" s="934"/>
      <c r="G163" s="934"/>
      <c r="H163" s="934"/>
      <c r="I163" s="934"/>
      <c r="J163" s="934"/>
      <c r="K163" s="934"/>
      <c r="L163" s="934"/>
      <c r="M163" s="934"/>
      <c r="N163" s="934"/>
      <c r="O163" s="934"/>
      <c r="P163" s="934"/>
      <c r="Q163" s="934"/>
      <c r="R163" s="934"/>
      <c r="S163" s="934"/>
      <c r="T163" s="934"/>
    </row>
    <row r="164" spans="1:20" x14ac:dyDescent="0.15">
      <c r="A164" s="958" t="str">
        <f>A$8</f>
        <v>Pagat dhe sigurimet shoqërore</v>
      </c>
      <c r="B164" s="958"/>
      <c r="C164" s="966"/>
      <c r="D164" s="966"/>
      <c r="E164" s="966"/>
      <c r="F164" s="934" t="str">
        <f t="shared" ref="F164:R167" si="87">IF(C164&lt;0,"STOPP!","OK!")</f>
        <v>OK!</v>
      </c>
      <c r="G164" s="934" t="str">
        <f t="shared" si="87"/>
        <v>OK!</v>
      </c>
      <c r="H164" s="934" t="str">
        <f t="shared" si="87"/>
        <v>OK!</v>
      </c>
      <c r="I164" s="934" t="str">
        <f t="shared" si="87"/>
        <v>OK!</v>
      </c>
      <c r="J164" s="934" t="str">
        <f t="shared" si="87"/>
        <v>OK!</v>
      </c>
      <c r="K164" s="934" t="str">
        <f t="shared" si="87"/>
        <v>OK!</v>
      </c>
      <c r="L164" s="934" t="str">
        <f t="shared" si="87"/>
        <v>OK!</v>
      </c>
      <c r="M164" s="934" t="str">
        <f t="shared" si="87"/>
        <v>OK!</v>
      </c>
      <c r="N164" s="934" t="str">
        <f t="shared" si="87"/>
        <v>OK!</v>
      </c>
      <c r="O164" s="934" t="str">
        <f t="shared" si="87"/>
        <v>OK!</v>
      </c>
      <c r="P164" s="934" t="str">
        <f t="shared" si="87"/>
        <v>OK!</v>
      </c>
      <c r="Q164" s="934" t="str">
        <f t="shared" si="87"/>
        <v>OK!</v>
      </c>
      <c r="R164" s="934" t="str">
        <f t="shared" si="87"/>
        <v>OK!</v>
      </c>
      <c r="S164" s="934" t="str">
        <f t="shared" ref="S164:T167" si="88">IF(D164&lt;0,"STOPP!","OK!")</f>
        <v>OK!</v>
      </c>
      <c r="T164" s="934" t="str">
        <f t="shared" si="88"/>
        <v>OK!</v>
      </c>
    </row>
    <row r="165" spans="1:20" x14ac:dyDescent="0.15">
      <c r="A165" s="958" t="str">
        <f>A$9</f>
        <v>Të tjera shpenzime korrente</v>
      </c>
      <c r="B165" s="958"/>
      <c r="C165" s="967"/>
      <c r="D165" s="967"/>
      <c r="E165" s="967"/>
      <c r="F165" s="934" t="str">
        <f t="shared" si="87"/>
        <v>OK!</v>
      </c>
      <c r="G165" s="934" t="str">
        <f t="shared" si="87"/>
        <v>OK!</v>
      </c>
      <c r="H165" s="934" t="str">
        <f t="shared" si="87"/>
        <v>OK!</v>
      </c>
      <c r="I165" s="934" t="str">
        <f t="shared" si="87"/>
        <v>OK!</v>
      </c>
      <c r="J165" s="934" t="str">
        <f t="shared" si="87"/>
        <v>OK!</v>
      </c>
      <c r="K165" s="934" t="str">
        <f t="shared" si="87"/>
        <v>OK!</v>
      </c>
      <c r="L165" s="934" t="str">
        <f t="shared" si="87"/>
        <v>OK!</v>
      </c>
      <c r="M165" s="934" t="str">
        <f t="shared" si="87"/>
        <v>OK!</v>
      </c>
      <c r="N165" s="934" t="str">
        <f t="shared" si="87"/>
        <v>OK!</v>
      </c>
      <c r="O165" s="934" t="str">
        <f t="shared" si="87"/>
        <v>OK!</v>
      </c>
      <c r="P165" s="934" t="str">
        <f t="shared" si="87"/>
        <v>OK!</v>
      </c>
      <c r="Q165" s="934" t="str">
        <f t="shared" si="87"/>
        <v>OK!</v>
      </c>
      <c r="R165" s="934" t="str">
        <f t="shared" si="87"/>
        <v>OK!</v>
      </c>
      <c r="S165" s="934" t="str">
        <f t="shared" si="88"/>
        <v>OK!</v>
      </c>
      <c r="T165" s="934" t="str">
        <f t="shared" si="88"/>
        <v>OK!</v>
      </c>
    </row>
    <row r="166" spans="1:20" x14ac:dyDescent="0.15">
      <c r="A166" s="960" t="str">
        <f>A$10</f>
        <v>Shpenzimet kapitale</v>
      </c>
      <c r="B166" s="961"/>
      <c r="C166" s="959">
        <f>C167-C164-C165</f>
        <v>0</v>
      </c>
      <c r="D166" s="962">
        <f>D167-D164-D165</f>
        <v>0</v>
      </c>
      <c r="E166" s="962">
        <f>E167-E164-E165</f>
        <v>0</v>
      </c>
      <c r="F166" s="934" t="str">
        <f t="shared" si="87"/>
        <v>OK!</v>
      </c>
      <c r="G166" s="934" t="str">
        <f t="shared" si="87"/>
        <v>OK!</v>
      </c>
      <c r="H166" s="934" t="str">
        <f t="shared" si="87"/>
        <v>OK!</v>
      </c>
      <c r="I166" s="934" t="str">
        <f t="shared" si="87"/>
        <v>OK!</v>
      </c>
      <c r="J166" s="934" t="str">
        <f t="shared" si="87"/>
        <v>OK!</v>
      </c>
      <c r="K166" s="934" t="str">
        <f t="shared" si="87"/>
        <v>OK!</v>
      </c>
      <c r="L166" s="934" t="str">
        <f t="shared" si="87"/>
        <v>OK!</v>
      </c>
      <c r="M166" s="934" t="str">
        <f t="shared" si="87"/>
        <v>OK!</v>
      </c>
      <c r="N166" s="934" t="str">
        <f t="shared" si="87"/>
        <v>OK!</v>
      </c>
      <c r="O166" s="934" t="str">
        <f t="shared" si="87"/>
        <v>OK!</v>
      </c>
      <c r="P166" s="934" t="str">
        <f t="shared" si="87"/>
        <v>OK!</v>
      </c>
      <c r="Q166" s="934" t="str">
        <f t="shared" si="87"/>
        <v>OK!</v>
      </c>
      <c r="R166" s="934" t="str">
        <f t="shared" si="87"/>
        <v>OK!</v>
      </c>
      <c r="S166" s="934" t="str">
        <f t="shared" si="88"/>
        <v>OK!</v>
      </c>
      <c r="T166" s="934" t="str">
        <f t="shared" si="88"/>
        <v>OK!</v>
      </c>
    </row>
    <row r="167" spans="1:20" x14ac:dyDescent="0.15">
      <c r="A167" s="963" t="str">
        <f>A$11</f>
        <v>Tavanet e përgjithshme</v>
      </c>
      <c r="B167" s="964"/>
      <c r="C167" s="968"/>
      <c r="D167" s="969"/>
      <c r="E167" s="969"/>
      <c r="F167" s="934" t="str">
        <f t="shared" si="87"/>
        <v>OK!</v>
      </c>
      <c r="G167" s="934" t="str">
        <f t="shared" si="87"/>
        <v>OK!</v>
      </c>
      <c r="H167" s="934" t="str">
        <f t="shared" si="87"/>
        <v>OK!</v>
      </c>
      <c r="I167" s="934" t="str">
        <f t="shared" si="87"/>
        <v>OK!</v>
      </c>
      <c r="J167" s="934" t="str">
        <f t="shared" si="87"/>
        <v>OK!</v>
      </c>
      <c r="K167" s="934" t="str">
        <f t="shared" si="87"/>
        <v>OK!</v>
      </c>
      <c r="L167" s="934" t="str">
        <f t="shared" si="87"/>
        <v>OK!</v>
      </c>
      <c r="M167" s="934" t="str">
        <f t="shared" si="87"/>
        <v>OK!</v>
      </c>
      <c r="N167" s="934" t="str">
        <f t="shared" si="87"/>
        <v>OK!</v>
      </c>
      <c r="O167" s="934" t="str">
        <f t="shared" si="87"/>
        <v>OK!</v>
      </c>
      <c r="P167" s="934" t="str">
        <f t="shared" si="87"/>
        <v>OK!</v>
      </c>
      <c r="Q167" s="934" t="str">
        <f t="shared" si="87"/>
        <v>OK!</v>
      </c>
      <c r="R167" s="934" t="str">
        <f t="shared" si="87"/>
        <v>OK!</v>
      </c>
      <c r="S167" s="934" t="str">
        <f t="shared" si="88"/>
        <v>OK!</v>
      </c>
      <c r="T167" s="934" t="str">
        <f t="shared" si="88"/>
        <v>OK!</v>
      </c>
    </row>
    <row r="168" spans="1:20" x14ac:dyDescent="0.15">
      <c r="A168" s="965" t="str">
        <f>A$12</f>
        <v>Angazhimet kujtesë</v>
      </c>
      <c r="B168" s="959"/>
      <c r="C168" s="959">
        <f>'(C5) Angazhimet'!D57</f>
        <v>0</v>
      </c>
      <c r="D168" s="959">
        <f>'(C5) Angazhimet'!E57</f>
        <v>0</v>
      </c>
      <c r="E168" s="959">
        <f>'(C5) Angazhimet'!F57</f>
        <v>0</v>
      </c>
      <c r="F168" s="934" t="str">
        <f>IF(C168&gt;C167,"STOPP!","OK!")</f>
        <v>OK!</v>
      </c>
      <c r="G168" s="934" t="str">
        <f t="shared" ref="G168:R168" si="89">IF(D168&lt;0,"STOPP!","OK!")</f>
        <v>OK!</v>
      </c>
      <c r="H168" s="934" t="str">
        <f t="shared" si="89"/>
        <v>OK!</v>
      </c>
      <c r="I168" s="934" t="str">
        <f t="shared" si="89"/>
        <v>OK!</v>
      </c>
      <c r="J168" s="934" t="str">
        <f t="shared" si="89"/>
        <v>OK!</v>
      </c>
      <c r="K168" s="934" t="str">
        <f t="shared" si="89"/>
        <v>OK!</v>
      </c>
      <c r="L168" s="934" t="str">
        <f t="shared" si="89"/>
        <v>OK!</v>
      </c>
      <c r="M168" s="934" t="str">
        <f t="shared" si="89"/>
        <v>OK!</v>
      </c>
      <c r="N168" s="934" t="str">
        <f t="shared" si="89"/>
        <v>OK!</v>
      </c>
      <c r="O168" s="934" t="str">
        <f t="shared" si="89"/>
        <v>OK!</v>
      </c>
      <c r="P168" s="934" t="str">
        <f t="shared" si="89"/>
        <v>OK!</v>
      </c>
      <c r="Q168" s="934" t="str">
        <f t="shared" si="89"/>
        <v>OK!</v>
      </c>
      <c r="R168" s="934" t="str">
        <f t="shared" si="89"/>
        <v>OK!</v>
      </c>
      <c r="S168" s="934" t="str">
        <f>IF(D168&gt;D167,"STOPP!","OK!")</f>
        <v>OK!</v>
      </c>
      <c r="T168" s="934" t="str">
        <f>IF(E168&gt;E167,"STOPP!","OK!")</f>
        <v>OK!</v>
      </c>
    </row>
    <row r="169" spans="1:20" ht="18.75" customHeight="1" x14ac:dyDescent="0.25">
      <c r="A169" s="1082" t="str">
        <f>'(B2) Struktura Organizative'!A15</f>
        <v>Nënfunksioni 9</v>
      </c>
      <c r="B169" s="1076" t="str">
        <f>'(B2) Struktura Organizative'!B15</f>
        <v>047 Industri të tjera</v>
      </c>
      <c r="C169" s="1077"/>
      <c r="D169" s="1077"/>
      <c r="E169" s="1078"/>
      <c r="G169" s="933">
        <f>C173</f>
        <v>0</v>
      </c>
      <c r="H169" s="933">
        <f>D173</f>
        <v>0</v>
      </c>
      <c r="I169" s="933">
        <f>E173</f>
        <v>0</v>
      </c>
      <c r="J169" s="933">
        <f>C170</f>
        <v>0</v>
      </c>
      <c r="K169" s="933">
        <f>D170</f>
        <v>0</v>
      </c>
      <c r="L169" s="933">
        <f>E170</f>
        <v>0</v>
      </c>
      <c r="M169" s="933">
        <f>C171</f>
        <v>0</v>
      </c>
      <c r="N169" s="933">
        <f>D171</f>
        <v>0</v>
      </c>
      <c r="O169" s="933">
        <f>E171</f>
        <v>0</v>
      </c>
      <c r="P169" s="933">
        <f>C172</f>
        <v>0</v>
      </c>
      <c r="Q169" s="933">
        <f>D172</f>
        <v>0</v>
      </c>
      <c r="R169" s="933">
        <f>E172</f>
        <v>0</v>
      </c>
    </row>
    <row r="170" spans="1:20" x14ac:dyDescent="0.15">
      <c r="A170" s="958" t="str">
        <f>A$8</f>
        <v>Pagat dhe sigurimet shoqërore</v>
      </c>
      <c r="B170" s="958"/>
      <c r="C170" s="959">
        <f t="shared" ref="C170:E171" si="90">C176+C182</f>
        <v>0</v>
      </c>
      <c r="D170" s="959">
        <f t="shared" si="90"/>
        <v>0</v>
      </c>
      <c r="E170" s="959">
        <f t="shared" si="90"/>
        <v>0</v>
      </c>
      <c r="F170" s="934" t="str">
        <f t="shared" ref="F170:R173" si="91">IF(C170&lt;0,"STOPP!","OK!")</f>
        <v>OK!</v>
      </c>
      <c r="G170" s="934" t="str">
        <f t="shared" si="91"/>
        <v>OK!</v>
      </c>
      <c r="H170" s="934" t="str">
        <f t="shared" si="91"/>
        <v>OK!</v>
      </c>
      <c r="I170" s="934" t="str">
        <f t="shared" si="91"/>
        <v>OK!</v>
      </c>
      <c r="J170" s="934" t="str">
        <f t="shared" si="91"/>
        <v>OK!</v>
      </c>
      <c r="K170" s="934" t="str">
        <f t="shared" si="91"/>
        <v>OK!</v>
      </c>
      <c r="L170" s="934" t="str">
        <f t="shared" si="91"/>
        <v>OK!</v>
      </c>
      <c r="M170" s="934" t="str">
        <f t="shared" si="91"/>
        <v>OK!</v>
      </c>
      <c r="N170" s="934" t="str">
        <f t="shared" si="91"/>
        <v>OK!</v>
      </c>
      <c r="O170" s="934" t="str">
        <f t="shared" si="91"/>
        <v>OK!</v>
      </c>
      <c r="P170" s="934" t="str">
        <f t="shared" si="91"/>
        <v>OK!</v>
      </c>
      <c r="Q170" s="934" t="str">
        <f t="shared" si="91"/>
        <v>OK!</v>
      </c>
      <c r="R170" s="934" t="str">
        <f t="shared" si="91"/>
        <v>OK!</v>
      </c>
      <c r="S170" s="934" t="str">
        <f t="shared" ref="S170:T173" si="92">IF(D170&lt;0,"STOPP!","OK!")</f>
        <v>OK!</v>
      </c>
      <c r="T170" s="934" t="str">
        <f t="shared" si="92"/>
        <v>OK!</v>
      </c>
    </row>
    <row r="171" spans="1:20" x14ac:dyDescent="0.15">
      <c r="A171" s="958" t="str">
        <f>A$9</f>
        <v>Të tjera shpenzime korrente</v>
      </c>
      <c r="B171" s="958"/>
      <c r="C171" s="959">
        <f t="shared" si="90"/>
        <v>0</v>
      </c>
      <c r="D171" s="959">
        <f t="shared" si="90"/>
        <v>0</v>
      </c>
      <c r="E171" s="959">
        <f t="shared" si="90"/>
        <v>0</v>
      </c>
      <c r="F171" s="934" t="str">
        <f t="shared" si="91"/>
        <v>OK!</v>
      </c>
      <c r="G171" s="934" t="str">
        <f t="shared" si="91"/>
        <v>OK!</v>
      </c>
      <c r="H171" s="934" t="str">
        <f t="shared" si="91"/>
        <v>OK!</v>
      </c>
      <c r="I171" s="934" t="str">
        <f t="shared" si="91"/>
        <v>OK!</v>
      </c>
      <c r="J171" s="934" t="str">
        <f t="shared" si="91"/>
        <v>OK!</v>
      </c>
      <c r="K171" s="934" t="str">
        <f t="shared" si="91"/>
        <v>OK!</v>
      </c>
      <c r="L171" s="934" t="str">
        <f t="shared" si="91"/>
        <v>OK!</v>
      </c>
      <c r="M171" s="934" t="str">
        <f t="shared" si="91"/>
        <v>OK!</v>
      </c>
      <c r="N171" s="934" t="str">
        <f t="shared" si="91"/>
        <v>OK!</v>
      </c>
      <c r="O171" s="934" t="str">
        <f t="shared" si="91"/>
        <v>OK!</v>
      </c>
      <c r="P171" s="934" t="str">
        <f t="shared" si="91"/>
        <v>OK!</v>
      </c>
      <c r="Q171" s="934" t="str">
        <f t="shared" si="91"/>
        <v>OK!</v>
      </c>
      <c r="R171" s="934" t="str">
        <f t="shared" si="91"/>
        <v>OK!</v>
      </c>
      <c r="S171" s="934" t="str">
        <f t="shared" si="92"/>
        <v>OK!</v>
      </c>
      <c r="T171" s="934" t="str">
        <f t="shared" si="92"/>
        <v>OK!</v>
      </c>
    </row>
    <row r="172" spans="1:20" x14ac:dyDescent="0.15">
      <c r="A172" s="960" t="str">
        <f>A$10</f>
        <v>Shpenzimet kapitale</v>
      </c>
      <c r="B172" s="961"/>
      <c r="C172" s="959">
        <f>C173-C170-C171</f>
        <v>0</v>
      </c>
      <c r="D172" s="962">
        <f>D173-D170-D171</f>
        <v>0</v>
      </c>
      <c r="E172" s="962">
        <f>E173-E170-E171</f>
        <v>0</v>
      </c>
      <c r="F172" s="934" t="str">
        <f t="shared" si="91"/>
        <v>OK!</v>
      </c>
      <c r="G172" s="934" t="str">
        <f t="shared" si="91"/>
        <v>OK!</v>
      </c>
      <c r="H172" s="934" t="str">
        <f t="shared" si="91"/>
        <v>OK!</v>
      </c>
      <c r="I172" s="934" t="str">
        <f t="shared" si="91"/>
        <v>OK!</v>
      </c>
      <c r="J172" s="934" t="str">
        <f t="shared" si="91"/>
        <v>OK!</v>
      </c>
      <c r="K172" s="934" t="str">
        <f t="shared" si="91"/>
        <v>OK!</v>
      </c>
      <c r="L172" s="934" t="str">
        <f t="shared" si="91"/>
        <v>OK!</v>
      </c>
      <c r="M172" s="934" t="str">
        <f t="shared" si="91"/>
        <v>OK!</v>
      </c>
      <c r="N172" s="934" t="str">
        <f t="shared" si="91"/>
        <v>OK!</v>
      </c>
      <c r="O172" s="934" t="str">
        <f t="shared" si="91"/>
        <v>OK!</v>
      </c>
      <c r="P172" s="934" t="str">
        <f t="shared" si="91"/>
        <v>OK!</v>
      </c>
      <c r="Q172" s="934" t="str">
        <f t="shared" si="91"/>
        <v>OK!</v>
      </c>
      <c r="R172" s="934" t="str">
        <f t="shared" si="91"/>
        <v>OK!</v>
      </c>
      <c r="S172" s="934" t="str">
        <f t="shared" si="92"/>
        <v>OK!</v>
      </c>
      <c r="T172" s="934" t="str">
        <f t="shared" si="92"/>
        <v>OK!</v>
      </c>
    </row>
    <row r="173" spans="1:20" x14ac:dyDescent="0.15">
      <c r="A173" s="963" t="str">
        <f>A$11</f>
        <v>Tavanet e përgjithshme</v>
      </c>
      <c r="B173" s="964"/>
      <c r="C173" s="959">
        <f>C179+C185</f>
        <v>0</v>
      </c>
      <c r="D173" s="959">
        <f>D179+D185</f>
        <v>0</v>
      </c>
      <c r="E173" s="959">
        <f>E179+E185</f>
        <v>0</v>
      </c>
      <c r="F173" s="934" t="str">
        <f t="shared" si="91"/>
        <v>OK!</v>
      </c>
      <c r="G173" s="934" t="str">
        <f t="shared" si="91"/>
        <v>OK!</v>
      </c>
      <c r="H173" s="934" t="str">
        <f t="shared" si="91"/>
        <v>OK!</v>
      </c>
      <c r="I173" s="934" t="str">
        <f t="shared" si="91"/>
        <v>OK!</v>
      </c>
      <c r="J173" s="934" t="str">
        <f t="shared" si="91"/>
        <v>OK!</v>
      </c>
      <c r="K173" s="934" t="str">
        <f t="shared" si="91"/>
        <v>OK!</v>
      </c>
      <c r="L173" s="934" t="str">
        <f t="shared" si="91"/>
        <v>OK!</v>
      </c>
      <c r="M173" s="934" t="str">
        <f t="shared" si="91"/>
        <v>OK!</v>
      </c>
      <c r="N173" s="934" t="str">
        <f t="shared" si="91"/>
        <v>OK!</v>
      </c>
      <c r="O173" s="934" t="str">
        <f t="shared" si="91"/>
        <v>OK!</v>
      </c>
      <c r="P173" s="934" t="str">
        <f t="shared" si="91"/>
        <v>OK!</v>
      </c>
      <c r="Q173" s="934" t="str">
        <f t="shared" si="91"/>
        <v>OK!</v>
      </c>
      <c r="R173" s="934" t="str">
        <f t="shared" si="91"/>
        <v>OK!</v>
      </c>
      <c r="S173" s="934" t="str">
        <f t="shared" si="92"/>
        <v>OK!</v>
      </c>
      <c r="T173" s="934" t="str">
        <f t="shared" si="92"/>
        <v>OK!</v>
      </c>
    </row>
    <row r="174" spans="1:20" x14ac:dyDescent="0.15">
      <c r="A174" s="965" t="str">
        <f>A$12</f>
        <v>Angazhimet kujtesë</v>
      </c>
      <c r="B174" s="959"/>
      <c r="C174" s="959">
        <f>'(C5) Angazhimet'!D65</f>
        <v>0</v>
      </c>
      <c r="D174" s="962">
        <f>'(C5) Angazhimet'!E65</f>
        <v>0</v>
      </c>
      <c r="E174" s="962">
        <f>'(C5) Angazhimet'!F65</f>
        <v>0</v>
      </c>
      <c r="F174" s="934" t="str">
        <f>IF(C174&gt;C173,"STOPP!","OK!")</f>
        <v>OK!</v>
      </c>
      <c r="G174" s="934" t="str">
        <f t="shared" ref="G174:R174" si="93">IF(D174&lt;0,"STOPP!","OK!")</f>
        <v>OK!</v>
      </c>
      <c r="H174" s="934" t="str">
        <f t="shared" si="93"/>
        <v>OK!</v>
      </c>
      <c r="I174" s="934" t="str">
        <f t="shared" si="93"/>
        <v>OK!</v>
      </c>
      <c r="J174" s="934" t="str">
        <f t="shared" si="93"/>
        <v>OK!</v>
      </c>
      <c r="K174" s="934" t="str">
        <f t="shared" si="93"/>
        <v>OK!</v>
      </c>
      <c r="L174" s="934" t="str">
        <f t="shared" si="93"/>
        <v>OK!</v>
      </c>
      <c r="M174" s="934" t="str">
        <f t="shared" si="93"/>
        <v>OK!</v>
      </c>
      <c r="N174" s="934" t="str">
        <f t="shared" si="93"/>
        <v>OK!</v>
      </c>
      <c r="O174" s="934" t="str">
        <f t="shared" si="93"/>
        <v>OK!</v>
      </c>
      <c r="P174" s="934" t="str">
        <f t="shared" si="93"/>
        <v>OK!</v>
      </c>
      <c r="Q174" s="934" t="str">
        <f t="shared" si="93"/>
        <v>OK!</v>
      </c>
      <c r="R174" s="934" t="str">
        <f t="shared" si="93"/>
        <v>OK!</v>
      </c>
      <c r="S174" s="934" t="str">
        <f>IF(D174&gt;D173,"STOPP!","OK!")</f>
        <v>OK!</v>
      </c>
      <c r="T174" s="934" t="str">
        <f>IF(E174&gt;E173,"STOPP!","OK!")</f>
        <v>OK!</v>
      </c>
    </row>
    <row r="175" spans="1:20" ht="15.75" x14ac:dyDescent="0.15">
      <c r="A175" s="1089" t="str">
        <f>'(B3) Struktura Funksionale'!B54</f>
        <v>04740</v>
      </c>
      <c r="B175" s="1079" t="str">
        <f>'(B3) Struktura Funksionale'!C54</f>
        <v>Projekte Zhvillimi</v>
      </c>
      <c r="C175" s="1080"/>
      <c r="D175" s="1080"/>
      <c r="E175" s="1081"/>
      <c r="F175" s="934"/>
      <c r="G175" s="934"/>
      <c r="H175" s="934"/>
      <c r="I175" s="934"/>
      <c r="J175" s="934"/>
      <c r="K175" s="934"/>
      <c r="L175" s="934"/>
      <c r="M175" s="934"/>
      <c r="N175" s="934"/>
      <c r="O175" s="934"/>
      <c r="P175" s="934"/>
      <c r="Q175" s="934"/>
      <c r="R175" s="934"/>
      <c r="S175" s="934"/>
      <c r="T175" s="934"/>
    </row>
    <row r="176" spans="1:20" x14ac:dyDescent="0.15">
      <c r="A176" s="958" t="str">
        <f>A$8</f>
        <v>Pagat dhe sigurimet shoqërore</v>
      </c>
      <c r="B176" s="958"/>
      <c r="C176" s="966"/>
      <c r="D176" s="966"/>
      <c r="E176" s="966"/>
      <c r="F176" s="934" t="str">
        <f t="shared" ref="F176:R179" si="94">IF(C176&lt;0,"STOPP!","OK!")</f>
        <v>OK!</v>
      </c>
      <c r="G176" s="934" t="str">
        <f t="shared" si="94"/>
        <v>OK!</v>
      </c>
      <c r="H176" s="934" t="str">
        <f t="shared" si="94"/>
        <v>OK!</v>
      </c>
      <c r="I176" s="934" t="str">
        <f t="shared" si="94"/>
        <v>OK!</v>
      </c>
      <c r="J176" s="934" t="str">
        <f t="shared" si="94"/>
        <v>OK!</v>
      </c>
      <c r="K176" s="934" t="str">
        <f t="shared" si="94"/>
        <v>OK!</v>
      </c>
      <c r="L176" s="934" t="str">
        <f t="shared" si="94"/>
        <v>OK!</v>
      </c>
      <c r="M176" s="934" t="str">
        <f t="shared" si="94"/>
        <v>OK!</v>
      </c>
      <c r="N176" s="934" t="str">
        <f t="shared" si="94"/>
        <v>OK!</v>
      </c>
      <c r="O176" s="934" t="str">
        <f t="shared" si="94"/>
        <v>OK!</v>
      </c>
      <c r="P176" s="934" t="str">
        <f t="shared" si="94"/>
        <v>OK!</v>
      </c>
      <c r="Q176" s="934" t="str">
        <f t="shared" si="94"/>
        <v>OK!</v>
      </c>
      <c r="R176" s="934" t="str">
        <f t="shared" si="94"/>
        <v>OK!</v>
      </c>
      <c r="S176" s="934" t="str">
        <f t="shared" ref="S176:T179" si="95">IF(D176&lt;0,"STOPP!","OK!")</f>
        <v>OK!</v>
      </c>
      <c r="T176" s="934" t="str">
        <f t="shared" si="95"/>
        <v>OK!</v>
      </c>
    </row>
    <row r="177" spans="1:20" x14ac:dyDescent="0.15">
      <c r="A177" s="958" t="str">
        <f>A$9</f>
        <v>Të tjera shpenzime korrente</v>
      </c>
      <c r="B177" s="958"/>
      <c r="C177" s="967"/>
      <c r="D177" s="967"/>
      <c r="E177" s="967"/>
      <c r="F177" s="934" t="str">
        <f t="shared" si="94"/>
        <v>OK!</v>
      </c>
      <c r="G177" s="934" t="str">
        <f t="shared" si="94"/>
        <v>OK!</v>
      </c>
      <c r="H177" s="934" t="str">
        <f t="shared" si="94"/>
        <v>OK!</v>
      </c>
      <c r="I177" s="934" t="str">
        <f t="shared" si="94"/>
        <v>OK!</v>
      </c>
      <c r="J177" s="934" t="str">
        <f t="shared" si="94"/>
        <v>OK!</v>
      </c>
      <c r="K177" s="934" t="str">
        <f t="shared" si="94"/>
        <v>OK!</v>
      </c>
      <c r="L177" s="934" t="str">
        <f t="shared" si="94"/>
        <v>OK!</v>
      </c>
      <c r="M177" s="934" t="str">
        <f t="shared" si="94"/>
        <v>OK!</v>
      </c>
      <c r="N177" s="934" t="str">
        <f t="shared" si="94"/>
        <v>OK!</v>
      </c>
      <c r="O177" s="934" t="str">
        <f t="shared" si="94"/>
        <v>OK!</v>
      </c>
      <c r="P177" s="934" t="str">
        <f t="shared" si="94"/>
        <v>OK!</v>
      </c>
      <c r="Q177" s="934" t="str">
        <f t="shared" si="94"/>
        <v>OK!</v>
      </c>
      <c r="R177" s="934" t="str">
        <f t="shared" si="94"/>
        <v>OK!</v>
      </c>
      <c r="S177" s="934" t="str">
        <f t="shared" si="95"/>
        <v>OK!</v>
      </c>
      <c r="T177" s="934" t="str">
        <f t="shared" si="95"/>
        <v>OK!</v>
      </c>
    </row>
    <row r="178" spans="1:20" x14ac:dyDescent="0.15">
      <c r="A178" s="960" t="str">
        <f>A$10</f>
        <v>Shpenzimet kapitale</v>
      </c>
      <c r="B178" s="961"/>
      <c r="C178" s="959">
        <f>C179-C176-C177</f>
        <v>0</v>
      </c>
      <c r="D178" s="962">
        <f>D179-D176-D177</f>
        <v>0</v>
      </c>
      <c r="E178" s="962">
        <f>E179-E176-E177</f>
        <v>0</v>
      </c>
      <c r="F178" s="934" t="str">
        <f t="shared" si="94"/>
        <v>OK!</v>
      </c>
      <c r="G178" s="934" t="str">
        <f t="shared" si="94"/>
        <v>OK!</v>
      </c>
      <c r="H178" s="934" t="str">
        <f t="shared" si="94"/>
        <v>OK!</v>
      </c>
      <c r="I178" s="934" t="str">
        <f t="shared" si="94"/>
        <v>OK!</v>
      </c>
      <c r="J178" s="934" t="str">
        <f t="shared" si="94"/>
        <v>OK!</v>
      </c>
      <c r="K178" s="934" t="str">
        <f t="shared" si="94"/>
        <v>OK!</v>
      </c>
      <c r="L178" s="934" t="str">
        <f t="shared" si="94"/>
        <v>OK!</v>
      </c>
      <c r="M178" s="934" t="str">
        <f t="shared" si="94"/>
        <v>OK!</v>
      </c>
      <c r="N178" s="934" t="str">
        <f t="shared" si="94"/>
        <v>OK!</v>
      </c>
      <c r="O178" s="934" t="str">
        <f t="shared" si="94"/>
        <v>OK!</v>
      </c>
      <c r="P178" s="934" t="str">
        <f t="shared" si="94"/>
        <v>OK!</v>
      </c>
      <c r="Q178" s="934" t="str">
        <f t="shared" si="94"/>
        <v>OK!</v>
      </c>
      <c r="R178" s="934" t="str">
        <f t="shared" si="94"/>
        <v>OK!</v>
      </c>
      <c r="S178" s="934" t="str">
        <f t="shared" si="95"/>
        <v>OK!</v>
      </c>
      <c r="T178" s="934" t="str">
        <f t="shared" si="95"/>
        <v>OK!</v>
      </c>
    </row>
    <row r="179" spans="1:20" x14ac:dyDescent="0.15">
      <c r="A179" s="963" t="str">
        <f>A$11</f>
        <v>Tavanet e përgjithshme</v>
      </c>
      <c r="B179" s="964"/>
      <c r="C179" s="968"/>
      <c r="D179" s="969"/>
      <c r="E179" s="969"/>
      <c r="F179" s="934" t="str">
        <f t="shared" si="94"/>
        <v>OK!</v>
      </c>
      <c r="G179" s="934" t="str">
        <f t="shared" si="94"/>
        <v>OK!</v>
      </c>
      <c r="H179" s="934" t="str">
        <f t="shared" si="94"/>
        <v>OK!</v>
      </c>
      <c r="I179" s="934" t="str">
        <f t="shared" si="94"/>
        <v>OK!</v>
      </c>
      <c r="J179" s="934" t="str">
        <f t="shared" si="94"/>
        <v>OK!</v>
      </c>
      <c r="K179" s="934" t="str">
        <f t="shared" si="94"/>
        <v>OK!</v>
      </c>
      <c r="L179" s="934" t="str">
        <f t="shared" si="94"/>
        <v>OK!</v>
      </c>
      <c r="M179" s="934" t="str">
        <f t="shared" si="94"/>
        <v>OK!</v>
      </c>
      <c r="N179" s="934" t="str">
        <f t="shared" si="94"/>
        <v>OK!</v>
      </c>
      <c r="O179" s="934" t="str">
        <f t="shared" si="94"/>
        <v>OK!</v>
      </c>
      <c r="P179" s="934" t="str">
        <f t="shared" si="94"/>
        <v>OK!</v>
      </c>
      <c r="Q179" s="934" t="str">
        <f t="shared" si="94"/>
        <v>OK!</v>
      </c>
      <c r="R179" s="934" t="str">
        <f t="shared" si="94"/>
        <v>OK!</v>
      </c>
      <c r="S179" s="934" t="str">
        <f t="shared" si="95"/>
        <v>OK!</v>
      </c>
      <c r="T179" s="934" t="str">
        <f t="shared" si="95"/>
        <v>OK!</v>
      </c>
    </row>
    <row r="180" spans="1:20" x14ac:dyDescent="0.15">
      <c r="A180" s="965" t="str">
        <f>A$12</f>
        <v>Angazhimet kujtesë</v>
      </c>
      <c r="B180" s="959"/>
      <c r="C180" s="959">
        <f>'(C5) Angazhimet'!D61</f>
        <v>0</v>
      </c>
      <c r="D180" s="959">
        <f>'(C5) Angazhimet'!E61</f>
        <v>0</v>
      </c>
      <c r="E180" s="959">
        <f>'(C5) Angazhimet'!F61</f>
        <v>0</v>
      </c>
      <c r="F180" s="934" t="str">
        <f>IF(C180&gt;C179,"STOPP!","OK!")</f>
        <v>OK!</v>
      </c>
      <c r="G180" s="934" t="str">
        <f t="shared" ref="G180:R180" si="96">IF(D180&lt;0,"STOPP!","OK!")</f>
        <v>OK!</v>
      </c>
      <c r="H180" s="934" t="str">
        <f t="shared" si="96"/>
        <v>OK!</v>
      </c>
      <c r="I180" s="934" t="str">
        <f t="shared" si="96"/>
        <v>OK!</v>
      </c>
      <c r="J180" s="934" t="str">
        <f t="shared" si="96"/>
        <v>OK!</v>
      </c>
      <c r="K180" s="934" t="str">
        <f t="shared" si="96"/>
        <v>OK!</v>
      </c>
      <c r="L180" s="934" t="str">
        <f t="shared" si="96"/>
        <v>OK!</v>
      </c>
      <c r="M180" s="934" t="str">
        <f t="shared" si="96"/>
        <v>OK!</v>
      </c>
      <c r="N180" s="934" t="str">
        <f t="shared" si="96"/>
        <v>OK!</v>
      </c>
      <c r="O180" s="934" t="str">
        <f t="shared" si="96"/>
        <v>OK!</v>
      </c>
      <c r="P180" s="934" t="str">
        <f t="shared" si="96"/>
        <v>OK!</v>
      </c>
      <c r="Q180" s="934" t="str">
        <f t="shared" si="96"/>
        <v>OK!</v>
      </c>
      <c r="R180" s="934" t="str">
        <f t="shared" si="96"/>
        <v>OK!</v>
      </c>
      <c r="S180" s="934" t="str">
        <f>IF(D180&gt;D179,"STOPP!","OK!")</f>
        <v>OK!</v>
      </c>
      <c r="T180" s="934" t="str">
        <f>IF(E180&gt;E179,"STOPP!","OK!")</f>
        <v>OK!</v>
      </c>
    </row>
    <row r="181" spans="1:20" ht="15.75" x14ac:dyDescent="0.15">
      <c r="A181" s="1089" t="str">
        <f>'(B3) Struktura Funksionale'!B55</f>
        <v>04760</v>
      </c>
      <c r="B181" s="1079" t="str">
        <f>'(B3) Struktura Funksionale'!C55</f>
        <v>Zhvillimi i turizmit</v>
      </c>
      <c r="C181" s="1080"/>
      <c r="D181" s="1080"/>
      <c r="E181" s="1081"/>
      <c r="F181" s="934"/>
      <c r="G181" s="934"/>
      <c r="H181" s="934"/>
      <c r="I181" s="934"/>
      <c r="J181" s="934"/>
      <c r="K181" s="934"/>
      <c r="L181" s="934"/>
      <c r="M181" s="934"/>
      <c r="N181" s="934"/>
      <c r="O181" s="934"/>
      <c r="P181" s="934"/>
      <c r="Q181" s="934"/>
      <c r="R181" s="934"/>
      <c r="S181" s="934"/>
      <c r="T181" s="934"/>
    </row>
    <row r="182" spans="1:20" x14ac:dyDescent="0.15">
      <c r="A182" s="958" t="str">
        <f>A$8</f>
        <v>Pagat dhe sigurimet shoqërore</v>
      </c>
      <c r="B182" s="958"/>
      <c r="C182" s="966"/>
      <c r="D182" s="966"/>
      <c r="E182" s="966"/>
      <c r="F182" s="934" t="str">
        <f t="shared" ref="F182:R185" si="97">IF(C182&lt;0,"STOPP!","OK!")</f>
        <v>OK!</v>
      </c>
      <c r="G182" s="934" t="str">
        <f t="shared" si="97"/>
        <v>OK!</v>
      </c>
      <c r="H182" s="934" t="str">
        <f t="shared" si="97"/>
        <v>OK!</v>
      </c>
      <c r="I182" s="934" t="str">
        <f t="shared" si="97"/>
        <v>OK!</v>
      </c>
      <c r="J182" s="934" t="str">
        <f t="shared" si="97"/>
        <v>OK!</v>
      </c>
      <c r="K182" s="934" t="str">
        <f t="shared" si="97"/>
        <v>OK!</v>
      </c>
      <c r="L182" s="934" t="str">
        <f t="shared" si="97"/>
        <v>OK!</v>
      </c>
      <c r="M182" s="934" t="str">
        <f t="shared" si="97"/>
        <v>OK!</v>
      </c>
      <c r="N182" s="934" t="str">
        <f t="shared" si="97"/>
        <v>OK!</v>
      </c>
      <c r="O182" s="934" t="str">
        <f t="shared" si="97"/>
        <v>OK!</v>
      </c>
      <c r="P182" s="934" t="str">
        <f t="shared" si="97"/>
        <v>OK!</v>
      </c>
      <c r="Q182" s="934" t="str">
        <f t="shared" si="97"/>
        <v>OK!</v>
      </c>
      <c r="R182" s="934" t="str">
        <f t="shared" si="97"/>
        <v>OK!</v>
      </c>
      <c r="S182" s="934" t="str">
        <f t="shared" ref="S182:T185" si="98">IF(D182&lt;0,"STOPP!","OK!")</f>
        <v>OK!</v>
      </c>
      <c r="T182" s="934" t="str">
        <f t="shared" si="98"/>
        <v>OK!</v>
      </c>
    </row>
    <row r="183" spans="1:20" x14ac:dyDescent="0.15">
      <c r="A183" s="958" t="str">
        <f>A$9</f>
        <v>Të tjera shpenzime korrente</v>
      </c>
      <c r="B183" s="958"/>
      <c r="C183" s="967"/>
      <c r="D183" s="967"/>
      <c r="E183" s="967"/>
      <c r="F183" s="934" t="str">
        <f t="shared" si="97"/>
        <v>OK!</v>
      </c>
      <c r="G183" s="934" t="str">
        <f t="shared" si="97"/>
        <v>OK!</v>
      </c>
      <c r="H183" s="934" t="str">
        <f t="shared" si="97"/>
        <v>OK!</v>
      </c>
      <c r="I183" s="934" t="str">
        <f t="shared" si="97"/>
        <v>OK!</v>
      </c>
      <c r="J183" s="934" t="str">
        <f t="shared" si="97"/>
        <v>OK!</v>
      </c>
      <c r="K183" s="934" t="str">
        <f t="shared" si="97"/>
        <v>OK!</v>
      </c>
      <c r="L183" s="934" t="str">
        <f t="shared" si="97"/>
        <v>OK!</v>
      </c>
      <c r="M183" s="934" t="str">
        <f t="shared" si="97"/>
        <v>OK!</v>
      </c>
      <c r="N183" s="934" t="str">
        <f t="shared" si="97"/>
        <v>OK!</v>
      </c>
      <c r="O183" s="934" t="str">
        <f t="shared" si="97"/>
        <v>OK!</v>
      </c>
      <c r="P183" s="934" t="str">
        <f t="shared" si="97"/>
        <v>OK!</v>
      </c>
      <c r="Q183" s="934" t="str">
        <f t="shared" si="97"/>
        <v>OK!</v>
      </c>
      <c r="R183" s="934" t="str">
        <f t="shared" si="97"/>
        <v>OK!</v>
      </c>
      <c r="S183" s="934" t="str">
        <f t="shared" si="98"/>
        <v>OK!</v>
      </c>
      <c r="T183" s="934" t="str">
        <f t="shared" si="98"/>
        <v>OK!</v>
      </c>
    </row>
    <row r="184" spans="1:20" x14ac:dyDescent="0.15">
      <c r="A184" s="960" t="str">
        <f>A$10</f>
        <v>Shpenzimet kapitale</v>
      </c>
      <c r="B184" s="961"/>
      <c r="C184" s="959">
        <v>0</v>
      </c>
      <c r="D184" s="959">
        <v>0</v>
      </c>
      <c r="E184" s="959">
        <v>0</v>
      </c>
      <c r="F184" s="934" t="str">
        <f t="shared" si="97"/>
        <v>OK!</v>
      </c>
      <c r="G184" s="934" t="str">
        <f t="shared" si="97"/>
        <v>OK!</v>
      </c>
      <c r="H184" s="934" t="str">
        <f t="shared" si="97"/>
        <v>OK!</v>
      </c>
      <c r="I184" s="934" t="str">
        <f t="shared" si="97"/>
        <v>OK!</v>
      </c>
      <c r="J184" s="934" t="str">
        <f t="shared" si="97"/>
        <v>OK!</v>
      </c>
      <c r="K184" s="934" t="str">
        <f t="shared" si="97"/>
        <v>OK!</v>
      </c>
      <c r="L184" s="934" t="str">
        <f t="shared" si="97"/>
        <v>OK!</v>
      </c>
      <c r="M184" s="934" t="str">
        <f t="shared" si="97"/>
        <v>OK!</v>
      </c>
      <c r="N184" s="934" t="str">
        <f t="shared" si="97"/>
        <v>OK!</v>
      </c>
      <c r="O184" s="934" t="str">
        <f t="shared" si="97"/>
        <v>OK!</v>
      </c>
      <c r="P184" s="934" t="str">
        <f t="shared" si="97"/>
        <v>OK!</v>
      </c>
      <c r="Q184" s="934" t="str">
        <f t="shared" si="97"/>
        <v>OK!</v>
      </c>
      <c r="R184" s="934" t="str">
        <f t="shared" si="97"/>
        <v>OK!</v>
      </c>
      <c r="S184" s="934" t="str">
        <f t="shared" si="98"/>
        <v>OK!</v>
      </c>
      <c r="T184" s="934" t="str">
        <f t="shared" si="98"/>
        <v>OK!</v>
      </c>
    </row>
    <row r="185" spans="1:20" x14ac:dyDescent="0.15">
      <c r="A185" s="963" t="str">
        <f>A$11</f>
        <v>Tavanet e përgjithshme</v>
      </c>
      <c r="B185" s="964"/>
      <c r="C185" s="968">
        <f>SUM(C182:C184)</f>
        <v>0</v>
      </c>
      <c r="D185" s="968">
        <f>SUM(D182:D184)</f>
        <v>0</v>
      </c>
      <c r="E185" s="968">
        <f>SUM(E182:E184)</f>
        <v>0</v>
      </c>
      <c r="F185" s="934" t="str">
        <f t="shared" si="97"/>
        <v>OK!</v>
      </c>
      <c r="G185" s="934" t="str">
        <f t="shared" si="97"/>
        <v>OK!</v>
      </c>
      <c r="H185" s="934" t="str">
        <f t="shared" si="97"/>
        <v>OK!</v>
      </c>
      <c r="I185" s="934" t="str">
        <f t="shared" si="97"/>
        <v>OK!</v>
      </c>
      <c r="J185" s="934" t="str">
        <f t="shared" si="97"/>
        <v>OK!</v>
      </c>
      <c r="K185" s="934" t="str">
        <f t="shared" si="97"/>
        <v>OK!</v>
      </c>
      <c r="L185" s="934" t="str">
        <f t="shared" si="97"/>
        <v>OK!</v>
      </c>
      <c r="M185" s="934" t="str">
        <f t="shared" si="97"/>
        <v>OK!</v>
      </c>
      <c r="N185" s="934" t="str">
        <f t="shared" si="97"/>
        <v>OK!</v>
      </c>
      <c r="O185" s="934" t="str">
        <f t="shared" si="97"/>
        <v>OK!</v>
      </c>
      <c r="P185" s="934" t="str">
        <f t="shared" si="97"/>
        <v>OK!</v>
      </c>
      <c r="Q185" s="934" t="str">
        <f t="shared" si="97"/>
        <v>OK!</v>
      </c>
      <c r="R185" s="934" t="str">
        <f t="shared" si="97"/>
        <v>OK!</v>
      </c>
      <c r="S185" s="934" t="str">
        <f t="shared" si="98"/>
        <v>OK!</v>
      </c>
      <c r="T185" s="934" t="str">
        <f t="shared" si="98"/>
        <v>OK!</v>
      </c>
    </row>
    <row r="186" spans="1:20" x14ac:dyDescent="0.15">
      <c r="A186" s="965" t="str">
        <f>A$12</f>
        <v>Angazhimet kujtesë</v>
      </c>
      <c r="B186" s="959"/>
      <c r="C186" s="959">
        <f>'(C5) Angazhimet'!D62</f>
        <v>0</v>
      </c>
      <c r="D186" s="959">
        <f>'(C5) Angazhimet'!E62</f>
        <v>0</v>
      </c>
      <c r="E186" s="959">
        <f>'(C5) Angazhimet'!F62</f>
        <v>0</v>
      </c>
      <c r="F186" s="934" t="str">
        <f>IF(C186&gt;C185,"STOPP!","OK!")</f>
        <v>OK!</v>
      </c>
      <c r="G186" s="934" t="str">
        <f t="shared" ref="G186:R186" si="99">IF(D186&lt;0,"STOPP!","OK!")</f>
        <v>OK!</v>
      </c>
      <c r="H186" s="934" t="str">
        <f t="shared" si="99"/>
        <v>OK!</v>
      </c>
      <c r="I186" s="934" t="str">
        <f t="shared" si="99"/>
        <v>OK!</v>
      </c>
      <c r="J186" s="934" t="str">
        <f t="shared" si="99"/>
        <v>OK!</v>
      </c>
      <c r="K186" s="934" t="str">
        <f t="shared" si="99"/>
        <v>OK!</v>
      </c>
      <c r="L186" s="934" t="str">
        <f t="shared" si="99"/>
        <v>OK!</v>
      </c>
      <c r="M186" s="934" t="str">
        <f t="shared" si="99"/>
        <v>OK!</v>
      </c>
      <c r="N186" s="934" t="str">
        <f t="shared" si="99"/>
        <v>OK!</v>
      </c>
      <c r="O186" s="934" t="str">
        <f t="shared" si="99"/>
        <v>OK!</v>
      </c>
      <c r="P186" s="934" t="str">
        <f t="shared" si="99"/>
        <v>OK!</v>
      </c>
      <c r="Q186" s="934" t="str">
        <f t="shared" si="99"/>
        <v>OK!</v>
      </c>
      <c r="R186" s="934" t="str">
        <f t="shared" si="99"/>
        <v>OK!</v>
      </c>
      <c r="S186" s="934" t="str">
        <f>IF(D186&gt;D185,"STOPP!","OK!")</f>
        <v>OK!</v>
      </c>
      <c r="T186" s="934" t="str">
        <f>IF(E186&gt;E185,"STOPP!","OK!")</f>
        <v>OK!</v>
      </c>
    </row>
    <row r="187" spans="1:20" ht="22.5" customHeight="1" x14ac:dyDescent="0.25">
      <c r="A187" s="1093" t="str">
        <f>'(B2) Struktura Organizative'!A16</f>
        <v>Nënfunksioni 10</v>
      </c>
      <c r="B187" s="1093" t="str">
        <f>'(B2) Struktura Organizative'!B16</f>
        <v>062 Menaxhimi i i mbetjeve</v>
      </c>
      <c r="C187" s="1093"/>
      <c r="D187" s="1093"/>
      <c r="E187" s="1093"/>
      <c r="G187" s="933">
        <f>C191</f>
        <v>150000000</v>
      </c>
      <c r="H187" s="933">
        <f>D191</f>
        <v>150000000</v>
      </c>
      <c r="I187" s="933">
        <f>E191</f>
        <v>150000000</v>
      </c>
      <c r="J187" s="933">
        <f>C188</f>
        <v>0</v>
      </c>
      <c r="K187" s="933">
        <f>D188</f>
        <v>0</v>
      </c>
      <c r="L187" s="933">
        <f>E188</f>
        <v>0</v>
      </c>
      <c r="M187" s="933">
        <f>C189</f>
        <v>150000000</v>
      </c>
      <c r="N187" s="933">
        <f>D189</f>
        <v>150000000</v>
      </c>
      <c r="O187" s="933">
        <f>E189</f>
        <v>150000000</v>
      </c>
      <c r="P187" s="933">
        <f>C190</f>
        <v>0</v>
      </c>
      <c r="Q187" s="933">
        <f>D190</f>
        <v>0</v>
      </c>
      <c r="R187" s="933">
        <f>E190</f>
        <v>0</v>
      </c>
    </row>
    <row r="188" spans="1:20" x14ac:dyDescent="0.15">
      <c r="A188" s="958" t="str">
        <f>A$8</f>
        <v>Pagat dhe sigurimet shoqërore</v>
      </c>
      <c r="B188" s="958"/>
      <c r="C188" s="959">
        <f t="shared" ref="C188:E189" si="100">C194</f>
        <v>0</v>
      </c>
      <c r="D188" s="959">
        <f t="shared" si="100"/>
        <v>0</v>
      </c>
      <c r="E188" s="959">
        <f t="shared" si="100"/>
        <v>0</v>
      </c>
      <c r="F188" s="934" t="str">
        <f t="shared" ref="F188:R191" si="101">IF(C188&lt;0,"STOPP!","OK!")</f>
        <v>OK!</v>
      </c>
      <c r="G188" s="934" t="str">
        <f t="shared" si="101"/>
        <v>OK!</v>
      </c>
      <c r="H188" s="934" t="str">
        <f t="shared" si="101"/>
        <v>OK!</v>
      </c>
      <c r="I188" s="934" t="str">
        <f t="shared" si="101"/>
        <v>OK!</v>
      </c>
      <c r="J188" s="934" t="str">
        <f t="shared" si="101"/>
        <v>OK!</v>
      </c>
      <c r="K188" s="934" t="str">
        <f t="shared" si="101"/>
        <v>OK!</v>
      </c>
      <c r="L188" s="934" t="str">
        <f t="shared" si="101"/>
        <v>OK!</v>
      </c>
      <c r="M188" s="934" t="str">
        <f t="shared" si="101"/>
        <v>OK!</v>
      </c>
      <c r="N188" s="934" t="str">
        <f t="shared" si="101"/>
        <v>OK!</v>
      </c>
      <c r="O188" s="934" t="str">
        <f t="shared" si="101"/>
        <v>OK!</v>
      </c>
      <c r="P188" s="934" t="str">
        <f t="shared" si="101"/>
        <v>OK!</v>
      </c>
      <c r="Q188" s="934" t="str">
        <f t="shared" si="101"/>
        <v>OK!</v>
      </c>
      <c r="R188" s="934" t="str">
        <f t="shared" si="101"/>
        <v>OK!</v>
      </c>
      <c r="S188" s="934" t="str">
        <f t="shared" ref="S188:T191" si="102">IF(D188&lt;0,"STOPP!","OK!")</f>
        <v>OK!</v>
      </c>
      <c r="T188" s="934" t="str">
        <f t="shared" si="102"/>
        <v>OK!</v>
      </c>
    </row>
    <row r="189" spans="1:20" x14ac:dyDescent="0.15">
      <c r="A189" s="958" t="str">
        <f>A$9</f>
        <v>Të tjera shpenzime korrente</v>
      </c>
      <c r="B189" s="958"/>
      <c r="C189" s="959">
        <f t="shared" si="100"/>
        <v>150000000</v>
      </c>
      <c r="D189" s="959">
        <f t="shared" si="100"/>
        <v>150000000</v>
      </c>
      <c r="E189" s="959">
        <f t="shared" si="100"/>
        <v>150000000</v>
      </c>
      <c r="F189" s="934" t="str">
        <f t="shared" si="101"/>
        <v>OK!</v>
      </c>
      <c r="G189" s="934" t="str">
        <f t="shared" si="101"/>
        <v>OK!</v>
      </c>
      <c r="H189" s="934" t="str">
        <f t="shared" si="101"/>
        <v>OK!</v>
      </c>
      <c r="I189" s="934" t="str">
        <f t="shared" si="101"/>
        <v>OK!</v>
      </c>
      <c r="J189" s="934" t="str">
        <f t="shared" si="101"/>
        <v>OK!</v>
      </c>
      <c r="K189" s="934" t="str">
        <f t="shared" si="101"/>
        <v>OK!</v>
      </c>
      <c r="L189" s="934" t="str">
        <f t="shared" si="101"/>
        <v>OK!</v>
      </c>
      <c r="M189" s="934" t="str">
        <f t="shared" si="101"/>
        <v>OK!</v>
      </c>
      <c r="N189" s="934" t="str">
        <f t="shared" si="101"/>
        <v>OK!</v>
      </c>
      <c r="O189" s="934" t="str">
        <f t="shared" si="101"/>
        <v>OK!</v>
      </c>
      <c r="P189" s="934" t="str">
        <f t="shared" si="101"/>
        <v>OK!</v>
      </c>
      <c r="Q189" s="934" t="str">
        <f t="shared" si="101"/>
        <v>OK!</v>
      </c>
      <c r="R189" s="934" t="str">
        <f t="shared" si="101"/>
        <v>OK!</v>
      </c>
      <c r="S189" s="934" t="str">
        <f t="shared" si="102"/>
        <v>OK!</v>
      </c>
      <c r="T189" s="934" t="str">
        <f t="shared" si="102"/>
        <v>OK!</v>
      </c>
    </row>
    <row r="190" spans="1:20" x14ac:dyDescent="0.15">
      <c r="A190" s="960" t="str">
        <f>A$10</f>
        <v>Shpenzimet kapitale</v>
      </c>
      <c r="B190" s="961"/>
      <c r="C190" s="959">
        <f>C191-C188-C189</f>
        <v>0</v>
      </c>
      <c r="D190" s="962">
        <f>D191-D188-D189</f>
        <v>0</v>
      </c>
      <c r="E190" s="962">
        <f>E191-E188-E189</f>
        <v>0</v>
      </c>
      <c r="F190" s="934" t="str">
        <f t="shared" si="101"/>
        <v>OK!</v>
      </c>
      <c r="G190" s="934" t="str">
        <f t="shared" si="101"/>
        <v>OK!</v>
      </c>
      <c r="H190" s="934" t="str">
        <f t="shared" si="101"/>
        <v>OK!</v>
      </c>
      <c r="I190" s="934" t="str">
        <f t="shared" si="101"/>
        <v>OK!</v>
      </c>
      <c r="J190" s="934" t="str">
        <f t="shared" si="101"/>
        <v>OK!</v>
      </c>
      <c r="K190" s="934" t="str">
        <f t="shared" si="101"/>
        <v>OK!</v>
      </c>
      <c r="L190" s="934" t="str">
        <f t="shared" si="101"/>
        <v>OK!</v>
      </c>
      <c r="M190" s="934" t="str">
        <f t="shared" si="101"/>
        <v>OK!</v>
      </c>
      <c r="N190" s="934" t="str">
        <f t="shared" si="101"/>
        <v>OK!</v>
      </c>
      <c r="O190" s="934" t="str">
        <f t="shared" si="101"/>
        <v>OK!</v>
      </c>
      <c r="P190" s="934" t="str">
        <f t="shared" si="101"/>
        <v>OK!</v>
      </c>
      <c r="Q190" s="934" t="str">
        <f t="shared" si="101"/>
        <v>OK!</v>
      </c>
      <c r="R190" s="934" t="str">
        <f t="shared" si="101"/>
        <v>OK!</v>
      </c>
      <c r="S190" s="934" t="str">
        <f t="shared" si="102"/>
        <v>OK!</v>
      </c>
      <c r="T190" s="934" t="str">
        <f t="shared" si="102"/>
        <v>OK!</v>
      </c>
    </row>
    <row r="191" spans="1:20" x14ac:dyDescent="0.15">
      <c r="A191" s="963" t="str">
        <f>A$11</f>
        <v>Tavanet e përgjithshme</v>
      </c>
      <c r="B191" s="964"/>
      <c r="C191" s="959">
        <f>C197</f>
        <v>150000000</v>
      </c>
      <c r="D191" s="959">
        <f>D197</f>
        <v>150000000</v>
      </c>
      <c r="E191" s="959">
        <f>E197</f>
        <v>150000000</v>
      </c>
      <c r="F191" s="934" t="str">
        <f t="shared" si="101"/>
        <v>OK!</v>
      </c>
      <c r="G191" s="934" t="str">
        <f t="shared" si="101"/>
        <v>OK!</v>
      </c>
      <c r="H191" s="934" t="str">
        <f t="shared" si="101"/>
        <v>OK!</v>
      </c>
      <c r="I191" s="934" t="str">
        <f t="shared" si="101"/>
        <v>OK!</v>
      </c>
      <c r="J191" s="934" t="str">
        <f t="shared" si="101"/>
        <v>OK!</v>
      </c>
      <c r="K191" s="934" t="str">
        <f t="shared" si="101"/>
        <v>OK!</v>
      </c>
      <c r="L191" s="934" t="str">
        <f t="shared" si="101"/>
        <v>OK!</v>
      </c>
      <c r="M191" s="934" t="str">
        <f t="shared" si="101"/>
        <v>OK!</v>
      </c>
      <c r="N191" s="934" t="str">
        <f t="shared" si="101"/>
        <v>OK!</v>
      </c>
      <c r="O191" s="934" t="str">
        <f t="shared" si="101"/>
        <v>OK!</v>
      </c>
      <c r="P191" s="934" t="str">
        <f t="shared" si="101"/>
        <v>OK!</v>
      </c>
      <c r="Q191" s="934" t="str">
        <f t="shared" si="101"/>
        <v>OK!</v>
      </c>
      <c r="R191" s="934" t="str">
        <f t="shared" si="101"/>
        <v>OK!</v>
      </c>
      <c r="S191" s="934" t="str">
        <f t="shared" si="102"/>
        <v>OK!</v>
      </c>
      <c r="T191" s="934" t="str">
        <f t="shared" si="102"/>
        <v>OK!</v>
      </c>
    </row>
    <row r="192" spans="1:20" x14ac:dyDescent="0.15">
      <c r="A192" s="965" t="str">
        <f>A$12</f>
        <v>Angazhimet kujtesë</v>
      </c>
      <c r="B192" s="959"/>
      <c r="C192" s="959">
        <f>'(C5) Angazhimet'!D70</f>
        <v>0</v>
      </c>
      <c r="D192" s="962">
        <f>'(C5) Angazhimet'!E70</f>
        <v>0</v>
      </c>
      <c r="E192" s="962">
        <f>'(C5) Angazhimet'!F70</f>
        <v>0</v>
      </c>
      <c r="F192" s="934" t="str">
        <f>IF(C192&gt;C191,"STOPP!","OK!")</f>
        <v>OK!</v>
      </c>
      <c r="G192" s="934" t="str">
        <f t="shared" ref="G192:R192" si="103">IF(D192&lt;0,"STOPP!","OK!")</f>
        <v>OK!</v>
      </c>
      <c r="H192" s="934" t="str">
        <f t="shared" si="103"/>
        <v>OK!</v>
      </c>
      <c r="I192" s="934" t="str">
        <f t="shared" si="103"/>
        <v>OK!</v>
      </c>
      <c r="J192" s="934" t="str">
        <f t="shared" si="103"/>
        <v>OK!</v>
      </c>
      <c r="K192" s="934" t="str">
        <f t="shared" si="103"/>
        <v>OK!</v>
      </c>
      <c r="L192" s="934" t="str">
        <f t="shared" si="103"/>
        <v>OK!</v>
      </c>
      <c r="M192" s="934" t="str">
        <f t="shared" si="103"/>
        <v>OK!</v>
      </c>
      <c r="N192" s="934" t="str">
        <f t="shared" si="103"/>
        <v>OK!</v>
      </c>
      <c r="O192" s="934" t="str">
        <f t="shared" si="103"/>
        <v>OK!</v>
      </c>
      <c r="P192" s="934" t="str">
        <f t="shared" si="103"/>
        <v>OK!</v>
      </c>
      <c r="Q192" s="934" t="str">
        <f t="shared" si="103"/>
        <v>OK!</v>
      </c>
      <c r="R192" s="934" t="str">
        <f t="shared" si="103"/>
        <v>OK!</v>
      </c>
      <c r="S192" s="934" t="str">
        <f>IF(D192&gt;D191,"STOPP!","OK!")</f>
        <v>OK!</v>
      </c>
      <c r="T192" s="934" t="str">
        <f>IF(E192&gt;E191,"STOPP!","OK!")</f>
        <v>OK!</v>
      </c>
    </row>
    <row r="193" spans="1:24" ht="15.75" x14ac:dyDescent="0.15">
      <c r="A193" s="1024" t="str">
        <f>'(B3) Struktura Funksionale'!B60</f>
        <v>06260</v>
      </c>
      <c r="B193" s="1092" t="str">
        <f>'(B3) Struktura Funksionale'!C60</f>
        <v>Menaxhimi i mbetjeve</v>
      </c>
      <c r="C193" s="1092"/>
      <c r="D193" s="1092"/>
      <c r="E193" s="1092"/>
      <c r="F193" s="934"/>
      <c r="G193" s="934"/>
      <c r="H193" s="934"/>
      <c r="I193" s="934"/>
      <c r="J193" s="934"/>
      <c r="K193" s="934"/>
      <c r="L193" s="934"/>
      <c r="M193" s="934"/>
      <c r="N193" s="934"/>
      <c r="O193" s="934"/>
      <c r="P193" s="934"/>
      <c r="Q193" s="934"/>
      <c r="R193" s="934"/>
      <c r="S193" s="934"/>
      <c r="T193" s="934"/>
    </row>
    <row r="194" spans="1:24" x14ac:dyDescent="0.15">
      <c r="A194" s="958" t="str">
        <f>A$8</f>
        <v>Pagat dhe sigurimet shoqërore</v>
      </c>
      <c r="B194" s="958"/>
      <c r="C194" s="966"/>
      <c r="D194" s="966"/>
      <c r="E194" s="966"/>
      <c r="F194" s="934" t="str">
        <f t="shared" ref="F194:R197" si="104">IF(C194&lt;0,"STOPP!","OK!")</f>
        <v>OK!</v>
      </c>
      <c r="G194" s="934" t="str">
        <f t="shared" si="104"/>
        <v>OK!</v>
      </c>
      <c r="H194" s="934" t="str">
        <f t="shared" si="104"/>
        <v>OK!</v>
      </c>
      <c r="I194" s="934" t="str">
        <f t="shared" si="104"/>
        <v>OK!</v>
      </c>
      <c r="J194" s="934" t="str">
        <f t="shared" si="104"/>
        <v>OK!</v>
      </c>
      <c r="K194" s="934" t="str">
        <f t="shared" si="104"/>
        <v>OK!</v>
      </c>
      <c r="L194" s="934" t="str">
        <f t="shared" si="104"/>
        <v>OK!</v>
      </c>
      <c r="M194" s="934" t="str">
        <f t="shared" si="104"/>
        <v>OK!</v>
      </c>
      <c r="N194" s="934" t="str">
        <f t="shared" si="104"/>
        <v>OK!</v>
      </c>
      <c r="O194" s="934" t="str">
        <f t="shared" si="104"/>
        <v>OK!</v>
      </c>
      <c r="P194" s="934" t="str">
        <f t="shared" si="104"/>
        <v>OK!</v>
      </c>
      <c r="Q194" s="934" t="str">
        <f t="shared" si="104"/>
        <v>OK!</v>
      </c>
      <c r="R194" s="934" t="str">
        <f t="shared" si="104"/>
        <v>OK!</v>
      </c>
      <c r="S194" s="934" t="str">
        <f t="shared" ref="S194:T197" si="105">IF(D194&lt;0,"STOPP!","OK!")</f>
        <v>OK!</v>
      </c>
      <c r="T194" s="934" t="str">
        <f t="shared" si="105"/>
        <v>OK!</v>
      </c>
      <c r="V194" s="977"/>
      <c r="W194" s="977"/>
      <c r="X194" s="977"/>
    </row>
    <row r="195" spans="1:24" x14ac:dyDescent="0.15">
      <c r="A195" s="958" t="str">
        <f>A$9</f>
        <v>Të tjera shpenzime korrente</v>
      </c>
      <c r="B195" s="958"/>
      <c r="C195" s="967">
        <f>150000000</f>
        <v>150000000</v>
      </c>
      <c r="D195" s="967">
        <f>150000000</f>
        <v>150000000</v>
      </c>
      <c r="E195" s="967">
        <f>150000000</f>
        <v>150000000</v>
      </c>
      <c r="F195" s="934" t="str">
        <f t="shared" si="104"/>
        <v>OK!</v>
      </c>
      <c r="G195" s="934" t="str">
        <f t="shared" si="104"/>
        <v>OK!</v>
      </c>
      <c r="H195" s="934" t="str">
        <f t="shared" si="104"/>
        <v>OK!</v>
      </c>
      <c r="I195" s="934" t="str">
        <f t="shared" si="104"/>
        <v>OK!</v>
      </c>
      <c r="J195" s="934" t="str">
        <f t="shared" si="104"/>
        <v>OK!</v>
      </c>
      <c r="K195" s="934" t="str">
        <f t="shared" si="104"/>
        <v>OK!</v>
      </c>
      <c r="L195" s="934" t="str">
        <f t="shared" si="104"/>
        <v>OK!</v>
      </c>
      <c r="M195" s="934" t="str">
        <f t="shared" si="104"/>
        <v>OK!</v>
      </c>
      <c r="N195" s="934" t="str">
        <f t="shared" si="104"/>
        <v>OK!</v>
      </c>
      <c r="O195" s="934" t="str">
        <f t="shared" si="104"/>
        <v>OK!</v>
      </c>
      <c r="P195" s="934" t="str">
        <f t="shared" si="104"/>
        <v>OK!</v>
      </c>
      <c r="Q195" s="934" t="str">
        <f t="shared" si="104"/>
        <v>OK!</v>
      </c>
      <c r="R195" s="934" t="str">
        <f t="shared" si="104"/>
        <v>OK!</v>
      </c>
      <c r="S195" s="934" t="str">
        <f t="shared" si="105"/>
        <v>OK!</v>
      </c>
      <c r="T195" s="934" t="str">
        <f t="shared" si="105"/>
        <v>OK!</v>
      </c>
      <c r="V195" s="985"/>
      <c r="W195" s="985"/>
      <c r="X195" s="985"/>
    </row>
    <row r="196" spans="1:24" x14ac:dyDescent="0.15">
      <c r="A196" s="960" t="str">
        <f>A$10</f>
        <v>Shpenzimet kapitale</v>
      </c>
      <c r="B196" s="961"/>
      <c r="C196" s="959">
        <f>C197-C194-C195</f>
        <v>0</v>
      </c>
      <c r="D196" s="959">
        <f>D197-D194-D195</f>
        <v>0</v>
      </c>
      <c r="E196" s="959">
        <f>E197-E194-E195</f>
        <v>0</v>
      </c>
      <c r="F196" s="934" t="str">
        <f t="shared" si="104"/>
        <v>OK!</v>
      </c>
      <c r="G196" s="934" t="str">
        <f t="shared" si="104"/>
        <v>OK!</v>
      </c>
      <c r="H196" s="934" t="str">
        <f t="shared" si="104"/>
        <v>OK!</v>
      </c>
      <c r="I196" s="934" t="str">
        <f t="shared" si="104"/>
        <v>OK!</v>
      </c>
      <c r="J196" s="934" t="str">
        <f t="shared" si="104"/>
        <v>OK!</v>
      </c>
      <c r="K196" s="934" t="str">
        <f t="shared" si="104"/>
        <v>OK!</v>
      </c>
      <c r="L196" s="934" t="str">
        <f t="shared" si="104"/>
        <v>OK!</v>
      </c>
      <c r="M196" s="934" t="str">
        <f t="shared" si="104"/>
        <v>OK!</v>
      </c>
      <c r="N196" s="934" t="str">
        <f t="shared" si="104"/>
        <v>OK!</v>
      </c>
      <c r="O196" s="934" t="str">
        <f t="shared" si="104"/>
        <v>OK!</v>
      </c>
      <c r="P196" s="934" t="str">
        <f t="shared" si="104"/>
        <v>OK!</v>
      </c>
      <c r="Q196" s="934" t="str">
        <f t="shared" si="104"/>
        <v>OK!</v>
      </c>
      <c r="R196" s="934" t="str">
        <f t="shared" si="104"/>
        <v>OK!</v>
      </c>
      <c r="S196" s="934" t="str">
        <f t="shared" si="105"/>
        <v>OK!</v>
      </c>
      <c r="T196" s="934" t="str">
        <f t="shared" si="105"/>
        <v>OK!</v>
      </c>
      <c r="V196" s="986"/>
      <c r="W196" s="986"/>
      <c r="X196" s="986"/>
    </row>
    <row r="197" spans="1:24" x14ac:dyDescent="0.15">
      <c r="A197" s="963" t="str">
        <f>A$11</f>
        <v>Tavanet e përgjithshme</v>
      </c>
      <c r="B197" s="964"/>
      <c r="C197" s="968">
        <v>150000000</v>
      </c>
      <c r="D197" s="968">
        <v>150000000</v>
      </c>
      <c r="E197" s="968">
        <v>150000000</v>
      </c>
      <c r="F197" s="934" t="str">
        <f t="shared" si="104"/>
        <v>OK!</v>
      </c>
      <c r="G197" s="934" t="str">
        <f t="shared" si="104"/>
        <v>OK!</v>
      </c>
      <c r="H197" s="934" t="str">
        <f t="shared" si="104"/>
        <v>OK!</v>
      </c>
      <c r="I197" s="934" t="str">
        <f t="shared" si="104"/>
        <v>OK!</v>
      </c>
      <c r="J197" s="934" t="str">
        <f t="shared" si="104"/>
        <v>OK!</v>
      </c>
      <c r="K197" s="934" t="str">
        <f t="shared" si="104"/>
        <v>OK!</v>
      </c>
      <c r="L197" s="934" t="str">
        <f t="shared" si="104"/>
        <v>OK!</v>
      </c>
      <c r="M197" s="934" t="str">
        <f t="shared" si="104"/>
        <v>OK!</v>
      </c>
      <c r="N197" s="934" t="str">
        <f t="shared" si="104"/>
        <v>OK!</v>
      </c>
      <c r="O197" s="934" t="str">
        <f t="shared" si="104"/>
        <v>OK!</v>
      </c>
      <c r="P197" s="934" t="str">
        <f t="shared" si="104"/>
        <v>OK!</v>
      </c>
      <c r="Q197" s="934" t="str">
        <f t="shared" si="104"/>
        <v>OK!</v>
      </c>
      <c r="R197" s="934" t="str">
        <f t="shared" si="104"/>
        <v>OK!</v>
      </c>
      <c r="S197" s="934" t="str">
        <f t="shared" si="105"/>
        <v>OK!</v>
      </c>
      <c r="T197" s="934" t="str">
        <f t="shared" si="105"/>
        <v>OK!</v>
      </c>
      <c r="V197" s="807"/>
      <c r="W197" s="807"/>
      <c r="X197" s="807"/>
    </row>
    <row r="198" spans="1:24" x14ac:dyDescent="0.15">
      <c r="A198" s="965" t="str">
        <f>A$12</f>
        <v>Angazhimet kujtesë</v>
      </c>
      <c r="B198" s="959"/>
      <c r="C198" s="959">
        <f>'(C5) Angazhimet'!D67</f>
        <v>0</v>
      </c>
      <c r="D198" s="959">
        <f>'(C5) Angazhimet'!E67</f>
        <v>0</v>
      </c>
      <c r="E198" s="959">
        <f>'(C5) Angazhimet'!F67</f>
        <v>0</v>
      </c>
      <c r="F198" s="934" t="str">
        <f>IF(C198&gt;C197,"STOPP!","OK!")</f>
        <v>OK!</v>
      </c>
      <c r="G198" s="934" t="str">
        <f t="shared" ref="G198:R198" si="106">IF(D198&lt;0,"STOPP!","OK!")</f>
        <v>OK!</v>
      </c>
      <c r="H198" s="934" t="str">
        <f t="shared" si="106"/>
        <v>OK!</v>
      </c>
      <c r="I198" s="934" t="str">
        <f t="shared" si="106"/>
        <v>OK!</v>
      </c>
      <c r="J198" s="934" t="str">
        <f t="shared" si="106"/>
        <v>OK!</v>
      </c>
      <c r="K198" s="934" t="str">
        <f t="shared" si="106"/>
        <v>OK!</v>
      </c>
      <c r="L198" s="934" t="str">
        <f t="shared" si="106"/>
        <v>OK!</v>
      </c>
      <c r="M198" s="934" t="str">
        <f t="shared" si="106"/>
        <v>OK!</v>
      </c>
      <c r="N198" s="934" t="str">
        <f t="shared" si="106"/>
        <v>OK!</v>
      </c>
      <c r="O198" s="934" t="str">
        <f t="shared" si="106"/>
        <v>OK!</v>
      </c>
      <c r="P198" s="934" t="str">
        <f t="shared" si="106"/>
        <v>OK!</v>
      </c>
      <c r="Q198" s="934" t="str">
        <f t="shared" si="106"/>
        <v>OK!</v>
      </c>
      <c r="R198" s="934" t="str">
        <f t="shared" si="106"/>
        <v>OK!</v>
      </c>
      <c r="S198" s="934" t="str">
        <f>IF(D198&gt;D197,"STOPP!","OK!")</f>
        <v>OK!</v>
      </c>
      <c r="T198" s="934" t="str">
        <f>IF(E198&gt;E197,"STOPP!","OK!")</f>
        <v>OK!</v>
      </c>
    </row>
    <row r="199" spans="1:24" ht="21.75" customHeight="1" x14ac:dyDescent="0.25">
      <c r="A199" s="1082" t="str">
        <f>'(B2) Struktura Organizative'!A17</f>
        <v>Nënfunksioni 11</v>
      </c>
      <c r="B199" s="1076" t="str">
        <f>'(B2) Struktura Organizative'!B17</f>
        <v>052 Menaxhimi i ujrave të zeza</v>
      </c>
      <c r="C199" s="1077"/>
      <c r="D199" s="1077"/>
      <c r="E199" s="1078"/>
      <c r="G199" s="933">
        <f>C203</f>
        <v>0</v>
      </c>
      <c r="H199" s="933">
        <f>D203</f>
        <v>0</v>
      </c>
      <c r="I199" s="933">
        <f>E203</f>
        <v>0</v>
      </c>
      <c r="J199" s="933">
        <f>C200</f>
        <v>0</v>
      </c>
      <c r="K199" s="933">
        <f>D200</f>
        <v>0</v>
      </c>
      <c r="L199" s="933">
        <f>E200</f>
        <v>0</v>
      </c>
      <c r="M199" s="933">
        <f>C201</f>
        <v>0</v>
      </c>
      <c r="N199" s="933">
        <f>D201</f>
        <v>0</v>
      </c>
      <c r="O199" s="933">
        <f>E201</f>
        <v>0</v>
      </c>
      <c r="P199" s="933">
        <f>C202</f>
        <v>0</v>
      </c>
      <c r="Q199" s="933">
        <f>D202</f>
        <v>0</v>
      </c>
      <c r="R199" s="933">
        <f>E202</f>
        <v>0</v>
      </c>
    </row>
    <row r="200" spans="1:24" x14ac:dyDescent="0.15">
      <c r="A200" s="958" t="str">
        <f>A$8</f>
        <v>Pagat dhe sigurimet shoqërore</v>
      </c>
      <c r="B200" s="958"/>
      <c r="C200" s="959">
        <f t="shared" ref="C200:E201" si="107">C206</f>
        <v>0</v>
      </c>
      <c r="D200" s="959">
        <f t="shared" si="107"/>
        <v>0</v>
      </c>
      <c r="E200" s="959">
        <f t="shared" si="107"/>
        <v>0</v>
      </c>
      <c r="F200" s="934" t="str">
        <f t="shared" ref="F200:R203" si="108">IF(C200&lt;0,"STOPP!","OK!")</f>
        <v>OK!</v>
      </c>
      <c r="G200" s="934" t="str">
        <f t="shared" si="108"/>
        <v>OK!</v>
      </c>
      <c r="H200" s="934" t="str">
        <f t="shared" si="108"/>
        <v>OK!</v>
      </c>
      <c r="I200" s="934" t="str">
        <f t="shared" si="108"/>
        <v>OK!</v>
      </c>
      <c r="J200" s="934" t="str">
        <f t="shared" si="108"/>
        <v>OK!</v>
      </c>
      <c r="K200" s="934" t="str">
        <f t="shared" si="108"/>
        <v>OK!</v>
      </c>
      <c r="L200" s="934" t="str">
        <f t="shared" si="108"/>
        <v>OK!</v>
      </c>
      <c r="M200" s="934" t="str">
        <f t="shared" si="108"/>
        <v>OK!</v>
      </c>
      <c r="N200" s="934" t="str">
        <f t="shared" si="108"/>
        <v>OK!</v>
      </c>
      <c r="O200" s="934" t="str">
        <f t="shared" si="108"/>
        <v>OK!</v>
      </c>
      <c r="P200" s="934" t="str">
        <f t="shared" si="108"/>
        <v>OK!</v>
      </c>
      <c r="Q200" s="934" t="str">
        <f t="shared" si="108"/>
        <v>OK!</v>
      </c>
      <c r="R200" s="934" t="str">
        <f t="shared" si="108"/>
        <v>OK!</v>
      </c>
      <c r="S200" s="934" t="str">
        <f t="shared" ref="S200:T203" si="109">IF(D200&lt;0,"STOPP!","OK!")</f>
        <v>OK!</v>
      </c>
      <c r="T200" s="934" t="str">
        <f t="shared" si="109"/>
        <v>OK!</v>
      </c>
    </row>
    <row r="201" spans="1:24" x14ac:dyDescent="0.15">
      <c r="A201" s="958" t="str">
        <f>A$9</f>
        <v>Të tjera shpenzime korrente</v>
      </c>
      <c r="B201" s="958"/>
      <c r="C201" s="959">
        <f t="shared" si="107"/>
        <v>0</v>
      </c>
      <c r="D201" s="959">
        <f t="shared" si="107"/>
        <v>0</v>
      </c>
      <c r="E201" s="959">
        <f t="shared" si="107"/>
        <v>0</v>
      </c>
      <c r="F201" s="934" t="str">
        <f t="shared" si="108"/>
        <v>OK!</v>
      </c>
      <c r="G201" s="934" t="str">
        <f t="shared" si="108"/>
        <v>OK!</v>
      </c>
      <c r="H201" s="934" t="str">
        <f t="shared" si="108"/>
        <v>OK!</v>
      </c>
      <c r="I201" s="934" t="str">
        <f t="shared" si="108"/>
        <v>OK!</v>
      </c>
      <c r="J201" s="934" t="str">
        <f t="shared" si="108"/>
        <v>OK!</v>
      </c>
      <c r="K201" s="934" t="str">
        <f t="shared" si="108"/>
        <v>OK!</v>
      </c>
      <c r="L201" s="934" t="str">
        <f t="shared" si="108"/>
        <v>OK!</v>
      </c>
      <c r="M201" s="934" t="str">
        <f t="shared" si="108"/>
        <v>OK!</v>
      </c>
      <c r="N201" s="934" t="str">
        <f t="shared" si="108"/>
        <v>OK!</v>
      </c>
      <c r="O201" s="934" t="str">
        <f t="shared" si="108"/>
        <v>OK!</v>
      </c>
      <c r="P201" s="934" t="str">
        <f t="shared" si="108"/>
        <v>OK!</v>
      </c>
      <c r="Q201" s="934" t="str">
        <f t="shared" si="108"/>
        <v>OK!</v>
      </c>
      <c r="R201" s="934" t="str">
        <f t="shared" si="108"/>
        <v>OK!</v>
      </c>
      <c r="S201" s="934" t="str">
        <f t="shared" si="109"/>
        <v>OK!</v>
      </c>
      <c r="T201" s="934" t="str">
        <f t="shared" si="109"/>
        <v>OK!</v>
      </c>
    </row>
    <row r="202" spans="1:24" x14ac:dyDescent="0.15">
      <c r="A202" s="960" t="str">
        <f>A$10</f>
        <v>Shpenzimet kapitale</v>
      </c>
      <c r="B202" s="961"/>
      <c r="C202" s="959">
        <f>C203-C200-C201</f>
        <v>0</v>
      </c>
      <c r="D202" s="962">
        <f>D203-D200-D201</f>
        <v>0</v>
      </c>
      <c r="E202" s="962">
        <f>E203-E200-E201</f>
        <v>0</v>
      </c>
      <c r="F202" s="934" t="str">
        <f t="shared" si="108"/>
        <v>OK!</v>
      </c>
      <c r="G202" s="934" t="str">
        <f t="shared" si="108"/>
        <v>OK!</v>
      </c>
      <c r="H202" s="934" t="str">
        <f t="shared" si="108"/>
        <v>OK!</v>
      </c>
      <c r="I202" s="934" t="str">
        <f t="shared" si="108"/>
        <v>OK!</v>
      </c>
      <c r="J202" s="934" t="str">
        <f t="shared" si="108"/>
        <v>OK!</v>
      </c>
      <c r="K202" s="934" t="str">
        <f t="shared" si="108"/>
        <v>OK!</v>
      </c>
      <c r="L202" s="934" t="str">
        <f t="shared" si="108"/>
        <v>OK!</v>
      </c>
      <c r="M202" s="934" t="str">
        <f t="shared" si="108"/>
        <v>OK!</v>
      </c>
      <c r="N202" s="934" t="str">
        <f t="shared" si="108"/>
        <v>OK!</v>
      </c>
      <c r="O202" s="934" t="str">
        <f t="shared" si="108"/>
        <v>OK!</v>
      </c>
      <c r="P202" s="934" t="str">
        <f t="shared" si="108"/>
        <v>OK!</v>
      </c>
      <c r="Q202" s="934" t="str">
        <f t="shared" si="108"/>
        <v>OK!</v>
      </c>
      <c r="R202" s="934" t="str">
        <f t="shared" si="108"/>
        <v>OK!</v>
      </c>
      <c r="S202" s="934" t="str">
        <f t="shared" si="109"/>
        <v>OK!</v>
      </c>
      <c r="T202" s="934" t="str">
        <f t="shared" si="109"/>
        <v>OK!</v>
      </c>
    </row>
    <row r="203" spans="1:24" x14ac:dyDescent="0.15">
      <c r="A203" s="963" t="str">
        <f>A$11</f>
        <v>Tavanet e përgjithshme</v>
      </c>
      <c r="B203" s="964"/>
      <c r="C203" s="959">
        <f>C209</f>
        <v>0</v>
      </c>
      <c r="D203" s="959">
        <f>D209</f>
        <v>0</v>
      </c>
      <c r="E203" s="959">
        <f>E209</f>
        <v>0</v>
      </c>
      <c r="F203" s="934" t="str">
        <f t="shared" si="108"/>
        <v>OK!</v>
      </c>
      <c r="G203" s="934" t="str">
        <f t="shared" si="108"/>
        <v>OK!</v>
      </c>
      <c r="H203" s="934" t="str">
        <f t="shared" si="108"/>
        <v>OK!</v>
      </c>
      <c r="I203" s="934" t="str">
        <f t="shared" si="108"/>
        <v>OK!</v>
      </c>
      <c r="J203" s="934" t="str">
        <f t="shared" si="108"/>
        <v>OK!</v>
      </c>
      <c r="K203" s="934" t="str">
        <f t="shared" si="108"/>
        <v>OK!</v>
      </c>
      <c r="L203" s="934" t="str">
        <f t="shared" si="108"/>
        <v>OK!</v>
      </c>
      <c r="M203" s="934" t="str">
        <f t="shared" si="108"/>
        <v>OK!</v>
      </c>
      <c r="N203" s="934" t="str">
        <f t="shared" si="108"/>
        <v>OK!</v>
      </c>
      <c r="O203" s="934" t="str">
        <f t="shared" si="108"/>
        <v>OK!</v>
      </c>
      <c r="P203" s="934" t="str">
        <f t="shared" si="108"/>
        <v>OK!</v>
      </c>
      <c r="Q203" s="934" t="str">
        <f t="shared" si="108"/>
        <v>OK!</v>
      </c>
      <c r="R203" s="934" t="str">
        <f t="shared" si="108"/>
        <v>OK!</v>
      </c>
      <c r="S203" s="934" t="str">
        <f t="shared" si="109"/>
        <v>OK!</v>
      </c>
      <c r="T203" s="934" t="str">
        <f t="shared" si="109"/>
        <v>OK!</v>
      </c>
    </row>
    <row r="204" spans="1:24" x14ac:dyDescent="0.15">
      <c r="A204" s="965" t="str">
        <f>A$12</f>
        <v>Angazhimet kujtesë</v>
      </c>
      <c r="B204" s="959"/>
      <c r="C204" s="959">
        <f>'(C5) Angazhimet'!D75</f>
        <v>0</v>
      </c>
      <c r="D204" s="962">
        <f>'(C5) Angazhimet'!E75</f>
        <v>0</v>
      </c>
      <c r="E204" s="962">
        <f>'(C5) Angazhimet'!F75</f>
        <v>0</v>
      </c>
      <c r="F204" s="934" t="str">
        <f>IF(C204&gt;C203,"STOPP!","OK!")</f>
        <v>OK!</v>
      </c>
      <c r="G204" s="934" t="str">
        <f t="shared" ref="G204:R204" si="110">IF(D204&lt;0,"STOPP!","OK!")</f>
        <v>OK!</v>
      </c>
      <c r="H204" s="934" t="str">
        <f t="shared" si="110"/>
        <v>OK!</v>
      </c>
      <c r="I204" s="934" t="str">
        <f t="shared" si="110"/>
        <v>OK!</v>
      </c>
      <c r="J204" s="934" t="str">
        <f t="shared" si="110"/>
        <v>OK!</v>
      </c>
      <c r="K204" s="934" t="str">
        <f t="shared" si="110"/>
        <v>OK!</v>
      </c>
      <c r="L204" s="934" t="str">
        <f t="shared" si="110"/>
        <v>OK!</v>
      </c>
      <c r="M204" s="934" t="str">
        <f t="shared" si="110"/>
        <v>OK!</v>
      </c>
      <c r="N204" s="934" t="str">
        <f t="shared" si="110"/>
        <v>OK!</v>
      </c>
      <c r="O204" s="934" t="str">
        <f t="shared" si="110"/>
        <v>OK!</v>
      </c>
      <c r="P204" s="934" t="str">
        <f t="shared" si="110"/>
        <v>OK!</v>
      </c>
      <c r="Q204" s="934" t="str">
        <f t="shared" si="110"/>
        <v>OK!</v>
      </c>
      <c r="R204" s="934" t="str">
        <f t="shared" si="110"/>
        <v>OK!</v>
      </c>
      <c r="S204" s="934" t="str">
        <f>IF(D204&gt;D203,"STOPP!","OK!")</f>
        <v>OK!</v>
      </c>
      <c r="T204" s="934" t="str">
        <f>IF(E204&gt;E203,"STOPP!","OK!")</f>
        <v>OK!</v>
      </c>
    </row>
    <row r="205" spans="1:24" ht="15.75" customHeight="1" x14ac:dyDescent="0.15">
      <c r="A205" s="1089" t="str">
        <f>'(B3) Struktura Funksionale'!B64</f>
        <v>05200</v>
      </c>
      <c r="B205" s="1079" t="str">
        <f>'(B3) Struktura Funksionale'!C64</f>
        <v>Menaxhimi i ujrave të zeza dhe kanalizimeve</v>
      </c>
      <c r="C205" s="1080"/>
      <c r="D205" s="1080"/>
      <c r="E205" s="1081"/>
      <c r="F205" s="934"/>
      <c r="G205" s="934"/>
      <c r="H205" s="934"/>
      <c r="I205" s="934"/>
      <c r="J205" s="934"/>
      <c r="K205" s="934"/>
      <c r="L205" s="934"/>
      <c r="M205" s="934"/>
      <c r="N205" s="934"/>
      <c r="O205" s="934"/>
      <c r="P205" s="934"/>
      <c r="Q205" s="934"/>
      <c r="R205" s="934"/>
      <c r="S205" s="934"/>
      <c r="T205" s="934"/>
    </row>
    <row r="206" spans="1:24" x14ac:dyDescent="0.15">
      <c r="A206" s="958" t="str">
        <f>A$8</f>
        <v>Pagat dhe sigurimet shoqërore</v>
      </c>
      <c r="B206" s="958"/>
      <c r="C206" s="966"/>
      <c r="D206" s="966"/>
      <c r="E206" s="966"/>
      <c r="F206" s="934" t="str">
        <f t="shared" ref="F206:R209" si="111">IF(C206&lt;0,"STOPP!","OK!")</f>
        <v>OK!</v>
      </c>
      <c r="G206" s="934" t="str">
        <f t="shared" si="111"/>
        <v>OK!</v>
      </c>
      <c r="H206" s="934" t="str">
        <f t="shared" si="111"/>
        <v>OK!</v>
      </c>
      <c r="I206" s="934" t="str">
        <f t="shared" si="111"/>
        <v>OK!</v>
      </c>
      <c r="J206" s="934" t="str">
        <f t="shared" si="111"/>
        <v>OK!</v>
      </c>
      <c r="K206" s="934" t="str">
        <f t="shared" si="111"/>
        <v>OK!</v>
      </c>
      <c r="L206" s="934" t="str">
        <f t="shared" si="111"/>
        <v>OK!</v>
      </c>
      <c r="M206" s="934" t="str">
        <f t="shared" si="111"/>
        <v>OK!</v>
      </c>
      <c r="N206" s="934" t="str">
        <f t="shared" si="111"/>
        <v>OK!</v>
      </c>
      <c r="O206" s="934" t="str">
        <f t="shared" si="111"/>
        <v>OK!</v>
      </c>
      <c r="P206" s="934" t="str">
        <f t="shared" si="111"/>
        <v>OK!</v>
      </c>
      <c r="Q206" s="934" t="str">
        <f t="shared" si="111"/>
        <v>OK!</v>
      </c>
      <c r="R206" s="934" t="str">
        <f t="shared" si="111"/>
        <v>OK!</v>
      </c>
      <c r="S206" s="934" t="str">
        <f t="shared" ref="S206:T209" si="112">IF(D206&lt;0,"STOPP!","OK!")</f>
        <v>OK!</v>
      </c>
      <c r="T206" s="934" t="str">
        <f t="shared" si="112"/>
        <v>OK!</v>
      </c>
    </row>
    <row r="207" spans="1:24" x14ac:dyDescent="0.15">
      <c r="A207" s="958" t="str">
        <f>A$9</f>
        <v>Të tjera shpenzime korrente</v>
      </c>
      <c r="B207" s="958"/>
      <c r="C207" s="967"/>
      <c r="D207" s="967"/>
      <c r="E207" s="967"/>
      <c r="F207" s="934" t="str">
        <f t="shared" si="111"/>
        <v>OK!</v>
      </c>
      <c r="G207" s="934" t="str">
        <f t="shared" si="111"/>
        <v>OK!</v>
      </c>
      <c r="H207" s="934" t="str">
        <f t="shared" si="111"/>
        <v>OK!</v>
      </c>
      <c r="I207" s="934" t="str">
        <f t="shared" si="111"/>
        <v>OK!</v>
      </c>
      <c r="J207" s="934" t="str">
        <f t="shared" si="111"/>
        <v>OK!</v>
      </c>
      <c r="K207" s="934" t="str">
        <f t="shared" si="111"/>
        <v>OK!</v>
      </c>
      <c r="L207" s="934" t="str">
        <f t="shared" si="111"/>
        <v>OK!</v>
      </c>
      <c r="M207" s="934" t="str">
        <f t="shared" si="111"/>
        <v>OK!</v>
      </c>
      <c r="N207" s="934" t="str">
        <f t="shared" si="111"/>
        <v>OK!</v>
      </c>
      <c r="O207" s="934" t="str">
        <f t="shared" si="111"/>
        <v>OK!</v>
      </c>
      <c r="P207" s="934" t="str">
        <f t="shared" si="111"/>
        <v>OK!</v>
      </c>
      <c r="Q207" s="934" t="str">
        <f t="shared" si="111"/>
        <v>OK!</v>
      </c>
      <c r="R207" s="934" t="str">
        <f t="shared" si="111"/>
        <v>OK!</v>
      </c>
      <c r="S207" s="934" t="str">
        <f t="shared" si="112"/>
        <v>OK!</v>
      </c>
      <c r="T207" s="934" t="str">
        <f t="shared" si="112"/>
        <v>OK!</v>
      </c>
    </row>
    <row r="208" spans="1:24" x14ac:dyDescent="0.15">
      <c r="A208" s="960" t="str">
        <f>A$10</f>
        <v>Shpenzimet kapitale</v>
      </c>
      <c r="B208" s="961"/>
      <c r="C208" s="959">
        <f>C209-C206-C207</f>
        <v>0</v>
      </c>
      <c r="D208" s="962">
        <f>D209-D206-D207</f>
        <v>0</v>
      </c>
      <c r="E208" s="962">
        <f>E209-E206-E207</f>
        <v>0</v>
      </c>
      <c r="F208" s="934" t="str">
        <f t="shared" si="111"/>
        <v>OK!</v>
      </c>
      <c r="G208" s="934" t="str">
        <f t="shared" si="111"/>
        <v>OK!</v>
      </c>
      <c r="H208" s="934" t="str">
        <f t="shared" si="111"/>
        <v>OK!</v>
      </c>
      <c r="I208" s="934" t="str">
        <f t="shared" si="111"/>
        <v>OK!</v>
      </c>
      <c r="J208" s="934" t="str">
        <f t="shared" si="111"/>
        <v>OK!</v>
      </c>
      <c r="K208" s="934" t="str">
        <f t="shared" si="111"/>
        <v>OK!</v>
      </c>
      <c r="L208" s="934" t="str">
        <f t="shared" si="111"/>
        <v>OK!</v>
      </c>
      <c r="M208" s="934" t="str">
        <f t="shared" si="111"/>
        <v>OK!</v>
      </c>
      <c r="N208" s="934" t="str">
        <f t="shared" si="111"/>
        <v>OK!</v>
      </c>
      <c r="O208" s="934" t="str">
        <f t="shared" si="111"/>
        <v>OK!</v>
      </c>
      <c r="P208" s="934" t="str">
        <f t="shared" si="111"/>
        <v>OK!</v>
      </c>
      <c r="Q208" s="934" t="str">
        <f t="shared" si="111"/>
        <v>OK!</v>
      </c>
      <c r="R208" s="934" t="str">
        <f t="shared" si="111"/>
        <v>OK!</v>
      </c>
      <c r="S208" s="934" t="str">
        <f t="shared" si="112"/>
        <v>OK!</v>
      </c>
      <c r="T208" s="934" t="str">
        <f t="shared" si="112"/>
        <v>OK!</v>
      </c>
    </row>
    <row r="209" spans="1:20" x14ac:dyDescent="0.15">
      <c r="A209" s="963" t="str">
        <f>A$11</f>
        <v>Tavanet e përgjithshme</v>
      </c>
      <c r="B209" s="964"/>
      <c r="C209" s="968"/>
      <c r="D209" s="969"/>
      <c r="E209" s="969"/>
      <c r="F209" s="934" t="str">
        <f t="shared" si="111"/>
        <v>OK!</v>
      </c>
      <c r="G209" s="934" t="str">
        <f t="shared" si="111"/>
        <v>OK!</v>
      </c>
      <c r="H209" s="934" t="str">
        <f t="shared" si="111"/>
        <v>OK!</v>
      </c>
      <c r="I209" s="934" t="str">
        <f t="shared" si="111"/>
        <v>OK!</v>
      </c>
      <c r="J209" s="934" t="str">
        <f t="shared" si="111"/>
        <v>OK!</v>
      </c>
      <c r="K209" s="934" t="str">
        <f t="shared" si="111"/>
        <v>OK!</v>
      </c>
      <c r="L209" s="934" t="str">
        <f t="shared" si="111"/>
        <v>OK!</v>
      </c>
      <c r="M209" s="934" t="str">
        <f t="shared" si="111"/>
        <v>OK!</v>
      </c>
      <c r="N209" s="934" t="str">
        <f t="shared" si="111"/>
        <v>OK!</v>
      </c>
      <c r="O209" s="934" t="str">
        <f t="shared" si="111"/>
        <v>OK!</v>
      </c>
      <c r="P209" s="934" t="str">
        <f t="shared" si="111"/>
        <v>OK!</v>
      </c>
      <c r="Q209" s="934" t="str">
        <f t="shared" si="111"/>
        <v>OK!</v>
      </c>
      <c r="R209" s="934" t="str">
        <f t="shared" si="111"/>
        <v>OK!</v>
      </c>
      <c r="S209" s="934" t="str">
        <f t="shared" si="112"/>
        <v>OK!</v>
      </c>
      <c r="T209" s="934" t="str">
        <f t="shared" si="112"/>
        <v>OK!</v>
      </c>
    </row>
    <row r="210" spans="1:20" x14ac:dyDescent="0.15">
      <c r="A210" s="965" t="str">
        <f>A$12</f>
        <v>Angazhimet kujtesë</v>
      </c>
      <c r="B210" s="959"/>
      <c r="C210" s="959">
        <f>'(C5) Angazhimet'!D72</f>
        <v>0</v>
      </c>
      <c r="D210" s="959">
        <f>'(C5) Angazhimet'!E72</f>
        <v>0</v>
      </c>
      <c r="E210" s="959">
        <f>'(C5) Angazhimet'!F72</f>
        <v>0</v>
      </c>
      <c r="F210" s="934" t="str">
        <f>IF(C210&gt;C209,"STOPP!","OK!")</f>
        <v>OK!</v>
      </c>
      <c r="G210" s="934" t="str">
        <f t="shared" ref="G210:R210" si="113">IF(D210&lt;0,"STOPP!","OK!")</f>
        <v>OK!</v>
      </c>
      <c r="H210" s="934" t="str">
        <f t="shared" si="113"/>
        <v>OK!</v>
      </c>
      <c r="I210" s="934" t="str">
        <f t="shared" si="113"/>
        <v>OK!</v>
      </c>
      <c r="J210" s="934" t="str">
        <f t="shared" si="113"/>
        <v>OK!</v>
      </c>
      <c r="K210" s="934" t="str">
        <f t="shared" si="113"/>
        <v>OK!</v>
      </c>
      <c r="L210" s="934" t="str">
        <f t="shared" si="113"/>
        <v>OK!</v>
      </c>
      <c r="M210" s="934" t="str">
        <f t="shared" si="113"/>
        <v>OK!</v>
      </c>
      <c r="N210" s="934" t="str">
        <f t="shared" si="113"/>
        <v>OK!</v>
      </c>
      <c r="O210" s="934" t="str">
        <f t="shared" si="113"/>
        <v>OK!</v>
      </c>
      <c r="P210" s="934" t="str">
        <f t="shared" si="113"/>
        <v>OK!</v>
      </c>
      <c r="Q210" s="934" t="str">
        <f t="shared" si="113"/>
        <v>OK!</v>
      </c>
      <c r="R210" s="934" t="str">
        <f t="shared" si="113"/>
        <v>OK!</v>
      </c>
      <c r="S210" s="934" t="str">
        <f>IF(D210&gt;D209,"STOPP!","OK!")</f>
        <v>OK!</v>
      </c>
      <c r="T210" s="934" t="str">
        <f>IF(E210&gt;E209,"STOPP!","OK!")</f>
        <v>OK!</v>
      </c>
    </row>
    <row r="211" spans="1:20" ht="22.5" customHeight="1" x14ac:dyDescent="0.25">
      <c r="A211" s="1082" t="str">
        <f>'(B2) Struktura Organizative'!A18</f>
        <v>Nënfunksioni 12</v>
      </c>
      <c r="B211" s="1076" t="str">
        <f>'(B2) Struktura Organizative'!B18</f>
        <v>053 Reduktimi i ndotjes</v>
      </c>
      <c r="C211" s="1077"/>
      <c r="D211" s="1077"/>
      <c r="E211" s="1078"/>
      <c r="G211" s="933">
        <f>C215</f>
        <v>0</v>
      </c>
      <c r="H211" s="933">
        <f>D215</f>
        <v>0</v>
      </c>
      <c r="I211" s="933">
        <f>E215</f>
        <v>0</v>
      </c>
      <c r="J211" s="933">
        <f>C212</f>
        <v>0</v>
      </c>
      <c r="K211" s="933">
        <f>D212</f>
        <v>0</v>
      </c>
      <c r="L211" s="933">
        <f>E212</f>
        <v>0</v>
      </c>
      <c r="M211" s="933">
        <f>C213</f>
        <v>0</v>
      </c>
      <c r="N211" s="933">
        <f>D213</f>
        <v>0</v>
      </c>
      <c r="O211" s="933">
        <f>E213</f>
        <v>0</v>
      </c>
      <c r="P211" s="933">
        <f>C214</f>
        <v>0</v>
      </c>
      <c r="Q211" s="933">
        <f>D214</f>
        <v>0</v>
      </c>
      <c r="R211" s="933">
        <f>E214</f>
        <v>0</v>
      </c>
    </row>
    <row r="212" spans="1:20" x14ac:dyDescent="0.15">
      <c r="A212" s="958" t="str">
        <f>A$8</f>
        <v>Pagat dhe sigurimet shoqërore</v>
      </c>
      <c r="B212" s="958"/>
      <c r="C212" s="959">
        <f t="shared" ref="C212:E213" si="114">C218</f>
        <v>0</v>
      </c>
      <c r="D212" s="959">
        <f t="shared" si="114"/>
        <v>0</v>
      </c>
      <c r="E212" s="959">
        <f t="shared" si="114"/>
        <v>0</v>
      </c>
      <c r="F212" s="934" t="str">
        <f t="shared" ref="F212:R215" si="115">IF(C212&lt;0,"STOPP!","OK!")</f>
        <v>OK!</v>
      </c>
      <c r="G212" s="934" t="str">
        <f t="shared" si="115"/>
        <v>OK!</v>
      </c>
      <c r="H212" s="934" t="str">
        <f t="shared" si="115"/>
        <v>OK!</v>
      </c>
      <c r="I212" s="934" t="str">
        <f t="shared" si="115"/>
        <v>OK!</v>
      </c>
      <c r="J212" s="934" t="str">
        <f t="shared" si="115"/>
        <v>OK!</v>
      </c>
      <c r="K212" s="934" t="str">
        <f t="shared" si="115"/>
        <v>OK!</v>
      </c>
      <c r="L212" s="934" t="str">
        <f t="shared" si="115"/>
        <v>OK!</v>
      </c>
      <c r="M212" s="934" t="str">
        <f t="shared" si="115"/>
        <v>OK!</v>
      </c>
      <c r="N212" s="934" t="str">
        <f t="shared" si="115"/>
        <v>OK!</v>
      </c>
      <c r="O212" s="934" t="str">
        <f t="shared" si="115"/>
        <v>OK!</v>
      </c>
      <c r="P212" s="934" t="str">
        <f t="shared" si="115"/>
        <v>OK!</v>
      </c>
      <c r="Q212" s="934" t="str">
        <f t="shared" si="115"/>
        <v>OK!</v>
      </c>
      <c r="R212" s="934" t="str">
        <f t="shared" si="115"/>
        <v>OK!</v>
      </c>
      <c r="S212" s="934" t="str">
        <f t="shared" ref="S212:T215" si="116">IF(D212&lt;0,"STOPP!","OK!")</f>
        <v>OK!</v>
      </c>
      <c r="T212" s="934" t="str">
        <f t="shared" si="116"/>
        <v>OK!</v>
      </c>
    </row>
    <row r="213" spans="1:20" x14ac:dyDescent="0.15">
      <c r="A213" s="958" t="str">
        <f>A$9</f>
        <v>Të tjera shpenzime korrente</v>
      </c>
      <c r="B213" s="958"/>
      <c r="C213" s="959">
        <f t="shared" si="114"/>
        <v>0</v>
      </c>
      <c r="D213" s="959">
        <f t="shared" si="114"/>
        <v>0</v>
      </c>
      <c r="E213" s="959">
        <f t="shared" si="114"/>
        <v>0</v>
      </c>
      <c r="F213" s="934" t="str">
        <f t="shared" si="115"/>
        <v>OK!</v>
      </c>
      <c r="G213" s="934" t="str">
        <f t="shared" si="115"/>
        <v>OK!</v>
      </c>
      <c r="H213" s="934" t="str">
        <f t="shared" si="115"/>
        <v>OK!</v>
      </c>
      <c r="I213" s="934" t="str">
        <f t="shared" si="115"/>
        <v>OK!</v>
      </c>
      <c r="J213" s="934" t="str">
        <f t="shared" si="115"/>
        <v>OK!</v>
      </c>
      <c r="K213" s="934" t="str">
        <f t="shared" si="115"/>
        <v>OK!</v>
      </c>
      <c r="L213" s="934" t="str">
        <f t="shared" si="115"/>
        <v>OK!</v>
      </c>
      <c r="M213" s="934" t="str">
        <f t="shared" si="115"/>
        <v>OK!</v>
      </c>
      <c r="N213" s="934" t="str">
        <f t="shared" si="115"/>
        <v>OK!</v>
      </c>
      <c r="O213" s="934" t="str">
        <f t="shared" si="115"/>
        <v>OK!</v>
      </c>
      <c r="P213" s="934" t="str">
        <f t="shared" si="115"/>
        <v>OK!</v>
      </c>
      <c r="Q213" s="934" t="str">
        <f t="shared" si="115"/>
        <v>OK!</v>
      </c>
      <c r="R213" s="934" t="str">
        <f t="shared" si="115"/>
        <v>OK!</v>
      </c>
      <c r="S213" s="934" t="str">
        <f t="shared" si="116"/>
        <v>OK!</v>
      </c>
      <c r="T213" s="934" t="str">
        <f t="shared" si="116"/>
        <v>OK!</v>
      </c>
    </row>
    <row r="214" spans="1:20" x14ac:dyDescent="0.15">
      <c r="A214" s="960" t="str">
        <f>A$10</f>
        <v>Shpenzimet kapitale</v>
      </c>
      <c r="B214" s="961"/>
      <c r="C214" s="959">
        <f>C215-C212-C213</f>
        <v>0</v>
      </c>
      <c r="D214" s="962">
        <f>D215-D212-D213</f>
        <v>0</v>
      </c>
      <c r="E214" s="962">
        <f>E215-E212-E213</f>
        <v>0</v>
      </c>
      <c r="F214" s="934" t="str">
        <f t="shared" si="115"/>
        <v>OK!</v>
      </c>
      <c r="G214" s="934" t="str">
        <f t="shared" si="115"/>
        <v>OK!</v>
      </c>
      <c r="H214" s="934" t="str">
        <f t="shared" si="115"/>
        <v>OK!</v>
      </c>
      <c r="I214" s="934" t="str">
        <f t="shared" si="115"/>
        <v>OK!</v>
      </c>
      <c r="J214" s="934" t="str">
        <f t="shared" si="115"/>
        <v>OK!</v>
      </c>
      <c r="K214" s="934" t="str">
        <f t="shared" si="115"/>
        <v>OK!</v>
      </c>
      <c r="L214" s="934" t="str">
        <f t="shared" si="115"/>
        <v>OK!</v>
      </c>
      <c r="M214" s="934" t="str">
        <f t="shared" si="115"/>
        <v>OK!</v>
      </c>
      <c r="N214" s="934" t="str">
        <f t="shared" si="115"/>
        <v>OK!</v>
      </c>
      <c r="O214" s="934" t="str">
        <f t="shared" si="115"/>
        <v>OK!</v>
      </c>
      <c r="P214" s="934" t="str">
        <f t="shared" si="115"/>
        <v>OK!</v>
      </c>
      <c r="Q214" s="934" t="str">
        <f t="shared" si="115"/>
        <v>OK!</v>
      </c>
      <c r="R214" s="934" t="str">
        <f t="shared" si="115"/>
        <v>OK!</v>
      </c>
      <c r="S214" s="934" t="str">
        <f t="shared" si="116"/>
        <v>OK!</v>
      </c>
      <c r="T214" s="934" t="str">
        <f t="shared" si="116"/>
        <v>OK!</v>
      </c>
    </row>
    <row r="215" spans="1:20" x14ac:dyDescent="0.15">
      <c r="A215" s="963" t="str">
        <f>A$11</f>
        <v>Tavanet e përgjithshme</v>
      </c>
      <c r="B215" s="964"/>
      <c r="C215" s="959">
        <f>C221</f>
        <v>0</v>
      </c>
      <c r="D215" s="959">
        <f>D221</f>
        <v>0</v>
      </c>
      <c r="E215" s="959">
        <f>E221</f>
        <v>0</v>
      </c>
      <c r="F215" s="934" t="str">
        <f t="shared" si="115"/>
        <v>OK!</v>
      </c>
      <c r="G215" s="934" t="str">
        <f t="shared" si="115"/>
        <v>OK!</v>
      </c>
      <c r="H215" s="934" t="str">
        <f t="shared" si="115"/>
        <v>OK!</v>
      </c>
      <c r="I215" s="934" t="str">
        <f t="shared" si="115"/>
        <v>OK!</v>
      </c>
      <c r="J215" s="934" t="str">
        <f t="shared" si="115"/>
        <v>OK!</v>
      </c>
      <c r="K215" s="934" t="str">
        <f t="shared" si="115"/>
        <v>OK!</v>
      </c>
      <c r="L215" s="934" t="str">
        <f t="shared" si="115"/>
        <v>OK!</v>
      </c>
      <c r="M215" s="934" t="str">
        <f t="shared" si="115"/>
        <v>OK!</v>
      </c>
      <c r="N215" s="934" t="str">
        <f t="shared" si="115"/>
        <v>OK!</v>
      </c>
      <c r="O215" s="934" t="str">
        <f t="shared" si="115"/>
        <v>OK!</v>
      </c>
      <c r="P215" s="934" t="str">
        <f t="shared" si="115"/>
        <v>OK!</v>
      </c>
      <c r="Q215" s="934" t="str">
        <f t="shared" si="115"/>
        <v>OK!</v>
      </c>
      <c r="R215" s="934" t="str">
        <f t="shared" si="115"/>
        <v>OK!</v>
      </c>
      <c r="S215" s="934" t="str">
        <f t="shared" si="116"/>
        <v>OK!</v>
      </c>
      <c r="T215" s="934" t="str">
        <f t="shared" si="116"/>
        <v>OK!</v>
      </c>
    </row>
    <row r="216" spans="1:20" x14ac:dyDescent="0.15">
      <c r="A216" s="965" t="str">
        <f>A$12</f>
        <v>Angazhimet kujtesë</v>
      </c>
      <c r="B216" s="959"/>
      <c r="C216" s="959">
        <f>'(C5) Angazhimet'!D80</f>
        <v>0</v>
      </c>
      <c r="D216" s="962">
        <f>'(C5) Angazhimet'!E80</f>
        <v>0</v>
      </c>
      <c r="E216" s="962">
        <f>'(C5) Angazhimet'!F80</f>
        <v>0</v>
      </c>
      <c r="F216" s="934" t="str">
        <f>IF(C216&gt;C215,"STOPP!","OK!")</f>
        <v>OK!</v>
      </c>
      <c r="G216" s="934" t="str">
        <f t="shared" ref="G216:R216" si="117">IF(D216&lt;0,"STOPP!","OK!")</f>
        <v>OK!</v>
      </c>
      <c r="H216" s="934" t="str">
        <f t="shared" si="117"/>
        <v>OK!</v>
      </c>
      <c r="I216" s="934" t="str">
        <f t="shared" si="117"/>
        <v>OK!</v>
      </c>
      <c r="J216" s="934" t="str">
        <f t="shared" si="117"/>
        <v>OK!</v>
      </c>
      <c r="K216" s="934" t="str">
        <f t="shared" si="117"/>
        <v>OK!</v>
      </c>
      <c r="L216" s="934" t="str">
        <f t="shared" si="117"/>
        <v>OK!</v>
      </c>
      <c r="M216" s="934" t="str">
        <f t="shared" si="117"/>
        <v>OK!</v>
      </c>
      <c r="N216" s="934" t="str">
        <f t="shared" si="117"/>
        <v>OK!</v>
      </c>
      <c r="O216" s="934" t="str">
        <f t="shared" si="117"/>
        <v>OK!</v>
      </c>
      <c r="P216" s="934" t="str">
        <f t="shared" si="117"/>
        <v>OK!</v>
      </c>
      <c r="Q216" s="934" t="str">
        <f t="shared" si="117"/>
        <v>OK!</v>
      </c>
      <c r="R216" s="934" t="str">
        <f t="shared" si="117"/>
        <v>OK!</v>
      </c>
      <c r="S216" s="934" t="str">
        <f>IF(D216&gt;D215,"STOPP!","OK!")</f>
        <v>OK!</v>
      </c>
      <c r="T216" s="934" t="str">
        <f>IF(E216&gt;E215,"STOPP!","OK!")</f>
        <v>OK!</v>
      </c>
    </row>
    <row r="217" spans="1:20" ht="15.75" customHeight="1" x14ac:dyDescent="0.15">
      <c r="A217" s="1089" t="str">
        <f>'(B3) Struktura Funksionale'!B68</f>
        <v>05320</v>
      </c>
      <c r="B217" s="1079" t="str">
        <f>'(B3) Struktura Funksionale'!C68</f>
        <v>Programet e mbrojtjes së mjedisit</v>
      </c>
      <c r="C217" s="1080"/>
      <c r="D217" s="1080"/>
      <c r="E217" s="1081"/>
      <c r="F217" s="934"/>
      <c r="G217" s="934"/>
      <c r="H217" s="934"/>
      <c r="I217" s="934"/>
      <c r="J217" s="934"/>
      <c r="K217" s="934"/>
      <c r="L217" s="934"/>
      <c r="M217" s="934"/>
      <c r="N217" s="934"/>
      <c r="O217" s="934"/>
      <c r="P217" s="934"/>
      <c r="Q217" s="934"/>
      <c r="R217" s="934"/>
      <c r="S217" s="934"/>
      <c r="T217" s="934"/>
    </row>
    <row r="218" spans="1:20" x14ac:dyDescent="0.15">
      <c r="A218" s="958" t="str">
        <f>A$8</f>
        <v>Pagat dhe sigurimet shoqërore</v>
      </c>
      <c r="B218" s="958"/>
      <c r="C218" s="966"/>
      <c r="D218" s="966"/>
      <c r="E218" s="966"/>
      <c r="F218" s="934" t="str">
        <f t="shared" ref="F218:R221" si="118">IF(C218&lt;0,"STOPP!","OK!")</f>
        <v>OK!</v>
      </c>
      <c r="G218" s="934" t="str">
        <f t="shared" si="118"/>
        <v>OK!</v>
      </c>
      <c r="H218" s="934" t="str">
        <f t="shared" si="118"/>
        <v>OK!</v>
      </c>
      <c r="I218" s="934" t="str">
        <f t="shared" si="118"/>
        <v>OK!</v>
      </c>
      <c r="J218" s="934" t="str">
        <f t="shared" si="118"/>
        <v>OK!</v>
      </c>
      <c r="K218" s="934" t="str">
        <f t="shared" si="118"/>
        <v>OK!</v>
      </c>
      <c r="L218" s="934" t="str">
        <f t="shared" si="118"/>
        <v>OK!</v>
      </c>
      <c r="M218" s="934" t="str">
        <f t="shared" si="118"/>
        <v>OK!</v>
      </c>
      <c r="N218" s="934" t="str">
        <f t="shared" si="118"/>
        <v>OK!</v>
      </c>
      <c r="O218" s="934" t="str">
        <f t="shared" si="118"/>
        <v>OK!</v>
      </c>
      <c r="P218" s="934" t="str">
        <f t="shared" si="118"/>
        <v>OK!</v>
      </c>
      <c r="Q218" s="934" t="str">
        <f t="shared" si="118"/>
        <v>OK!</v>
      </c>
      <c r="R218" s="934" t="str">
        <f t="shared" si="118"/>
        <v>OK!</v>
      </c>
      <c r="S218" s="934" t="str">
        <f t="shared" ref="S218:T221" si="119">IF(D218&lt;0,"STOPP!","OK!")</f>
        <v>OK!</v>
      </c>
      <c r="T218" s="934" t="str">
        <f t="shared" si="119"/>
        <v>OK!</v>
      </c>
    </row>
    <row r="219" spans="1:20" x14ac:dyDescent="0.15">
      <c r="A219" s="958" t="str">
        <f>A$9</f>
        <v>Të tjera shpenzime korrente</v>
      </c>
      <c r="B219" s="958"/>
      <c r="C219" s="967"/>
      <c r="D219" s="967"/>
      <c r="E219" s="967"/>
      <c r="F219" s="934" t="str">
        <f t="shared" si="118"/>
        <v>OK!</v>
      </c>
      <c r="G219" s="934" t="str">
        <f t="shared" si="118"/>
        <v>OK!</v>
      </c>
      <c r="H219" s="934" t="str">
        <f t="shared" si="118"/>
        <v>OK!</v>
      </c>
      <c r="I219" s="934" t="str">
        <f t="shared" si="118"/>
        <v>OK!</v>
      </c>
      <c r="J219" s="934" t="str">
        <f t="shared" si="118"/>
        <v>OK!</v>
      </c>
      <c r="K219" s="934" t="str">
        <f t="shared" si="118"/>
        <v>OK!</v>
      </c>
      <c r="L219" s="934" t="str">
        <f t="shared" si="118"/>
        <v>OK!</v>
      </c>
      <c r="M219" s="934" t="str">
        <f t="shared" si="118"/>
        <v>OK!</v>
      </c>
      <c r="N219" s="934" t="str">
        <f t="shared" si="118"/>
        <v>OK!</v>
      </c>
      <c r="O219" s="934" t="str">
        <f t="shared" si="118"/>
        <v>OK!</v>
      </c>
      <c r="P219" s="934" t="str">
        <f t="shared" si="118"/>
        <v>OK!</v>
      </c>
      <c r="Q219" s="934" t="str">
        <f t="shared" si="118"/>
        <v>OK!</v>
      </c>
      <c r="R219" s="934" t="str">
        <f t="shared" si="118"/>
        <v>OK!</v>
      </c>
      <c r="S219" s="934" t="str">
        <f t="shared" si="119"/>
        <v>OK!</v>
      </c>
      <c r="T219" s="934" t="str">
        <f t="shared" si="119"/>
        <v>OK!</v>
      </c>
    </row>
    <row r="220" spans="1:20" x14ac:dyDescent="0.15">
      <c r="A220" s="960" t="str">
        <f>A$10</f>
        <v>Shpenzimet kapitale</v>
      </c>
      <c r="B220" s="961"/>
      <c r="C220" s="959">
        <f>C221-C218-C219</f>
        <v>0</v>
      </c>
      <c r="D220" s="962">
        <f>D221-D218-D219</f>
        <v>0</v>
      </c>
      <c r="E220" s="962">
        <f>E221-E218-E219</f>
        <v>0</v>
      </c>
      <c r="F220" s="934" t="str">
        <f t="shared" si="118"/>
        <v>OK!</v>
      </c>
      <c r="G220" s="934" t="str">
        <f t="shared" si="118"/>
        <v>OK!</v>
      </c>
      <c r="H220" s="934" t="str">
        <f t="shared" si="118"/>
        <v>OK!</v>
      </c>
      <c r="I220" s="934" t="str">
        <f t="shared" si="118"/>
        <v>OK!</v>
      </c>
      <c r="J220" s="934" t="str">
        <f t="shared" si="118"/>
        <v>OK!</v>
      </c>
      <c r="K220" s="934" t="str">
        <f t="shared" si="118"/>
        <v>OK!</v>
      </c>
      <c r="L220" s="934" t="str">
        <f t="shared" si="118"/>
        <v>OK!</v>
      </c>
      <c r="M220" s="934" t="str">
        <f t="shared" si="118"/>
        <v>OK!</v>
      </c>
      <c r="N220" s="934" t="str">
        <f t="shared" si="118"/>
        <v>OK!</v>
      </c>
      <c r="O220" s="934" t="str">
        <f t="shared" si="118"/>
        <v>OK!</v>
      </c>
      <c r="P220" s="934" t="str">
        <f t="shared" si="118"/>
        <v>OK!</v>
      </c>
      <c r="Q220" s="934" t="str">
        <f t="shared" si="118"/>
        <v>OK!</v>
      </c>
      <c r="R220" s="934" t="str">
        <f t="shared" si="118"/>
        <v>OK!</v>
      </c>
      <c r="S220" s="934" t="str">
        <f t="shared" si="119"/>
        <v>OK!</v>
      </c>
      <c r="T220" s="934" t="str">
        <f t="shared" si="119"/>
        <v>OK!</v>
      </c>
    </row>
    <row r="221" spans="1:20" x14ac:dyDescent="0.15">
      <c r="A221" s="963" t="str">
        <f>A$11</f>
        <v>Tavanet e përgjithshme</v>
      </c>
      <c r="B221" s="964"/>
      <c r="C221" s="968"/>
      <c r="D221" s="969"/>
      <c r="E221" s="969"/>
      <c r="F221" s="934" t="str">
        <f t="shared" si="118"/>
        <v>OK!</v>
      </c>
      <c r="G221" s="934" t="str">
        <f t="shared" si="118"/>
        <v>OK!</v>
      </c>
      <c r="H221" s="934" t="str">
        <f t="shared" si="118"/>
        <v>OK!</v>
      </c>
      <c r="I221" s="934" t="str">
        <f t="shared" si="118"/>
        <v>OK!</v>
      </c>
      <c r="J221" s="934" t="str">
        <f t="shared" si="118"/>
        <v>OK!</v>
      </c>
      <c r="K221" s="934" t="str">
        <f t="shared" si="118"/>
        <v>OK!</v>
      </c>
      <c r="L221" s="934" t="str">
        <f t="shared" si="118"/>
        <v>OK!</v>
      </c>
      <c r="M221" s="934" t="str">
        <f t="shared" si="118"/>
        <v>OK!</v>
      </c>
      <c r="N221" s="934" t="str">
        <f t="shared" si="118"/>
        <v>OK!</v>
      </c>
      <c r="O221" s="934" t="str">
        <f t="shared" si="118"/>
        <v>OK!</v>
      </c>
      <c r="P221" s="934" t="str">
        <f t="shared" si="118"/>
        <v>OK!</v>
      </c>
      <c r="Q221" s="934" t="str">
        <f t="shared" si="118"/>
        <v>OK!</v>
      </c>
      <c r="R221" s="934" t="str">
        <f t="shared" si="118"/>
        <v>OK!</v>
      </c>
      <c r="S221" s="934" t="str">
        <f t="shared" si="119"/>
        <v>OK!</v>
      </c>
      <c r="T221" s="934" t="str">
        <f t="shared" si="119"/>
        <v>OK!</v>
      </c>
    </row>
    <row r="222" spans="1:20" x14ac:dyDescent="0.15">
      <c r="A222" s="965" t="str">
        <f>A$12</f>
        <v>Angazhimet kujtesë</v>
      </c>
      <c r="B222" s="959"/>
      <c r="C222" s="959">
        <f>'(C5) Angazhimet'!D77</f>
        <v>0</v>
      </c>
      <c r="D222" s="959">
        <f>'(C5) Angazhimet'!E77</f>
        <v>0</v>
      </c>
      <c r="E222" s="959">
        <f>'(C5) Angazhimet'!F77</f>
        <v>0</v>
      </c>
      <c r="F222" s="934" t="str">
        <f>IF(C222&gt;C221,"STOPP!","OK!")</f>
        <v>OK!</v>
      </c>
      <c r="G222" s="934" t="str">
        <f t="shared" ref="G222:R222" si="120">IF(D222&lt;0,"STOPP!","OK!")</f>
        <v>OK!</v>
      </c>
      <c r="H222" s="934" t="str">
        <f t="shared" si="120"/>
        <v>OK!</v>
      </c>
      <c r="I222" s="934" t="str">
        <f t="shared" si="120"/>
        <v>OK!</v>
      </c>
      <c r="J222" s="934" t="str">
        <f t="shared" si="120"/>
        <v>OK!</v>
      </c>
      <c r="K222" s="934" t="str">
        <f t="shared" si="120"/>
        <v>OK!</v>
      </c>
      <c r="L222" s="934" t="str">
        <f t="shared" si="120"/>
        <v>OK!</v>
      </c>
      <c r="M222" s="934" t="str">
        <f t="shared" si="120"/>
        <v>OK!</v>
      </c>
      <c r="N222" s="934" t="str">
        <f t="shared" si="120"/>
        <v>OK!</v>
      </c>
      <c r="O222" s="934" t="str">
        <f t="shared" si="120"/>
        <v>OK!</v>
      </c>
      <c r="P222" s="934" t="str">
        <f t="shared" si="120"/>
        <v>OK!</v>
      </c>
      <c r="Q222" s="934" t="str">
        <f t="shared" si="120"/>
        <v>OK!</v>
      </c>
      <c r="R222" s="934" t="str">
        <f t="shared" si="120"/>
        <v>OK!</v>
      </c>
      <c r="S222" s="934" t="str">
        <f>IF(D222&gt;D221,"STOPP!","OK!")</f>
        <v>OK!</v>
      </c>
      <c r="T222" s="934" t="str">
        <f>IF(E222&gt;E221,"STOPP!","OK!")</f>
        <v>OK!</v>
      </c>
    </row>
    <row r="223" spans="1:20" ht="21.75" customHeight="1" x14ac:dyDescent="0.25">
      <c r="A223" s="1082" t="str">
        <f>'(B2) Struktura Organizative'!A19</f>
        <v>Nënfunksioni 13</v>
      </c>
      <c r="B223" s="1082" t="str">
        <f>'(B2) Struktura Organizative'!B19</f>
        <v>056 Mbrojtja e mjedisit</v>
      </c>
      <c r="C223" s="1074"/>
      <c r="D223" s="1074"/>
      <c r="E223" s="1075"/>
      <c r="G223" s="933">
        <f>C227</f>
        <v>0</v>
      </c>
      <c r="H223" s="933">
        <f>D227</f>
        <v>0</v>
      </c>
      <c r="I223" s="933">
        <f>E227</f>
        <v>0</v>
      </c>
      <c r="J223" s="933">
        <f>C224</f>
        <v>0</v>
      </c>
      <c r="K223" s="933">
        <f>D224</f>
        <v>0</v>
      </c>
      <c r="L223" s="933">
        <f>E224</f>
        <v>0</v>
      </c>
      <c r="M223" s="933">
        <f>C225</f>
        <v>0</v>
      </c>
      <c r="N223" s="933">
        <f>D225</f>
        <v>0</v>
      </c>
      <c r="O223" s="933">
        <f>E225</f>
        <v>0</v>
      </c>
      <c r="P223" s="933">
        <f>C226</f>
        <v>0</v>
      </c>
      <c r="Q223" s="933">
        <f>D226</f>
        <v>0</v>
      </c>
      <c r="R223" s="933">
        <f>E226</f>
        <v>0</v>
      </c>
    </row>
    <row r="224" spans="1:20" x14ac:dyDescent="0.15">
      <c r="A224" s="958" t="str">
        <f>A$8</f>
        <v>Pagat dhe sigurimet shoqërore</v>
      </c>
      <c r="B224" s="958"/>
      <c r="C224" s="959">
        <f t="shared" ref="C224:E225" si="121">C230+C236</f>
        <v>0</v>
      </c>
      <c r="D224" s="959">
        <f t="shared" si="121"/>
        <v>0</v>
      </c>
      <c r="E224" s="959">
        <f t="shared" si="121"/>
        <v>0</v>
      </c>
      <c r="F224" s="934" t="str">
        <f t="shared" ref="F224:R227" si="122">IF(C224&lt;0,"STOPP!","OK!")</f>
        <v>OK!</v>
      </c>
      <c r="G224" s="934" t="str">
        <f t="shared" si="122"/>
        <v>OK!</v>
      </c>
      <c r="H224" s="934" t="str">
        <f t="shared" si="122"/>
        <v>OK!</v>
      </c>
      <c r="I224" s="934" t="str">
        <f t="shared" si="122"/>
        <v>OK!</v>
      </c>
      <c r="J224" s="934" t="str">
        <f t="shared" si="122"/>
        <v>OK!</v>
      </c>
      <c r="K224" s="934" t="str">
        <f t="shared" si="122"/>
        <v>OK!</v>
      </c>
      <c r="L224" s="934" t="str">
        <f t="shared" si="122"/>
        <v>OK!</v>
      </c>
      <c r="M224" s="934" t="str">
        <f t="shared" si="122"/>
        <v>OK!</v>
      </c>
      <c r="N224" s="934" t="str">
        <f t="shared" si="122"/>
        <v>OK!</v>
      </c>
      <c r="O224" s="934" t="str">
        <f t="shared" si="122"/>
        <v>OK!</v>
      </c>
      <c r="P224" s="934" t="str">
        <f t="shared" si="122"/>
        <v>OK!</v>
      </c>
      <c r="Q224" s="934" t="str">
        <f t="shared" si="122"/>
        <v>OK!</v>
      </c>
      <c r="R224" s="934" t="str">
        <f t="shared" si="122"/>
        <v>OK!</v>
      </c>
      <c r="S224" s="934" t="str">
        <f t="shared" ref="S224:T227" si="123">IF(D224&lt;0,"STOPP!","OK!")</f>
        <v>OK!</v>
      </c>
      <c r="T224" s="934" t="str">
        <f t="shared" si="123"/>
        <v>OK!</v>
      </c>
    </row>
    <row r="225" spans="1:20" x14ac:dyDescent="0.15">
      <c r="A225" s="958" t="str">
        <f>A$9</f>
        <v>Të tjera shpenzime korrente</v>
      </c>
      <c r="B225" s="958"/>
      <c r="C225" s="959">
        <f t="shared" si="121"/>
        <v>0</v>
      </c>
      <c r="D225" s="959">
        <f t="shared" si="121"/>
        <v>0</v>
      </c>
      <c r="E225" s="959">
        <f t="shared" si="121"/>
        <v>0</v>
      </c>
      <c r="F225" s="934" t="str">
        <f t="shared" si="122"/>
        <v>OK!</v>
      </c>
      <c r="G225" s="934" t="str">
        <f t="shared" si="122"/>
        <v>OK!</v>
      </c>
      <c r="H225" s="934" t="str">
        <f t="shared" si="122"/>
        <v>OK!</v>
      </c>
      <c r="I225" s="934" t="str">
        <f t="shared" si="122"/>
        <v>OK!</v>
      </c>
      <c r="J225" s="934" t="str">
        <f t="shared" si="122"/>
        <v>OK!</v>
      </c>
      <c r="K225" s="934" t="str">
        <f t="shared" si="122"/>
        <v>OK!</v>
      </c>
      <c r="L225" s="934" t="str">
        <f t="shared" si="122"/>
        <v>OK!</v>
      </c>
      <c r="M225" s="934" t="str">
        <f t="shared" si="122"/>
        <v>OK!</v>
      </c>
      <c r="N225" s="934" t="str">
        <f t="shared" si="122"/>
        <v>OK!</v>
      </c>
      <c r="O225" s="934" t="str">
        <f t="shared" si="122"/>
        <v>OK!</v>
      </c>
      <c r="P225" s="934" t="str">
        <f t="shared" si="122"/>
        <v>OK!</v>
      </c>
      <c r="Q225" s="934" t="str">
        <f t="shared" si="122"/>
        <v>OK!</v>
      </c>
      <c r="R225" s="934" t="str">
        <f t="shared" si="122"/>
        <v>OK!</v>
      </c>
      <c r="S225" s="934" t="str">
        <f t="shared" si="123"/>
        <v>OK!</v>
      </c>
      <c r="T225" s="934" t="str">
        <f t="shared" si="123"/>
        <v>OK!</v>
      </c>
    </row>
    <row r="226" spans="1:20" ht="12.75" customHeight="1" x14ac:dyDescent="0.15">
      <c r="A226" s="960" t="str">
        <f>A$10</f>
        <v>Shpenzimet kapitale</v>
      </c>
      <c r="B226" s="961"/>
      <c r="C226" s="959">
        <f>C227-C224-C225</f>
        <v>0</v>
      </c>
      <c r="D226" s="962">
        <f>D227-D224-D225</f>
        <v>0</v>
      </c>
      <c r="E226" s="962">
        <f>E227-E224-E225</f>
        <v>0</v>
      </c>
      <c r="F226" s="934" t="str">
        <f t="shared" si="122"/>
        <v>OK!</v>
      </c>
      <c r="G226" s="934" t="str">
        <f t="shared" si="122"/>
        <v>OK!</v>
      </c>
      <c r="H226" s="934" t="str">
        <f t="shared" si="122"/>
        <v>OK!</v>
      </c>
      <c r="I226" s="934" t="str">
        <f t="shared" si="122"/>
        <v>OK!</v>
      </c>
      <c r="J226" s="934" t="str">
        <f t="shared" si="122"/>
        <v>OK!</v>
      </c>
      <c r="K226" s="934" t="str">
        <f t="shared" si="122"/>
        <v>OK!</v>
      </c>
      <c r="L226" s="934" t="str">
        <f t="shared" si="122"/>
        <v>OK!</v>
      </c>
      <c r="M226" s="934" t="str">
        <f t="shared" si="122"/>
        <v>OK!</v>
      </c>
      <c r="N226" s="934" t="str">
        <f t="shared" si="122"/>
        <v>OK!</v>
      </c>
      <c r="O226" s="934" t="str">
        <f t="shared" si="122"/>
        <v>OK!</v>
      </c>
      <c r="P226" s="934" t="str">
        <f t="shared" si="122"/>
        <v>OK!</v>
      </c>
      <c r="Q226" s="934" t="str">
        <f t="shared" si="122"/>
        <v>OK!</v>
      </c>
      <c r="R226" s="934" t="str">
        <f t="shared" si="122"/>
        <v>OK!</v>
      </c>
      <c r="S226" s="934" t="str">
        <f t="shared" si="123"/>
        <v>OK!</v>
      </c>
      <c r="T226" s="934" t="str">
        <f t="shared" si="123"/>
        <v>OK!</v>
      </c>
    </row>
    <row r="227" spans="1:20" x14ac:dyDescent="0.15">
      <c r="A227" s="963" t="str">
        <f>A$11</f>
        <v>Tavanet e përgjithshme</v>
      </c>
      <c r="B227" s="964"/>
      <c r="C227" s="959">
        <f>C233+C239</f>
        <v>0</v>
      </c>
      <c r="D227" s="959">
        <f>D233+D239</f>
        <v>0</v>
      </c>
      <c r="E227" s="959">
        <f>E233+E239</f>
        <v>0</v>
      </c>
      <c r="F227" s="934" t="str">
        <f t="shared" si="122"/>
        <v>OK!</v>
      </c>
      <c r="G227" s="934" t="str">
        <f t="shared" si="122"/>
        <v>OK!</v>
      </c>
      <c r="H227" s="934" t="str">
        <f t="shared" si="122"/>
        <v>OK!</v>
      </c>
      <c r="I227" s="934" t="str">
        <f t="shared" si="122"/>
        <v>OK!</v>
      </c>
      <c r="J227" s="934" t="str">
        <f t="shared" si="122"/>
        <v>OK!</v>
      </c>
      <c r="K227" s="934" t="str">
        <f t="shared" si="122"/>
        <v>OK!</v>
      </c>
      <c r="L227" s="934" t="str">
        <f t="shared" si="122"/>
        <v>OK!</v>
      </c>
      <c r="M227" s="934" t="str">
        <f t="shared" si="122"/>
        <v>OK!</v>
      </c>
      <c r="N227" s="934" t="str">
        <f t="shared" si="122"/>
        <v>OK!</v>
      </c>
      <c r="O227" s="934" t="str">
        <f t="shared" si="122"/>
        <v>OK!</v>
      </c>
      <c r="P227" s="934" t="str">
        <f t="shared" si="122"/>
        <v>OK!</v>
      </c>
      <c r="Q227" s="934" t="str">
        <f t="shared" si="122"/>
        <v>OK!</v>
      </c>
      <c r="R227" s="934" t="str">
        <f t="shared" si="122"/>
        <v>OK!</v>
      </c>
      <c r="S227" s="934" t="str">
        <f t="shared" si="123"/>
        <v>OK!</v>
      </c>
      <c r="T227" s="934" t="str">
        <f t="shared" si="123"/>
        <v>OK!</v>
      </c>
    </row>
    <row r="228" spans="1:20" x14ac:dyDescent="0.15">
      <c r="A228" s="965" t="str">
        <f>A$12</f>
        <v>Angazhimet kujtesë</v>
      </c>
      <c r="B228" s="959"/>
      <c r="C228" s="959">
        <f>'(C5) Angazhimet'!D85</f>
        <v>0</v>
      </c>
      <c r="D228" s="962">
        <f>'(C5) Angazhimet'!E85</f>
        <v>0</v>
      </c>
      <c r="E228" s="962">
        <f>'(C5) Angazhimet'!F85</f>
        <v>0</v>
      </c>
      <c r="F228" s="934" t="str">
        <f>IF(C228&gt;C227,"STOPP!","OK!")</f>
        <v>OK!</v>
      </c>
      <c r="G228" s="934" t="str">
        <f t="shared" ref="G228:R228" si="124">IF(D228&lt;0,"STOPP!","OK!")</f>
        <v>OK!</v>
      </c>
      <c r="H228" s="934" t="str">
        <f t="shared" si="124"/>
        <v>OK!</v>
      </c>
      <c r="I228" s="934" t="str">
        <f t="shared" si="124"/>
        <v>OK!</v>
      </c>
      <c r="J228" s="934" t="str">
        <f t="shared" si="124"/>
        <v>OK!</v>
      </c>
      <c r="K228" s="934" t="str">
        <f t="shared" si="124"/>
        <v>OK!</v>
      </c>
      <c r="L228" s="934" t="str">
        <f t="shared" si="124"/>
        <v>OK!</v>
      </c>
      <c r="M228" s="934" t="str">
        <f t="shared" si="124"/>
        <v>OK!</v>
      </c>
      <c r="N228" s="934" t="str">
        <f t="shared" si="124"/>
        <v>OK!</v>
      </c>
      <c r="O228" s="934" t="str">
        <f t="shared" si="124"/>
        <v>OK!</v>
      </c>
      <c r="P228" s="934" t="str">
        <f t="shared" si="124"/>
        <v>OK!</v>
      </c>
      <c r="Q228" s="934" t="str">
        <f t="shared" si="124"/>
        <v>OK!</v>
      </c>
      <c r="R228" s="934" t="str">
        <f t="shared" si="124"/>
        <v>OK!</v>
      </c>
      <c r="S228" s="934" t="str">
        <f>IF(D228&gt;D227,"STOPP!","OK!")</f>
        <v>OK!</v>
      </c>
      <c r="T228" s="934" t="str">
        <f>IF(E228&gt;E227,"STOPP!","OK!")</f>
        <v>OK!</v>
      </c>
    </row>
    <row r="229" spans="1:20" ht="15.75" customHeight="1" x14ac:dyDescent="0.15">
      <c r="A229" s="1089" t="str">
        <f>'(B3) Struktura Funksionale'!B72</f>
        <v>05630</v>
      </c>
      <c r="B229" s="1079" t="str">
        <f>'(B3) Struktura Funksionale'!C72</f>
        <v>Ndërgjegjësimi mjedisor</v>
      </c>
      <c r="C229" s="1080"/>
      <c r="D229" s="1080"/>
      <c r="E229" s="1081"/>
      <c r="F229" s="934"/>
      <c r="G229" s="934"/>
      <c r="H229" s="934"/>
      <c r="I229" s="934"/>
      <c r="J229" s="934"/>
      <c r="K229" s="934"/>
      <c r="L229" s="934"/>
      <c r="M229" s="934"/>
      <c r="N229" s="934"/>
      <c r="O229" s="934"/>
      <c r="P229" s="934"/>
      <c r="Q229" s="934"/>
      <c r="R229" s="934"/>
      <c r="S229" s="934"/>
      <c r="T229" s="934"/>
    </row>
    <row r="230" spans="1:20" x14ac:dyDescent="0.15">
      <c r="A230" s="958" t="str">
        <f>A$8</f>
        <v>Pagat dhe sigurimet shoqërore</v>
      </c>
      <c r="B230" s="958"/>
      <c r="C230" s="966"/>
      <c r="D230" s="966"/>
      <c r="E230" s="966"/>
      <c r="F230" s="934" t="str">
        <f t="shared" ref="F230:R233" si="125">IF(C230&lt;0,"STOPP!","OK!")</f>
        <v>OK!</v>
      </c>
      <c r="G230" s="934" t="str">
        <f t="shared" si="125"/>
        <v>OK!</v>
      </c>
      <c r="H230" s="934" t="str">
        <f t="shared" si="125"/>
        <v>OK!</v>
      </c>
      <c r="I230" s="934" t="str">
        <f t="shared" si="125"/>
        <v>OK!</v>
      </c>
      <c r="J230" s="934" t="str">
        <f t="shared" si="125"/>
        <v>OK!</v>
      </c>
      <c r="K230" s="934" t="str">
        <f t="shared" si="125"/>
        <v>OK!</v>
      </c>
      <c r="L230" s="934" t="str">
        <f t="shared" si="125"/>
        <v>OK!</v>
      </c>
      <c r="M230" s="934" t="str">
        <f t="shared" si="125"/>
        <v>OK!</v>
      </c>
      <c r="N230" s="934" t="str">
        <f t="shared" si="125"/>
        <v>OK!</v>
      </c>
      <c r="O230" s="934" t="str">
        <f t="shared" si="125"/>
        <v>OK!</v>
      </c>
      <c r="P230" s="934" t="str">
        <f t="shared" si="125"/>
        <v>OK!</v>
      </c>
      <c r="Q230" s="934" t="str">
        <f t="shared" si="125"/>
        <v>OK!</v>
      </c>
      <c r="R230" s="934" t="str">
        <f t="shared" si="125"/>
        <v>OK!</v>
      </c>
      <c r="S230" s="934" t="str">
        <f t="shared" ref="S230:T233" si="126">IF(D230&lt;0,"STOPP!","OK!")</f>
        <v>OK!</v>
      </c>
      <c r="T230" s="934" t="str">
        <f t="shared" si="126"/>
        <v>OK!</v>
      </c>
    </row>
    <row r="231" spans="1:20" x14ac:dyDescent="0.15">
      <c r="A231" s="958" t="str">
        <f>A$9</f>
        <v>Të tjera shpenzime korrente</v>
      </c>
      <c r="B231" s="958"/>
      <c r="C231" s="967"/>
      <c r="D231" s="967"/>
      <c r="E231" s="967"/>
      <c r="F231" s="934" t="str">
        <f t="shared" si="125"/>
        <v>OK!</v>
      </c>
      <c r="G231" s="934" t="str">
        <f t="shared" si="125"/>
        <v>OK!</v>
      </c>
      <c r="H231" s="934" t="str">
        <f t="shared" si="125"/>
        <v>OK!</v>
      </c>
      <c r="I231" s="934" t="str">
        <f t="shared" si="125"/>
        <v>OK!</v>
      </c>
      <c r="J231" s="934" t="str">
        <f t="shared" si="125"/>
        <v>OK!</v>
      </c>
      <c r="K231" s="934" t="str">
        <f t="shared" si="125"/>
        <v>OK!</v>
      </c>
      <c r="L231" s="934" t="str">
        <f t="shared" si="125"/>
        <v>OK!</v>
      </c>
      <c r="M231" s="934" t="str">
        <f t="shared" si="125"/>
        <v>OK!</v>
      </c>
      <c r="N231" s="934" t="str">
        <f t="shared" si="125"/>
        <v>OK!</v>
      </c>
      <c r="O231" s="934" t="str">
        <f t="shared" si="125"/>
        <v>OK!</v>
      </c>
      <c r="P231" s="934" t="str">
        <f t="shared" si="125"/>
        <v>OK!</v>
      </c>
      <c r="Q231" s="934" t="str">
        <f t="shared" si="125"/>
        <v>OK!</v>
      </c>
      <c r="R231" s="934" t="str">
        <f t="shared" si="125"/>
        <v>OK!</v>
      </c>
      <c r="S231" s="934" t="str">
        <f t="shared" si="126"/>
        <v>OK!</v>
      </c>
      <c r="T231" s="934" t="str">
        <f t="shared" si="126"/>
        <v>OK!</v>
      </c>
    </row>
    <row r="232" spans="1:20" x14ac:dyDescent="0.15">
      <c r="A232" s="960" t="str">
        <f>A$10</f>
        <v>Shpenzimet kapitale</v>
      </c>
      <c r="B232" s="961"/>
      <c r="C232" s="959">
        <f>C233-C230-C231</f>
        <v>0</v>
      </c>
      <c r="D232" s="962">
        <f>D233-D230-D231</f>
        <v>0</v>
      </c>
      <c r="E232" s="962">
        <f>E233-E230-E231</f>
        <v>0</v>
      </c>
      <c r="F232" s="934" t="str">
        <f t="shared" si="125"/>
        <v>OK!</v>
      </c>
      <c r="G232" s="934" t="str">
        <f t="shared" si="125"/>
        <v>OK!</v>
      </c>
      <c r="H232" s="934" t="str">
        <f t="shared" si="125"/>
        <v>OK!</v>
      </c>
      <c r="I232" s="934" t="str">
        <f t="shared" si="125"/>
        <v>OK!</v>
      </c>
      <c r="J232" s="934" t="str">
        <f t="shared" si="125"/>
        <v>OK!</v>
      </c>
      <c r="K232" s="934" t="str">
        <f t="shared" si="125"/>
        <v>OK!</v>
      </c>
      <c r="L232" s="934" t="str">
        <f t="shared" si="125"/>
        <v>OK!</v>
      </c>
      <c r="M232" s="934" t="str">
        <f t="shared" si="125"/>
        <v>OK!</v>
      </c>
      <c r="N232" s="934" t="str">
        <f t="shared" si="125"/>
        <v>OK!</v>
      </c>
      <c r="O232" s="934" t="str">
        <f t="shared" si="125"/>
        <v>OK!</v>
      </c>
      <c r="P232" s="934" t="str">
        <f t="shared" si="125"/>
        <v>OK!</v>
      </c>
      <c r="Q232" s="934" t="str">
        <f t="shared" si="125"/>
        <v>OK!</v>
      </c>
      <c r="R232" s="934" t="str">
        <f t="shared" si="125"/>
        <v>OK!</v>
      </c>
      <c r="S232" s="934" t="str">
        <f t="shared" si="126"/>
        <v>OK!</v>
      </c>
      <c r="T232" s="934" t="str">
        <f t="shared" si="126"/>
        <v>OK!</v>
      </c>
    </row>
    <row r="233" spans="1:20" x14ac:dyDescent="0.15">
      <c r="A233" s="963" t="str">
        <f>A$11</f>
        <v>Tavanet e përgjithshme</v>
      </c>
      <c r="B233" s="964"/>
      <c r="C233" s="968"/>
      <c r="D233" s="969"/>
      <c r="E233" s="969"/>
      <c r="F233" s="934" t="str">
        <f t="shared" si="125"/>
        <v>OK!</v>
      </c>
      <c r="G233" s="934" t="str">
        <f t="shared" si="125"/>
        <v>OK!</v>
      </c>
      <c r="H233" s="934" t="str">
        <f t="shared" si="125"/>
        <v>OK!</v>
      </c>
      <c r="I233" s="934" t="str">
        <f t="shared" si="125"/>
        <v>OK!</v>
      </c>
      <c r="J233" s="934" t="str">
        <f t="shared" si="125"/>
        <v>OK!</v>
      </c>
      <c r="K233" s="934" t="str">
        <f t="shared" si="125"/>
        <v>OK!</v>
      </c>
      <c r="L233" s="934" t="str">
        <f t="shared" si="125"/>
        <v>OK!</v>
      </c>
      <c r="M233" s="934" t="str">
        <f t="shared" si="125"/>
        <v>OK!</v>
      </c>
      <c r="N233" s="934" t="str">
        <f t="shared" si="125"/>
        <v>OK!</v>
      </c>
      <c r="O233" s="934" t="str">
        <f t="shared" si="125"/>
        <v>OK!</v>
      </c>
      <c r="P233" s="934" t="str">
        <f t="shared" si="125"/>
        <v>OK!</v>
      </c>
      <c r="Q233" s="934" t="str">
        <f t="shared" si="125"/>
        <v>OK!</v>
      </c>
      <c r="R233" s="934" t="str">
        <f t="shared" si="125"/>
        <v>OK!</v>
      </c>
      <c r="S233" s="934" t="str">
        <f t="shared" si="126"/>
        <v>OK!</v>
      </c>
      <c r="T233" s="934" t="str">
        <f t="shared" si="126"/>
        <v>OK!</v>
      </c>
    </row>
    <row r="234" spans="1:20" x14ac:dyDescent="0.15">
      <c r="A234" s="965" t="str">
        <f>A$12</f>
        <v>Angazhimet kujtesë</v>
      </c>
      <c r="B234" s="959"/>
      <c r="C234" s="959">
        <f>'(C5) Angazhimet'!D82</f>
        <v>0</v>
      </c>
      <c r="D234" s="959">
        <f>'(C5) Angazhimet'!E82</f>
        <v>0</v>
      </c>
      <c r="E234" s="959">
        <f>'(C5) Angazhimet'!F82</f>
        <v>0</v>
      </c>
      <c r="F234" s="934" t="str">
        <f>IF(C234&gt;C233,"STOPP!","OK!")</f>
        <v>OK!</v>
      </c>
      <c r="G234" s="934" t="str">
        <f t="shared" ref="G234:R234" si="127">IF(D234&lt;0,"STOPP!","OK!")</f>
        <v>OK!</v>
      </c>
      <c r="H234" s="934" t="str">
        <f t="shared" si="127"/>
        <v>OK!</v>
      </c>
      <c r="I234" s="934" t="str">
        <f t="shared" si="127"/>
        <v>OK!</v>
      </c>
      <c r="J234" s="934" t="str">
        <f t="shared" si="127"/>
        <v>OK!</v>
      </c>
      <c r="K234" s="934" t="str">
        <f t="shared" si="127"/>
        <v>OK!</v>
      </c>
      <c r="L234" s="934" t="str">
        <f t="shared" si="127"/>
        <v>OK!</v>
      </c>
      <c r="M234" s="934" t="str">
        <f t="shared" si="127"/>
        <v>OK!</v>
      </c>
      <c r="N234" s="934" t="str">
        <f t="shared" si="127"/>
        <v>OK!</v>
      </c>
      <c r="O234" s="934" t="str">
        <f t="shared" si="127"/>
        <v>OK!</v>
      </c>
      <c r="P234" s="934" t="str">
        <f t="shared" si="127"/>
        <v>OK!</v>
      </c>
      <c r="Q234" s="934" t="str">
        <f t="shared" si="127"/>
        <v>OK!</v>
      </c>
      <c r="R234" s="934" t="str">
        <f t="shared" si="127"/>
        <v>OK!</v>
      </c>
      <c r="S234" s="934" t="str">
        <f>IF(D234&gt;D233,"STOPP!","OK!")</f>
        <v>OK!</v>
      </c>
      <c r="T234" s="934" t="str">
        <f>IF(E234&gt;E233,"STOPP!","OK!")</f>
        <v>OK!</v>
      </c>
    </row>
    <row r="235" spans="1:20" ht="15.75" hidden="1" customHeight="1" x14ac:dyDescent="0.15">
      <c r="A235" s="1089" t="str">
        <f>'(B3) Struktura Funksionale'!B73</f>
        <v>05640</v>
      </c>
      <c r="B235" s="1079" t="str">
        <f>'(B3) Struktura Funksionale'!C73</f>
        <v>Administrimi i resurseve ujore</v>
      </c>
      <c r="C235" s="1080"/>
      <c r="D235" s="1080"/>
      <c r="E235" s="1081"/>
      <c r="F235" s="934"/>
      <c r="G235" s="934"/>
      <c r="H235" s="934"/>
      <c r="I235" s="934"/>
      <c r="J235" s="934"/>
      <c r="K235" s="934"/>
      <c r="L235" s="934"/>
      <c r="M235" s="934"/>
      <c r="N235" s="934"/>
      <c r="O235" s="934"/>
      <c r="P235" s="934"/>
      <c r="Q235" s="934"/>
      <c r="R235" s="934"/>
      <c r="S235" s="934"/>
      <c r="T235" s="934"/>
    </row>
    <row r="236" spans="1:20" ht="12.75" hidden="1" customHeight="1" x14ac:dyDescent="0.15">
      <c r="A236" s="958" t="str">
        <f>A$8</f>
        <v>Pagat dhe sigurimet shoqërore</v>
      </c>
      <c r="B236" s="958"/>
      <c r="C236" s="966"/>
      <c r="D236" s="966"/>
      <c r="E236" s="966"/>
      <c r="F236" s="934" t="str">
        <f t="shared" ref="F236:R239" si="128">IF(C236&lt;0,"STOPP!","OK!")</f>
        <v>OK!</v>
      </c>
      <c r="G236" s="934" t="str">
        <f t="shared" si="128"/>
        <v>OK!</v>
      </c>
      <c r="H236" s="934" t="str">
        <f t="shared" si="128"/>
        <v>OK!</v>
      </c>
      <c r="I236" s="934" t="str">
        <f t="shared" si="128"/>
        <v>OK!</v>
      </c>
      <c r="J236" s="934" t="str">
        <f t="shared" si="128"/>
        <v>OK!</v>
      </c>
      <c r="K236" s="934" t="str">
        <f t="shared" si="128"/>
        <v>OK!</v>
      </c>
      <c r="L236" s="934" t="str">
        <f t="shared" si="128"/>
        <v>OK!</v>
      </c>
      <c r="M236" s="934" t="str">
        <f t="shared" si="128"/>
        <v>OK!</v>
      </c>
      <c r="N236" s="934" t="str">
        <f t="shared" si="128"/>
        <v>OK!</v>
      </c>
      <c r="O236" s="934" t="str">
        <f t="shared" si="128"/>
        <v>OK!</v>
      </c>
      <c r="P236" s="934" t="str">
        <f t="shared" si="128"/>
        <v>OK!</v>
      </c>
      <c r="Q236" s="934" t="str">
        <f t="shared" si="128"/>
        <v>OK!</v>
      </c>
      <c r="R236" s="934" t="str">
        <f t="shared" si="128"/>
        <v>OK!</v>
      </c>
      <c r="S236" s="934" t="str">
        <f t="shared" ref="S236:T239" si="129">IF(D236&lt;0,"STOPP!","OK!")</f>
        <v>OK!</v>
      </c>
      <c r="T236" s="934" t="str">
        <f t="shared" si="129"/>
        <v>OK!</v>
      </c>
    </row>
    <row r="237" spans="1:20" ht="12.75" hidden="1" customHeight="1" x14ac:dyDescent="0.15">
      <c r="A237" s="958" t="str">
        <f>A$9</f>
        <v>Të tjera shpenzime korrente</v>
      </c>
      <c r="B237" s="958"/>
      <c r="C237" s="967"/>
      <c r="D237" s="967"/>
      <c r="E237" s="967"/>
      <c r="F237" s="934" t="str">
        <f t="shared" si="128"/>
        <v>OK!</v>
      </c>
      <c r="G237" s="934" t="str">
        <f t="shared" si="128"/>
        <v>OK!</v>
      </c>
      <c r="H237" s="934" t="str">
        <f t="shared" si="128"/>
        <v>OK!</v>
      </c>
      <c r="I237" s="934" t="str">
        <f t="shared" si="128"/>
        <v>OK!</v>
      </c>
      <c r="J237" s="934" t="str">
        <f t="shared" si="128"/>
        <v>OK!</v>
      </c>
      <c r="K237" s="934" t="str">
        <f t="shared" si="128"/>
        <v>OK!</v>
      </c>
      <c r="L237" s="934" t="str">
        <f t="shared" si="128"/>
        <v>OK!</v>
      </c>
      <c r="M237" s="934" t="str">
        <f t="shared" si="128"/>
        <v>OK!</v>
      </c>
      <c r="N237" s="934" t="str">
        <f t="shared" si="128"/>
        <v>OK!</v>
      </c>
      <c r="O237" s="934" t="str">
        <f t="shared" si="128"/>
        <v>OK!</v>
      </c>
      <c r="P237" s="934" t="str">
        <f t="shared" si="128"/>
        <v>OK!</v>
      </c>
      <c r="Q237" s="934" t="str">
        <f t="shared" si="128"/>
        <v>OK!</v>
      </c>
      <c r="R237" s="934" t="str">
        <f t="shared" si="128"/>
        <v>OK!</v>
      </c>
      <c r="S237" s="934" t="str">
        <f t="shared" si="129"/>
        <v>OK!</v>
      </c>
      <c r="T237" s="934" t="str">
        <f t="shared" si="129"/>
        <v>OK!</v>
      </c>
    </row>
    <row r="238" spans="1:20" ht="12.75" hidden="1" customHeight="1" x14ac:dyDescent="0.15">
      <c r="A238" s="960" t="str">
        <f>A$10</f>
        <v>Shpenzimet kapitale</v>
      </c>
      <c r="B238" s="961"/>
      <c r="C238" s="959">
        <f>C239-C236-C237</f>
        <v>0</v>
      </c>
      <c r="D238" s="962">
        <f>D239-D236-D237</f>
        <v>0</v>
      </c>
      <c r="E238" s="962">
        <f>E239-E236-E237</f>
        <v>0</v>
      </c>
      <c r="F238" s="934" t="str">
        <f t="shared" si="128"/>
        <v>OK!</v>
      </c>
      <c r="G238" s="934" t="str">
        <f t="shared" si="128"/>
        <v>OK!</v>
      </c>
      <c r="H238" s="934" t="str">
        <f t="shared" si="128"/>
        <v>OK!</v>
      </c>
      <c r="I238" s="934" t="str">
        <f t="shared" si="128"/>
        <v>OK!</v>
      </c>
      <c r="J238" s="934" t="str">
        <f t="shared" si="128"/>
        <v>OK!</v>
      </c>
      <c r="K238" s="934" t="str">
        <f t="shared" si="128"/>
        <v>OK!</v>
      </c>
      <c r="L238" s="934" t="str">
        <f t="shared" si="128"/>
        <v>OK!</v>
      </c>
      <c r="M238" s="934" t="str">
        <f t="shared" si="128"/>
        <v>OK!</v>
      </c>
      <c r="N238" s="934" t="str">
        <f t="shared" si="128"/>
        <v>OK!</v>
      </c>
      <c r="O238" s="934" t="str">
        <f t="shared" si="128"/>
        <v>OK!</v>
      </c>
      <c r="P238" s="934" t="str">
        <f t="shared" si="128"/>
        <v>OK!</v>
      </c>
      <c r="Q238" s="934" t="str">
        <f t="shared" si="128"/>
        <v>OK!</v>
      </c>
      <c r="R238" s="934" t="str">
        <f t="shared" si="128"/>
        <v>OK!</v>
      </c>
      <c r="S238" s="934" t="str">
        <f t="shared" si="129"/>
        <v>OK!</v>
      </c>
      <c r="T238" s="934" t="str">
        <f t="shared" si="129"/>
        <v>OK!</v>
      </c>
    </row>
    <row r="239" spans="1:20" ht="12.75" hidden="1" customHeight="1" x14ac:dyDescent="0.15">
      <c r="A239" s="963" t="str">
        <f>A$11</f>
        <v>Tavanet e përgjithshme</v>
      </c>
      <c r="B239" s="964"/>
      <c r="C239" s="968"/>
      <c r="D239" s="969"/>
      <c r="E239" s="969"/>
      <c r="F239" s="934" t="str">
        <f t="shared" si="128"/>
        <v>OK!</v>
      </c>
      <c r="G239" s="934" t="str">
        <f t="shared" si="128"/>
        <v>OK!</v>
      </c>
      <c r="H239" s="934" t="str">
        <f t="shared" si="128"/>
        <v>OK!</v>
      </c>
      <c r="I239" s="934" t="str">
        <f t="shared" si="128"/>
        <v>OK!</v>
      </c>
      <c r="J239" s="934" t="str">
        <f t="shared" si="128"/>
        <v>OK!</v>
      </c>
      <c r="K239" s="934" t="str">
        <f t="shared" si="128"/>
        <v>OK!</v>
      </c>
      <c r="L239" s="934" t="str">
        <f t="shared" si="128"/>
        <v>OK!</v>
      </c>
      <c r="M239" s="934" t="str">
        <f t="shared" si="128"/>
        <v>OK!</v>
      </c>
      <c r="N239" s="934" t="str">
        <f t="shared" si="128"/>
        <v>OK!</v>
      </c>
      <c r="O239" s="934" t="str">
        <f t="shared" si="128"/>
        <v>OK!</v>
      </c>
      <c r="P239" s="934" t="str">
        <f t="shared" si="128"/>
        <v>OK!</v>
      </c>
      <c r="Q239" s="934" t="str">
        <f t="shared" si="128"/>
        <v>OK!</v>
      </c>
      <c r="R239" s="934" t="str">
        <f t="shared" si="128"/>
        <v>OK!</v>
      </c>
      <c r="S239" s="934" t="str">
        <f t="shared" si="129"/>
        <v>OK!</v>
      </c>
      <c r="T239" s="934" t="str">
        <f t="shared" si="129"/>
        <v>OK!</v>
      </c>
    </row>
    <row r="240" spans="1:20" ht="12.75" hidden="1" customHeight="1" x14ac:dyDescent="0.15">
      <c r="A240" s="965" t="str">
        <f>A$12</f>
        <v>Angazhimet kujtesë</v>
      </c>
      <c r="B240" s="959"/>
      <c r="C240" s="959">
        <f>'(C5) Angazhimet'!D83</f>
        <v>0</v>
      </c>
      <c r="D240" s="959">
        <f>'(C5) Angazhimet'!E83</f>
        <v>0</v>
      </c>
      <c r="E240" s="959">
        <f>'(C5) Angazhimet'!F83</f>
        <v>0</v>
      </c>
      <c r="F240" s="934" t="str">
        <f>IF(C240&gt;C239,"STOPP!","OK!")</f>
        <v>OK!</v>
      </c>
      <c r="G240" s="934" t="str">
        <f t="shared" ref="G240:R240" si="130">IF(D240&lt;0,"STOPP!","OK!")</f>
        <v>OK!</v>
      </c>
      <c r="H240" s="934" t="str">
        <f t="shared" si="130"/>
        <v>OK!</v>
      </c>
      <c r="I240" s="934" t="str">
        <f t="shared" si="130"/>
        <v>OK!</v>
      </c>
      <c r="J240" s="934" t="str">
        <f t="shared" si="130"/>
        <v>OK!</v>
      </c>
      <c r="K240" s="934" t="str">
        <f t="shared" si="130"/>
        <v>OK!</v>
      </c>
      <c r="L240" s="934" t="str">
        <f t="shared" si="130"/>
        <v>OK!</v>
      </c>
      <c r="M240" s="934" t="str">
        <f t="shared" si="130"/>
        <v>OK!</v>
      </c>
      <c r="N240" s="934" t="str">
        <f t="shared" si="130"/>
        <v>OK!</v>
      </c>
      <c r="O240" s="934" t="str">
        <f t="shared" si="130"/>
        <v>OK!</v>
      </c>
      <c r="P240" s="934" t="str">
        <f t="shared" si="130"/>
        <v>OK!</v>
      </c>
      <c r="Q240" s="934" t="str">
        <f t="shared" si="130"/>
        <v>OK!</v>
      </c>
      <c r="R240" s="934" t="str">
        <f t="shared" si="130"/>
        <v>OK!</v>
      </c>
      <c r="S240" s="934" t="str">
        <f>IF(D240&gt;D239,"STOPP!","OK!")</f>
        <v>OK!</v>
      </c>
      <c r="T240" s="934" t="str">
        <f>IF(E240&gt;E239,"STOPP!","OK!")</f>
        <v>OK!</v>
      </c>
    </row>
    <row r="241" spans="1:20" ht="24" customHeight="1" x14ac:dyDescent="0.25">
      <c r="A241" s="1082" t="str">
        <f>'(B2) Struktura Organizative'!A20</f>
        <v>Nënfunksioni 14</v>
      </c>
      <c r="B241" s="1076" t="str">
        <f>'(B2) Struktura Organizative'!B20</f>
        <v>061 Urbanistika</v>
      </c>
      <c r="C241" s="1077"/>
      <c r="D241" s="1077"/>
      <c r="E241" s="1078"/>
      <c r="G241" s="933">
        <f>C245</f>
        <v>0</v>
      </c>
      <c r="H241" s="933">
        <f>D245</f>
        <v>0</v>
      </c>
      <c r="I241" s="933">
        <f>E245</f>
        <v>0</v>
      </c>
      <c r="J241" s="933">
        <f>C242</f>
        <v>0</v>
      </c>
      <c r="K241" s="933">
        <f>D242</f>
        <v>0</v>
      </c>
      <c r="L241" s="933">
        <f>E242</f>
        <v>0</v>
      </c>
      <c r="M241" s="933">
        <f>C243</f>
        <v>0</v>
      </c>
      <c r="N241" s="933">
        <f>D243</f>
        <v>0</v>
      </c>
      <c r="O241" s="933">
        <f>E243</f>
        <v>0</v>
      </c>
      <c r="P241" s="933">
        <f>C244</f>
        <v>0</v>
      </c>
      <c r="Q241" s="933">
        <f>D244</f>
        <v>0</v>
      </c>
      <c r="R241" s="933">
        <f>E244</f>
        <v>0</v>
      </c>
    </row>
    <row r="242" spans="1:20" x14ac:dyDescent="0.15">
      <c r="A242" s="958" t="str">
        <f>A$8</f>
        <v>Pagat dhe sigurimet shoqërore</v>
      </c>
      <c r="B242" s="958"/>
      <c r="C242" s="959">
        <f t="shared" ref="C242:E243" si="131">C248+C254</f>
        <v>0</v>
      </c>
      <c r="D242" s="959">
        <f t="shared" si="131"/>
        <v>0</v>
      </c>
      <c r="E242" s="959">
        <f t="shared" si="131"/>
        <v>0</v>
      </c>
      <c r="F242" s="934" t="str">
        <f t="shared" ref="F242:R245" si="132">IF(C242&lt;0,"STOPP!","OK!")</f>
        <v>OK!</v>
      </c>
      <c r="G242" s="934" t="str">
        <f t="shared" si="132"/>
        <v>OK!</v>
      </c>
      <c r="H242" s="934" t="str">
        <f t="shared" si="132"/>
        <v>OK!</v>
      </c>
      <c r="I242" s="934" t="str">
        <f t="shared" si="132"/>
        <v>OK!</v>
      </c>
      <c r="J242" s="934" t="str">
        <f t="shared" si="132"/>
        <v>OK!</v>
      </c>
      <c r="K242" s="934" t="str">
        <f t="shared" si="132"/>
        <v>OK!</v>
      </c>
      <c r="L242" s="934" t="str">
        <f t="shared" si="132"/>
        <v>OK!</v>
      </c>
      <c r="M242" s="934" t="str">
        <f t="shared" si="132"/>
        <v>OK!</v>
      </c>
      <c r="N242" s="934" t="str">
        <f t="shared" si="132"/>
        <v>OK!</v>
      </c>
      <c r="O242" s="934" t="str">
        <f t="shared" si="132"/>
        <v>OK!</v>
      </c>
      <c r="P242" s="934" t="str">
        <f t="shared" si="132"/>
        <v>OK!</v>
      </c>
      <c r="Q242" s="934" t="str">
        <f t="shared" si="132"/>
        <v>OK!</v>
      </c>
      <c r="R242" s="934" t="str">
        <f t="shared" si="132"/>
        <v>OK!</v>
      </c>
      <c r="S242" s="934" t="str">
        <f t="shared" ref="S242:T245" si="133">IF(D242&lt;0,"STOPP!","OK!")</f>
        <v>OK!</v>
      </c>
      <c r="T242" s="934" t="str">
        <f t="shared" si="133"/>
        <v>OK!</v>
      </c>
    </row>
    <row r="243" spans="1:20" x14ac:dyDescent="0.15">
      <c r="A243" s="958" t="str">
        <f>A$9</f>
        <v>Të tjera shpenzime korrente</v>
      </c>
      <c r="B243" s="958"/>
      <c r="C243" s="959">
        <f t="shared" si="131"/>
        <v>0</v>
      </c>
      <c r="D243" s="959">
        <f t="shared" si="131"/>
        <v>0</v>
      </c>
      <c r="E243" s="959">
        <f t="shared" si="131"/>
        <v>0</v>
      </c>
      <c r="F243" s="934" t="str">
        <f t="shared" si="132"/>
        <v>OK!</v>
      </c>
      <c r="G243" s="934" t="str">
        <f t="shared" si="132"/>
        <v>OK!</v>
      </c>
      <c r="H243" s="934" t="str">
        <f t="shared" si="132"/>
        <v>OK!</v>
      </c>
      <c r="I243" s="934" t="str">
        <f t="shared" si="132"/>
        <v>OK!</v>
      </c>
      <c r="J243" s="934" t="str">
        <f t="shared" si="132"/>
        <v>OK!</v>
      </c>
      <c r="K243" s="934" t="str">
        <f t="shared" si="132"/>
        <v>OK!</v>
      </c>
      <c r="L243" s="934" t="str">
        <f t="shared" si="132"/>
        <v>OK!</v>
      </c>
      <c r="M243" s="934" t="str">
        <f t="shared" si="132"/>
        <v>OK!</v>
      </c>
      <c r="N243" s="934" t="str">
        <f t="shared" si="132"/>
        <v>OK!</v>
      </c>
      <c r="O243" s="934" t="str">
        <f t="shared" si="132"/>
        <v>OK!</v>
      </c>
      <c r="P243" s="934" t="str">
        <f t="shared" si="132"/>
        <v>OK!</v>
      </c>
      <c r="Q243" s="934" t="str">
        <f t="shared" si="132"/>
        <v>OK!</v>
      </c>
      <c r="R243" s="934" t="str">
        <f t="shared" si="132"/>
        <v>OK!</v>
      </c>
      <c r="S243" s="934" t="str">
        <f t="shared" si="133"/>
        <v>OK!</v>
      </c>
      <c r="T243" s="934" t="str">
        <f t="shared" si="133"/>
        <v>OK!</v>
      </c>
    </row>
    <row r="244" spans="1:20" x14ac:dyDescent="0.15">
      <c r="A244" s="960" t="str">
        <f>A$10</f>
        <v>Shpenzimet kapitale</v>
      </c>
      <c r="B244" s="961"/>
      <c r="C244" s="959">
        <f>C245-C242-C243</f>
        <v>0</v>
      </c>
      <c r="D244" s="962">
        <f>D245-D242-D243</f>
        <v>0</v>
      </c>
      <c r="E244" s="962">
        <f>E245-E242-E243</f>
        <v>0</v>
      </c>
      <c r="F244" s="934" t="str">
        <f t="shared" si="132"/>
        <v>OK!</v>
      </c>
      <c r="G244" s="934" t="str">
        <f t="shared" si="132"/>
        <v>OK!</v>
      </c>
      <c r="H244" s="934" t="str">
        <f t="shared" si="132"/>
        <v>OK!</v>
      </c>
      <c r="I244" s="934" t="str">
        <f t="shared" si="132"/>
        <v>OK!</v>
      </c>
      <c r="J244" s="934" t="str">
        <f t="shared" si="132"/>
        <v>OK!</v>
      </c>
      <c r="K244" s="934" t="str">
        <f t="shared" si="132"/>
        <v>OK!</v>
      </c>
      <c r="L244" s="934" t="str">
        <f t="shared" si="132"/>
        <v>OK!</v>
      </c>
      <c r="M244" s="934" t="str">
        <f t="shared" si="132"/>
        <v>OK!</v>
      </c>
      <c r="N244" s="934" t="str">
        <f t="shared" si="132"/>
        <v>OK!</v>
      </c>
      <c r="O244" s="934" t="str">
        <f t="shared" si="132"/>
        <v>OK!</v>
      </c>
      <c r="P244" s="934" t="str">
        <f t="shared" si="132"/>
        <v>OK!</v>
      </c>
      <c r="Q244" s="934" t="str">
        <f t="shared" si="132"/>
        <v>OK!</v>
      </c>
      <c r="R244" s="934" t="str">
        <f t="shared" si="132"/>
        <v>OK!</v>
      </c>
      <c r="S244" s="934" t="str">
        <f t="shared" si="133"/>
        <v>OK!</v>
      </c>
      <c r="T244" s="934" t="str">
        <f t="shared" si="133"/>
        <v>OK!</v>
      </c>
    </row>
    <row r="245" spans="1:20" x14ac:dyDescent="0.15">
      <c r="A245" s="963" t="str">
        <f>A$11</f>
        <v>Tavanet e përgjithshme</v>
      </c>
      <c r="B245" s="964"/>
      <c r="C245" s="959">
        <f>C251+C257</f>
        <v>0</v>
      </c>
      <c r="D245" s="959">
        <f>D251+D257</f>
        <v>0</v>
      </c>
      <c r="E245" s="959">
        <f>E251+E257</f>
        <v>0</v>
      </c>
      <c r="F245" s="934" t="str">
        <f t="shared" si="132"/>
        <v>OK!</v>
      </c>
      <c r="G245" s="934" t="str">
        <f t="shared" si="132"/>
        <v>OK!</v>
      </c>
      <c r="H245" s="934" t="str">
        <f t="shared" si="132"/>
        <v>OK!</v>
      </c>
      <c r="I245" s="934" t="str">
        <f t="shared" si="132"/>
        <v>OK!</v>
      </c>
      <c r="J245" s="934" t="str">
        <f t="shared" si="132"/>
        <v>OK!</v>
      </c>
      <c r="K245" s="934" t="str">
        <f t="shared" si="132"/>
        <v>OK!</v>
      </c>
      <c r="L245" s="934" t="str">
        <f t="shared" si="132"/>
        <v>OK!</v>
      </c>
      <c r="M245" s="934" t="str">
        <f t="shared" si="132"/>
        <v>OK!</v>
      </c>
      <c r="N245" s="934" t="str">
        <f t="shared" si="132"/>
        <v>OK!</v>
      </c>
      <c r="O245" s="934" t="str">
        <f t="shared" si="132"/>
        <v>OK!</v>
      </c>
      <c r="P245" s="934" t="str">
        <f t="shared" si="132"/>
        <v>OK!</v>
      </c>
      <c r="Q245" s="934" t="str">
        <f t="shared" si="132"/>
        <v>OK!</v>
      </c>
      <c r="R245" s="934" t="str">
        <f t="shared" si="132"/>
        <v>OK!</v>
      </c>
      <c r="S245" s="934" t="str">
        <f t="shared" si="133"/>
        <v>OK!</v>
      </c>
      <c r="T245" s="934" t="str">
        <f t="shared" si="133"/>
        <v>OK!</v>
      </c>
    </row>
    <row r="246" spans="1:20" x14ac:dyDescent="0.15">
      <c r="A246" s="965" t="str">
        <f>A$12</f>
        <v>Angazhimet kujtesë</v>
      </c>
      <c r="B246" s="959"/>
      <c r="C246" s="959">
        <f>'(C5) Angazhimet'!D90</f>
        <v>0</v>
      </c>
      <c r="D246" s="962">
        <f>'(C5) Angazhimet'!E90</f>
        <v>0</v>
      </c>
      <c r="E246" s="962">
        <f>'(C5) Angazhimet'!F90</f>
        <v>0</v>
      </c>
      <c r="F246" s="934" t="str">
        <f>IF(C246&gt;C245,"STOPP!","OK!")</f>
        <v>OK!</v>
      </c>
      <c r="G246" s="934" t="str">
        <f t="shared" ref="G246:R246" si="134">IF(D246&lt;0,"STOPP!","OK!")</f>
        <v>OK!</v>
      </c>
      <c r="H246" s="934" t="str">
        <f t="shared" si="134"/>
        <v>OK!</v>
      </c>
      <c r="I246" s="934" t="str">
        <f t="shared" si="134"/>
        <v>OK!</v>
      </c>
      <c r="J246" s="934" t="str">
        <f t="shared" si="134"/>
        <v>OK!</v>
      </c>
      <c r="K246" s="934" t="str">
        <f t="shared" si="134"/>
        <v>OK!</v>
      </c>
      <c r="L246" s="934" t="str">
        <f t="shared" si="134"/>
        <v>OK!</v>
      </c>
      <c r="M246" s="934" t="str">
        <f t="shared" si="134"/>
        <v>OK!</v>
      </c>
      <c r="N246" s="934" t="str">
        <f t="shared" si="134"/>
        <v>OK!</v>
      </c>
      <c r="O246" s="934" t="str">
        <f t="shared" si="134"/>
        <v>OK!</v>
      </c>
      <c r="P246" s="934" t="str">
        <f t="shared" si="134"/>
        <v>OK!</v>
      </c>
      <c r="Q246" s="934" t="str">
        <f t="shared" si="134"/>
        <v>OK!</v>
      </c>
      <c r="R246" s="934" t="str">
        <f t="shared" si="134"/>
        <v>OK!</v>
      </c>
      <c r="S246" s="934" t="str">
        <f>IF(D246&gt;D245,"STOPP!","OK!")</f>
        <v>OK!</v>
      </c>
      <c r="T246" s="934" t="str">
        <f>IF(E246&gt;E245,"STOPP!","OK!")</f>
        <v>OK!</v>
      </c>
    </row>
    <row r="247" spans="1:20" ht="15.75" customHeight="1" x14ac:dyDescent="0.15">
      <c r="A247" s="1089" t="str">
        <f>'(B3) Struktura Funksionale'!B77</f>
        <v>06140</v>
      </c>
      <c r="B247" s="1079" t="str">
        <f>'(B3) Struktura Funksionale'!C77</f>
        <v>Planifikimi Urban Vendor</v>
      </c>
      <c r="C247" s="1080"/>
      <c r="D247" s="1080"/>
      <c r="E247" s="1081"/>
      <c r="F247" s="934"/>
      <c r="G247" s="934"/>
      <c r="H247" s="934"/>
      <c r="I247" s="934"/>
      <c r="J247" s="934"/>
      <c r="K247" s="934"/>
      <c r="L247" s="934"/>
      <c r="M247" s="934"/>
      <c r="N247" s="934"/>
      <c r="O247" s="934"/>
      <c r="P247" s="934"/>
      <c r="Q247" s="934"/>
      <c r="R247" s="934"/>
      <c r="S247" s="934"/>
      <c r="T247" s="934"/>
    </row>
    <row r="248" spans="1:20" x14ac:dyDescent="0.15">
      <c r="A248" s="958" t="str">
        <f>A$8</f>
        <v>Pagat dhe sigurimet shoqërore</v>
      </c>
      <c r="B248" s="958"/>
      <c r="C248" s="966"/>
      <c r="D248" s="966"/>
      <c r="E248" s="966"/>
      <c r="F248" s="934" t="str">
        <f t="shared" ref="F248:R251" si="135">IF(C248&lt;0,"STOPP!","OK!")</f>
        <v>OK!</v>
      </c>
      <c r="G248" s="934" t="str">
        <f t="shared" si="135"/>
        <v>OK!</v>
      </c>
      <c r="H248" s="934" t="str">
        <f t="shared" si="135"/>
        <v>OK!</v>
      </c>
      <c r="I248" s="934" t="str">
        <f t="shared" si="135"/>
        <v>OK!</v>
      </c>
      <c r="J248" s="934" t="str">
        <f t="shared" si="135"/>
        <v>OK!</v>
      </c>
      <c r="K248" s="934" t="str">
        <f t="shared" si="135"/>
        <v>OK!</v>
      </c>
      <c r="L248" s="934" t="str">
        <f t="shared" si="135"/>
        <v>OK!</v>
      </c>
      <c r="M248" s="934" t="str">
        <f t="shared" si="135"/>
        <v>OK!</v>
      </c>
      <c r="N248" s="934" t="str">
        <f t="shared" si="135"/>
        <v>OK!</v>
      </c>
      <c r="O248" s="934" t="str">
        <f t="shared" si="135"/>
        <v>OK!</v>
      </c>
      <c r="P248" s="934" t="str">
        <f t="shared" si="135"/>
        <v>OK!</v>
      </c>
      <c r="Q248" s="934" t="str">
        <f t="shared" si="135"/>
        <v>OK!</v>
      </c>
      <c r="R248" s="934" t="str">
        <f t="shared" si="135"/>
        <v>OK!</v>
      </c>
      <c r="S248" s="934" t="str">
        <f t="shared" ref="S248:T251" si="136">IF(D248&lt;0,"STOPP!","OK!")</f>
        <v>OK!</v>
      </c>
      <c r="T248" s="934" t="str">
        <f t="shared" si="136"/>
        <v>OK!</v>
      </c>
    </row>
    <row r="249" spans="1:20" x14ac:dyDescent="0.15">
      <c r="A249" s="958" t="str">
        <f>A$9</f>
        <v>Të tjera shpenzime korrente</v>
      </c>
      <c r="B249" s="958"/>
      <c r="C249" s="967"/>
      <c r="D249" s="967"/>
      <c r="E249" s="967"/>
      <c r="F249" s="934" t="str">
        <f t="shared" si="135"/>
        <v>OK!</v>
      </c>
      <c r="G249" s="934" t="str">
        <f t="shared" si="135"/>
        <v>OK!</v>
      </c>
      <c r="H249" s="934" t="str">
        <f t="shared" si="135"/>
        <v>OK!</v>
      </c>
      <c r="I249" s="934" t="str">
        <f t="shared" si="135"/>
        <v>OK!</v>
      </c>
      <c r="J249" s="934" t="str">
        <f t="shared" si="135"/>
        <v>OK!</v>
      </c>
      <c r="K249" s="934" t="str">
        <f t="shared" si="135"/>
        <v>OK!</v>
      </c>
      <c r="L249" s="934" t="str">
        <f t="shared" si="135"/>
        <v>OK!</v>
      </c>
      <c r="M249" s="934" t="str">
        <f t="shared" si="135"/>
        <v>OK!</v>
      </c>
      <c r="N249" s="934" t="str">
        <f t="shared" si="135"/>
        <v>OK!</v>
      </c>
      <c r="O249" s="934" t="str">
        <f t="shared" si="135"/>
        <v>OK!</v>
      </c>
      <c r="P249" s="934" t="str">
        <f t="shared" si="135"/>
        <v>OK!</v>
      </c>
      <c r="Q249" s="934" t="str">
        <f t="shared" si="135"/>
        <v>OK!</v>
      </c>
      <c r="R249" s="934" t="str">
        <f t="shared" si="135"/>
        <v>OK!</v>
      </c>
      <c r="S249" s="934" t="str">
        <f t="shared" si="136"/>
        <v>OK!</v>
      </c>
      <c r="T249" s="934" t="str">
        <f t="shared" si="136"/>
        <v>OK!</v>
      </c>
    </row>
    <row r="250" spans="1:20" x14ac:dyDescent="0.15">
      <c r="A250" s="960" t="str">
        <f>A$10</f>
        <v>Shpenzimet kapitale</v>
      </c>
      <c r="B250" s="961"/>
      <c r="C250" s="959">
        <f>C251-C248-C249</f>
        <v>0</v>
      </c>
      <c r="D250" s="962">
        <f>D251-D248-D249</f>
        <v>0</v>
      </c>
      <c r="E250" s="962">
        <f>E251-E248-E249</f>
        <v>0</v>
      </c>
      <c r="F250" s="934" t="str">
        <f t="shared" si="135"/>
        <v>OK!</v>
      </c>
      <c r="G250" s="934" t="str">
        <f t="shared" si="135"/>
        <v>OK!</v>
      </c>
      <c r="H250" s="934" t="str">
        <f t="shared" si="135"/>
        <v>OK!</v>
      </c>
      <c r="I250" s="934" t="str">
        <f t="shared" si="135"/>
        <v>OK!</v>
      </c>
      <c r="J250" s="934" t="str">
        <f t="shared" si="135"/>
        <v>OK!</v>
      </c>
      <c r="K250" s="934" t="str">
        <f t="shared" si="135"/>
        <v>OK!</v>
      </c>
      <c r="L250" s="934" t="str">
        <f t="shared" si="135"/>
        <v>OK!</v>
      </c>
      <c r="M250" s="934" t="str">
        <f t="shared" si="135"/>
        <v>OK!</v>
      </c>
      <c r="N250" s="934" t="str">
        <f t="shared" si="135"/>
        <v>OK!</v>
      </c>
      <c r="O250" s="934" t="str">
        <f t="shared" si="135"/>
        <v>OK!</v>
      </c>
      <c r="P250" s="934" t="str">
        <f t="shared" si="135"/>
        <v>OK!</v>
      </c>
      <c r="Q250" s="934" t="str">
        <f t="shared" si="135"/>
        <v>OK!</v>
      </c>
      <c r="R250" s="934" t="str">
        <f t="shared" si="135"/>
        <v>OK!</v>
      </c>
      <c r="S250" s="934" t="str">
        <f t="shared" si="136"/>
        <v>OK!</v>
      </c>
      <c r="T250" s="934" t="str">
        <f t="shared" si="136"/>
        <v>OK!</v>
      </c>
    </row>
    <row r="251" spans="1:20" x14ac:dyDescent="0.15">
      <c r="A251" s="963" t="str">
        <f>A$11</f>
        <v>Tavanet e përgjithshme</v>
      </c>
      <c r="B251" s="964"/>
      <c r="C251" s="968">
        <v>0</v>
      </c>
      <c r="D251" s="969"/>
      <c r="E251" s="969"/>
      <c r="F251" s="934" t="str">
        <f t="shared" si="135"/>
        <v>OK!</v>
      </c>
      <c r="G251" s="934" t="str">
        <f t="shared" si="135"/>
        <v>OK!</v>
      </c>
      <c r="H251" s="934" t="str">
        <f t="shared" si="135"/>
        <v>OK!</v>
      </c>
      <c r="I251" s="934" t="str">
        <f t="shared" si="135"/>
        <v>OK!</v>
      </c>
      <c r="J251" s="934" t="str">
        <f t="shared" si="135"/>
        <v>OK!</v>
      </c>
      <c r="K251" s="934" t="str">
        <f t="shared" si="135"/>
        <v>OK!</v>
      </c>
      <c r="L251" s="934" t="str">
        <f t="shared" si="135"/>
        <v>OK!</v>
      </c>
      <c r="M251" s="934" t="str">
        <f t="shared" si="135"/>
        <v>OK!</v>
      </c>
      <c r="N251" s="934" t="str">
        <f t="shared" si="135"/>
        <v>OK!</v>
      </c>
      <c r="O251" s="934" t="str">
        <f t="shared" si="135"/>
        <v>OK!</v>
      </c>
      <c r="P251" s="934" t="str">
        <f t="shared" si="135"/>
        <v>OK!</v>
      </c>
      <c r="Q251" s="934" t="str">
        <f t="shared" si="135"/>
        <v>OK!</v>
      </c>
      <c r="R251" s="934" t="str">
        <f t="shared" si="135"/>
        <v>OK!</v>
      </c>
      <c r="S251" s="934" t="str">
        <f t="shared" si="136"/>
        <v>OK!</v>
      </c>
      <c r="T251" s="934" t="str">
        <f t="shared" si="136"/>
        <v>OK!</v>
      </c>
    </row>
    <row r="252" spans="1:20" x14ac:dyDescent="0.15">
      <c r="A252" s="965" t="str">
        <f>A$12</f>
        <v>Angazhimet kujtesë</v>
      </c>
      <c r="B252" s="959"/>
      <c r="C252" s="959">
        <f>'(C5) Angazhimet'!D87</f>
        <v>0</v>
      </c>
      <c r="D252" s="959">
        <f>'(C5) Angazhimet'!E87</f>
        <v>0</v>
      </c>
      <c r="E252" s="959">
        <f>'(C5) Angazhimet'!F87</f>
        <v>0</v>
      </c>
      <c r="F252" s="934" t="str">
        <f>IF(C252&gt;C251,"STOPP!","OK!")</f>
        <v>OK!</v>
      </c>
      <c r="G252" s="934" t="str">
        <f t="shared" ref="G252:R252" si="137">IF(D252&lt;0,"STOPP!","OK!")</f>
        <v>OK!</v>
      </c>
      <c r="H252" s="934" t="str">
        <f t="shared" si="137"/>
        <v>OK!</v>
      </c>
      <c r="I252" s="934" t="str">
        <f t="shared" si="137"/>
        <v>OK!</v>
      </c>
      <c r="J252" s="934" t="str">
        <f t="shared" si="137"/>
        <v>OK!</v>
      </c>
      <c r="K252" s="934" t="str">
        <f t="shared" si="137"/>
        <v>OK!</v>
      </c>
      <c r="L252" s="934" t="str">
        <f t="shared" si="137"/>
        <v>OK!</v>
      </c>
      <c r="M252" s="934" t="str">
        <f t="shared" si="137"/>
        <v>OK!</v>
      </c>
      <c r="N252" s="934" t="str">
        <f t="shared" si="137"/>
        <v>OK!</v>
      </c>
      <c r="O252" s="934" t="str">
        <f t="shared" si="137"/>
        <v>OK!</v>
      </c>
      <c r="P252" s="934" t="str">
        <f t="shared" si="137"/>
        <v>OK!</v>
      </c>
      <c r="Q252" s="934" t="str">
        <f t="shared" si="137"/>
        <v>OK!</v>
      </c>
      <c r="R252" s="934" t="str">
        <f t="shared" si="137"/>
        <v>OK!</v>
      </c>
      <c r="S252" s="934" t="str">
        <f>IF(D252&gt;D251,"STOPP!","OK!")</f>
        <v>OK!</v>
      </c>
      <c r="T252" s="934" t="str">
        <f>IF(E252&gt;E251,"STOPP!","OK!")</f>
        <v>OK!</v>
      </c>
    </row>
    <row r="253" spans="1:20" ht="18.75" hidden="1" customHeight="1" x14ac:dyDescent="0.15">
      <c r="A253" s="1089" t="str">
        <f>'(B3) Struktura Funksionale'!B78</f>
        <v>06180</v>
      </c>
      <c r="B253" s="1079" t="str">
        <f>'(B3) Struktura Funksionale'!C78</f>
        <v>Planifikimi urban dhe strehimi</v>
      </c>
      <c r="C253" s="1080"/>
      <c r="D253" s="1080"/>
      <c r="E253" s="1081"/>
      <c r="F253" s="934"/>
      <c r="G253" s="934"/>
      <c r="H253" s="934"/>
      <c r="I253" s="934"/>
      <c r="J253" s="934"/>
      <c r="K253" s="934"/>
      <c r="L253" s="934"/>
      <c r="M253" s="934"/>
      <c r="N253" s="934"/>
      <c r="O253" s="934"/>
      <c r="P253" s="934"/>
      <c r="Q253" s="934"/>
      <c r="R253" s="934"/>
      <c r="S253" s="934"/>
      <c r="T253" s="934"/>
    </row>
    <row r="254" spans="1:20" ht="12.75" hidden="1" customHeight="1" x14ac:dyDescent="0.15">
      <c r="A254" s="958" t="str">
        <f>A$8</f>
        <v>Pagat dhe sigurimet shoqërore</v>
      </c>
      <c r="B254" s="958"/>
      <c r="C254" s="966"/>
      <c r="D254" s="966"/>
      <c r="E254" s="966"/>
      <c r="F254" s="934" t="str">
        <f t="shared" ref="F254:R257" si="138">IF(C254&lt;0,"STOPP!","OK!")</f>
        <v>OK!</v>
      </c>
      <c r="G254" s="934" t="str">
        <f t="shared" si="138"/>
        <v>OK!</v>
      </c>
      <c r="H254" s="934" t="str">
        <f t="shared" si="138"/>
        <v>OK!</v>
      </c>
      <c r="I254" s="934" t="str">
        <f t="shared" si="138"/>
        <v>OK!</v>
      </c>
      <c r="J254" s="934" t="str">
        <f t="shared" si="138"/>
        <v>OK!</v>
      </c>
      <c r="K254" s="934" t="str">
        <f t="shared" si="138"/>
        <v>OK!</v>
      </c>
      <c r="L254" s="934" t="str">
        <f t="shared" si="138"/>
        <v>OK!</v>
      </c>
      <c r="M254" s="934" t="str">
        <f t="shared" si="138"/>
        <v>OK!</v>
      </c>
      <c r="N254" s="934" t="str">
        <f t="shared" si="138"/>
        <v>OK!</v>
      </c>
      <c r="O254" s="934" t="str">
        <f t="shared" si="138"/>
        <v>OK!</v>
      </c>
      <c r="P254" s="934" t="str">
        <f t="shared" si="138"/>
        <v>OK!</v>
      </c>
      <c r="Q254" s="934" t="str">
        <f t="shared" si="138"/>
        <v>OK!</v>
      </c>
      <c r="R254" s="934" t="str">
        <f t="shared" si="138"/>
        <v>OK!</v>
      </c>
      <c r="S254" s="934" t="str">
        <f t="shared" ref="S254:T257" si="139">IF(D254&lt;0,"STOPP!","OK!")</f>
        <v>OK!</v>
      </c>
      <c r="T254" s="934" t="str">
        <f t="shared" si="139"/>
        <v>OK!</v>
      </c>
    </row>
    <row r="255" spans="1:20" ht="12.75" hidden="1" customHeight="1" x14ac:dyDescent="0.15">
      <c r="A255" s="958" t="str">
        <f>A$9</f>
        <v>Të tjera shpenzime korrente</v>
      </c>
      <c r="B255" s="958"/>
      <c r="C255" s="967"/>
      <c r="D255" s="967"/>
      <c r="E255" s="967"/>
      <c r="F255" s="934" t="str">
        <f t="shared" si="138"/>
        <v>OK!</v>
      </c>
      <c r="G255" s="934" t="str">
        <f t="shared" si="138"/>
        <v>OK!</v>
      </c>
      <c r="H255" s="934" t="str">
        <f t="shared" si="138"/>
        <v>OK!</v>
      </c>
      <c r="I255" s="934" t="str">
        <f t="shared" si="138"/>
        <v>OK!</v>
      </c>
      <c r="J255" s="934" t="str">
        <f t="shared" si="138"/>
        <v>OK!</v>
      </c>
      <c r="K255" s="934" t="str">
        <f t="shared" si="138"/>
        <v>OK!</v>
      </c>
      <c r="L255" s="934" t="str">
        <f t="shared" si="138"/>
        <v>OK!</v>
      </c>
      <c r="M255" s="934" t="str">
        <f t="shared" si="138"/>
        <v>OK!</v>
      </c>
      <c r="N255" s="934" t="str">
        <f t="shared" si="138"/>
        <v>OK!</v>
      </c>
      <c r="O255" s="934" t="str">
        <f t="shared" si="138"/>
        <v>OK!</v>
      </c>
      <c r="P255" s="934" t="str">
        <f t="shared" si="138"/>
        <v>OK!</v>
      </c>
      <c r="Q255" s="934" t="str">
        <f t="shared" si="138"/>
        <v>OK!</v>
      </c>
      <c r="R255" s="934" t="str">
        <f t="shared" si="138"/>
        <v>OK!</v>
      </c>
      <c r="S255" s="934" t="str">
        <f t="shared" si="139"/>
        <v>OK!</v>
      </c>
      <c r="T255" s="934" t="str">
        <f t="shared" si="139"/>
        <v>OK!</v>
      </c>
    </row>
    <row r="256" spans="1:20" ht="12.75" hidden="1" customHeight="1" x14ac:dyDescent="0.15">
      <c r="A256" s="960" t="str">
        <f>A$10</f>
        <v>Shpenzimet kapitale</v>
      </c>
      <c r="B256" s="961"/>
      <c r="C256" s="959">
        <f>C257-C254-C255</f>
        <v>0</v>
      </c>
      <c r="D256" s="962">
        <f>D257-D254-D255</f>
        <v>0</v>
      </c>
      <c r="E256" s="962">
        <f>E257-E254-E255</f>
        <v>0</v>
      </c>
      <c r="F256" s="934" t="str">
        <f t="shared" si="138"/>
        <v>OK!</v>
      </c>
      <c r="G256" s="934" t="str">
        <f t="shared" si="138"/>
        <v>OK!</v>
      </c>
      <c r="H256" s="934" t="str">
        <f t="shared" si="138"/>
        <v>OK!</v>
      </c>
      <c r="I256" s="934" t="str">
        <f t="shared" si="138"/>
        <v>OK!</v>
      </c>
      <c r="J256" s="934" t="str">
        <f t="shared" si="138"/>
        <v>OK!</v>
      </c>
      <c r="K256" s="934" t="str">
        <f t="shared" si="138"/>
        <v>OK!</v>
      </c>
      <c r="L256" s="934" t="str">
        <f t="shared" si="138"/>
        <v>OK!</v>
      </c>
      <c r="M256" s="934" t="str">
        <f t="shared" si="138"/>
        <v>OK!</v>
      </c>
      <c r="N256" s="934" t="str">
        <f t="shared" si="138"/>
        <v>OK!</v>
      </c>
      <c r="O256" s="934" t="str">
        <f t="shared" si="138"/>
        <v>OK!</v>
      </c>
      <c r="P256" s="934" t="str">
        <f t="shared" si="138"/>
        <v>OK!</v>
      </c>
      <c r="Q256" s="934" t="str">
        <f t="shared" si="138"/>
        <v>OK!</v>
      </c>
      <c r="R256" s="934" t="str">
        <f t="shared" si="138"/>
        <v>OK!</v>
      </c>
      <c r="S256" s="934" t="str">
        <f t="shared" si="139"/>
        <v>OK!</v>
      </c>
      <c r="T256" s="934" t="str">
        <f t="shared" si="139"/>
        <v>OK!</v>
      </c>
    </row>
    <row r="257" spans="1:22" ht="12.75" hidden="1" customHeight="1" x14ac:dyDescent="0.15">
      <c r="A257" s="963" t="str">
        <f>A$11</f>
        <v>Tavanet e përgjithshme</v>
      </c>
      <c r="B257" s="964"/>
      <c r="C257" s="968"/>
      <c r="D257" s="969"/>
      <c r="E257" s="969"/>
      <c r="F257" s="934" t="str">
        <f t="shared" si="138"/>
        <v>OK!</v>
      </c>
      <c r="G257" s="934" t="str">
        <f t="shared" si="138"/>
        <v>OK!</v>
      </c>
      <c r="H257" s="934" t="str">
        <f t="shared" si="138"/>
        <v>OK!</v>
      </c>
      <c r="I257" s="934" t="str">
        <f t="shared" si="138"/>
        <v>OK!</v>
      </c>
      <c r="J257" s="934" t="str">
        <f t="shared" si="138"/>
        <v>OK!</v>
      </c>
      <c r="K257" s="934" t="str">
        <f t="shared" si="138"/>
        <v>OK!</v>
      </c>
      <c r="L257" s="934" t="str">
        <f t="shared" si="138"/>
        <v>OK!</v>
      </c>
      <c r="M257" s="934" t="str">
        <f t="shared" si="138"/>
        <v>OK!</v>
      </c>
      <c r="N257" s="934" t="str">
        <f t="shared" si="138"/>
        <v>OK!</v>
      </c>
      <c r="O257" s="934" t="str">
        <f t="shared" si="138"/>
        <v>OK!</v>
      </c>
      <c r="P257" s="934" t="str">
        <f t="shared" si="138"/>
        <v>OK!</v>
      </c>
      <c r="Q257" s="934" t="str">
        <f t="shared" si="138"/>
        <v>OK!</v>
      </c>
      <c r="R257" s="934" t="str">
        <f t="shared" si="138"/>
        <v>OK!</v>
      </c>
      <c r="S257" s="934" t="str">
        <f t="shared" si="139"/>
        <v>OK!</v>
      </c>
      <c r="T257" s="934" t="str">
        <f t="shared" si="139"/>
        <v>OK!</v>
      </c>
    </row>
    <row r="258" spans="1:22" ht="12.75" hidden="1" customHeight="1" x14ac:dyDescent="0.15">
      <c r="A258" s="965" t="str">
        <f>A$12</f>
        <v>Angazhimet kujtesë</v>
      </c>
      <c r="B258" s="959"/>
      <c r="C258" s="959">
        <f>'(C5) Angazhimet'!D88</f>
        <v>0</v>
      </c>
      <c r="D258" s="959">
        <f>'(C5) Angazhimet'!E88</f>
        <v>0</v>
      </c>
      <c r="E258" s="959">
        <f>'(C5) Angazhimet'!F88</f>
        <v>0</v>
      </c>
      <c r="F258" s="934" t="str">
        <f>IF(C258&gt;C257,"STOPP!","OK!")</f>
        <v>OK!</v>
      </c>
      <c r="G258" s="934" t="str">
        <f t="shared" ref="G258:R258" si="140">IF(D258&lt;0,"STOPP!","OK!")</f>
        <v>OK!</v>
      </c>
      <c r="H258" s="934" t="str">
        <f t="shared" si="140"/>
        <v>OK!</v>
      </c>
      <c r="I258" s="934" t="str">
        <f t="shared" si="140"/>
        <v>OK!</v>
      </c>
      <c r="J258" s="934" t="str">
        <f t="shared" si="140"/>
        <v>OK!</v>
      </c>
      <c r="K258" s="934" t="str">
        <f t="shared" si="140"/>
        <v>OK!</v>
      </c>
      <c r="L258" s="934" t="str">
        <f t="shared" si="140"/>
        <v>OK!</v>
      </c>
      <c r="M258" s="934" t="str">
        <f t="shared" si="140"/>
        <v>OK!</v>
      </c>
      <c r="N258" s="934" t="str">
        <f t="shared" si="140"/>
        <v>OK!</v>
      </c>
      <c r="O258" s="934" t="str">
        <f t="shared" si="140"/>
        <v>OK!</v>
      </c>
      <c r="P258" s="934" t="str">
        <f t="shared" si="140"/>
        <v>OK!</v>
      </c>
      <c r="Q258" s="934" t="str">
        <f t="shared" si="140"/>
        <v>OK!</v>
      </c>
      <c r="R258" s="934" t="str">
        <f t="shared" si="140"/>
        <v>OK!</v>
      </c>
      <c r="S258" s="934" t="str">
        <f>IF(D258&gt;D257,"STOPP!","OK!")</f>
        <v>OK!</v>
      </c>
      <c r="T258" s="934" t="str">
        <f>IF(E258&gt;E257,"STOPP!","OK!")</f>
        <v>OK!</v>
      </c>
    </row>
    <row r="259" spans="1:22" ht="23.25" customHeight="1" x14ac:dyDescent="0.25">
      <c r="A259" s="1082" t="str">
        <f>'(B2) Struktura Organizative'!A21</f>
        <v>Nënfunksioni 15</v>
      </c>
      <c r="B259" s="1076" t="str">
        <f>'(B2) Struktura Organizative'!B21</f>
        <v>062 Zhvillimi i komunitetit</v>
      </c>
      <c r="C259" s="1077"/>
      <c r="D259" s="1077"/>
      <c r="E259" s="1078"/>
      <c r="G259" s="933">
        <f>C263</f>
        <v>99335900</v>
      </c>
      <c r="H259" s="933">
        <f>D263</f>
        <v>102823000</v>
      </c>
      <c r="I259" s="933">
        <f>E263</f>
        <v>106667600</v>
      </c>
      <c r="J259" s="933">
        <f>C260</f>
        <v>74096900</v>
      </c>
      <c r="K259" s="933">
        <f>D260</f>
        <v>76910800</v>
      </c>
      <c r="L259" s="933">
        <f>E260</f>
        <v>79850800</v>
      </c>
      <c r="M259" s="933">
        <f>C261</f>
        <v>22310000</v>
      </c>
      <c r="N259" s="933">
        <f>D261</f>
        <v>22910200</v>
      </c>
      <c r="O259" s="933">
        <f>E261</f>
        <v>23690800</v>
      </c>
      <c r="P259" s="933">
        <f>C262</f>
        <v>2929000</v>
      </c>
      <c r="Q259" s="933">
        <f>D262</f>
        <v>3002000</v>
      </c>
      <c r="R259" s="933">
        <f>E262</f>
        <v>3126000</v>
      </c>
    </row>
    <row r="260" spans="1:22" x14ac:dyDescent="0.15">
      <c r="A260" s="958" t="str">
        <f>A$8</f>
        <v>Pagat dhe sigurimet shoqërore</v>
      </c>
      <c r="B260" s="958"/>
      <c r="C260" s="959">
        <f t="shared" ref="C260:E261" si="141">C266+C272</f>
        <v>74096900</v>
      </c>
      <c r="D260" s="959">
        <f t="shared" si="141"/>
        <v>76910800</v>
      </c>
      <c r="E260" s="959">
        <f t="shared" si="141"/>
        <v>79850800</v>
      </c>
      <c r="F260" s="934" t="str">
        <f t="shared" ref="F260:R263" si="142">IF(C260&lt;0,"STOPP!","OK!")</f>
        <v>OK!</v>
      </c>
      <c r="G260" s="934" t="str">
        <f t="shared" si="142"/>
        <v>OK!</v>
      </c>
      <c r="H260" s="934" t="str">
        <f t="shared" si="142"/>
        <v>OK!</v>
      </c>
      <c r="I260" s="934" t="str">
        <f t="shared" si="142"/>
        <v>OK!</v>
      </c>
      <c r="J260" s="934" t="str">
        <f t="shared" si="142"/>
        <v>OK!</v>
      </c>
      <c r="K260" s="934" t="str">
        <f t="shared" si="142"/>
        <v>OK!</v>
      </c>
      <c r="L260" s="934" t="str">
        <f t="shared" si="142"/>
        <v>OK!</v>
      </c>
      <c r="M260" s="934" t="str">
        <f t="shared" si="142"/>
        <v>OK!</v>
      </c>
      <c r="N260" s="934" t="str">
        <f t="shared" si="142"/>
        <v>OK!</v>
      </c>
      <c r="O260" s="934" t="str">
        <f t="shared" si="142"/>
        <v>OK!</v>
      </c>
      <c r="P260" s="934" t="str">
        <f t="shared" si="142"/>
        <v>OK!</v>
      </c>
      <c r="Q260" s="934" t="str">
        <f t="shared" si="142"/>
        <v>OK!</v>
      </c>
      <c r="R260" s="934" t="str">
        <f t="shared" si="142"/>
        <v>OK!</v>
      </c>
      <c r="S260" s="934" t="str">
        <f t="shared" ref="S260:T263" si="143">IF(D260&lt;0,"STOPP!","OK!")</f>
        <v>OK!</v>
      </c>
      <c r="T260" s="934" t="str">
        <f t="shared" si="143"/>
        <v>OK!</v>
      </c>
    </row>
    <row r="261" spans="1:22" x14ac:dyDescent="0.15">
      <c r="A261" s="958" t="str">
        <f>A$9</f>
        <v>Të tjera shpenzime korrente</v>
      </c>
      <c r="B261" s="958"/>
      <c r="C261" s="959">
        <f t="shared" si="141"/>
        <v>22310000</v>
      </c>
      <c r="D261" s="959">
        <f t="shared" si="141"/>
        <v>22910200</v>
      </c>
      <c r="E261" s="959">
        <f t="shared" si="141"/>
        <v>23690800</v>
      </c>
      <c r="F261" s="934" t="str">
        <f t="shared" si="142"/>
        <v>OK!</v>
      </c>
      <c r="G261" s="934" t="str">
        <f t="shared" si="142"/>
        <v>OK!</v>
      </c>
      <c r="H261" s="934" t="str">
        <f t="shared" si="142"/>
        <v>OK!</v>
      </c>
      <c r="I261" s="934" t="str">
        <f t="shared" si="142"/>
        <v>OK!</v>
      </c>
      <c r="J261" s="934" t="str">
        <f t="shared" si="142"/>
        <v>OK!</v>
      </c>
      <c r="K261" s="934" t="str">
        <f t="shared" si="142"/>
        <v>OK!</v>
      </c>
      <c r="L261" s="934" t="str">
        <f t="shared" si="142"/>
        <v>OK!</v>
      </c>
      <c r="M261" s="934" t="str">
        <f t="shared" si="142"/>
        <v>OK!</v>
      </c>
      <c r="N261" s="934" t="str">
        <f t="shared" si="142"/>
        <v>OK!</v>
      </c>
      <c r="O261" s="934" t="str">
        <f t="shared" si="142"/>
        <v>OK!</v>
      </c>
      <c r="P261" s="934" t="str">
        <f t="shared" si="142"/>
        <v>OK!</v>
      </c>
      <c r="Q261" s="934" t="str">
        <f t="shared" si="142"/>
        <v>OK!</v>
      </c>
      <c r="R261" s="934" t="str">
        <f t="shared" si="142"/>
        <v>OK!</v>
      </c>
      <c r="S261" s="934" t="str">
        <f t="shared" si="143"/>
        <v>OK!</v>
      </c>
      <c r="T261" s="934" t="str">
        <f t="shared" si="143"/>
        <v>OK!</v>
      </c>
    </row>
    <row r="262" spans="1:22" x14ac:dyDescent="0.15">
      <c r="A262" s="960" t="str">
        <f>A$10</f>
        <v>Shpenzimet kapitale</v>
      </c>
      <c r="B262" s="961"/>
      <c r="C262" s="959">
        <f>C263-C260-C261</f>
        <v>2929000</v>
      </c>
      <c r="D262" s="962">
        <f>D263-D260-D261</f>
        <v>3002000</v>
      </c>
      <c r="E262" s="962">
        <f>E263-E260-E261</f>
        <v>3126000</v>
      </c>
      <c r="F262" s="934" t="str">
        <f t="shared" si="142"/>
        <v>OK!</v>
      </c>
      <c r="G262" s="934" t="str">
        <f t="shared" si="142"/>
        <v>OK!</v>
      </c>
      <c r="H262" s="934" t="str">
        <f t="shared" si="142"/>
        <v>OK!</v>
      </c>
      <c r="I262" s="934" t="str">
        <f t="shared" si="142"/>
        <v>OK!</v>
      </c>
      <c r="J262" s="934" t="str">
        <f t="shared" si="142"/>
        <v>OK!</v>
      </c>
      <c r="K262" s="934" t="str">
        <f t="shared" si="142"/>
        <v>OK!</v>
      </c>
      <c r="L262" s="934" t="str">
        <f t="shared" si="142"/>
        <v>OK!</v>
      </c>
      <c r="M262" s="934" t="str">
        <f t="shared" si="142"/>
        <v>OK!</v>
      </c>
      <c r="N262" s="934" t="str">
        <f t="shared" si="142"/>
        <v>OK!</v>
      </c>
      <c r="O262" s="934" t="str">
        <f t="shared" si="142"/>
        <v>OK!</v>
      </c>
      <c r="P262" s="934" t="str">
        <f t="shared" si="142"/>
        <v>OK!</v>
      </c>
      <c r="Q262" s="934" t="str">
        <f t="shared" si="142"/>
        <v>OK!</v>
      </c>
      <c r="R262" s="934" t="str">
        <f t="shared" si="142"/>
        <v>OK!</v>
      </c>
      <c r="S262" s="934" t="str">
        <f t="shared" si="143"/>
        <v>OK!</v>
      </c>
      <c r="T262" s="934" t="str">
        <f t="shared" si="143"/>
        <v>OK!</v>
      </c>
    </row>
    <row r="263" spans="1:22" x14ac:dyDescent="0.15">
      <c r="A263" s="963" t="str">
        <f>A$11</f>
        <v>Tavanet e përgjithshme</v>
      </c>
      <c r="B263" s="964"/>
      <c r="C263" s="959">
        <f>C269+C275</f>
        <v>99335900</v>
      </c>
      <c r="D263" s="959">
        <f>D269+D275</f>
        <v>102823000</v>
      </c>
      <c r="E263" s="959">
        <f>E269+E275</f>
        <v>106667600</v>
      </c>
      <c r="F263" s="934" t="str">
        <f t="shared" si="142"/>
        <v>OK!</v>
      </c>
      <c r="G263" s="934" t="str">
        <f t="shared" si="142"/>
        <v>OK!</v>
      </c>
      <c r="H263" s="934" t="str">
        <f t="shared" si="142"/>
        <v>OK!</v>
      </c>
      <c r="I263" s="934" t="str">
        <f t="shared" si="142"/>
        <v>OK!</v>
      </c>
      <c r="J263" s="934" t="str">
        <f t="shared" si="142"/>
        <v>OK!</v>
      </c>
      <c r="K263" s="934" t="str">
        <f t="shared" si="142"/>
        <v>OK!</v>
      </c>
      <c r="L263" s="934" t="str">
        <f t="shared" si="142"/>
        <v>OK!</v>
      </c>
      <c r="M263" s="934" t="str">
        <f t="shared" si="142"/>
        <v>OK!</v>
      </c>
      <c r="N263" s="934" t="str">
        <f t="shared" si="142"/>
        <v>OK!</v>
      </c>
      <c r="O263" s="934" t="str">
        <f t="shared" si="142"/>
        <v>OK!</v>
      </c>
      <c r="P263" s="934" t="str">
        <f t="shared" si="142"/>
        <v>OK!</v>
      </c>
      <c r="Q263" s="934" t="str">
        <f t="shared" si="142"/>
        <v>OK!</v>
      </c>
      <c r="R263" s="934" t="str">
        <f t="shared" si="142"/>
        <v>OK!</v>
      </c>
      <c r="S263" s="934" t="str">
        <f t="shared" si="143"/>
        <v>OK!</v>
      </c>
      <c r="T263" s="934" t="str">
        <f t="shared" si="143"/>
        <v>OK!</v>
      </c>
    </row>
    <row r="264" spans="1:22" x14ac:dyDescent="0.15">
      <c r="A264" s="965" t="str">
        <f>A$12</f>
        <v>Angazhimet kujtesë</v>
      </c>
      <c r="B264" s="959"/>
      <c r="C264" s="959">
        <f>'(C5) Angazhimet'!D95</f>
        <v>0</v>
      </c>
      <c r="D264" s="962">
        <f>'(C5) Angazhimet'!E95</f>
        <v>0</v>
      </c>
      <c r="E264" s="962">
        <f>'(C5) Angazhimet'!F95</f>
        <v>0</v>
      </c>
      <c r="F264" s="934" t="str">
        <f>IF(C264&gt;C263,"STOPP!","OK!")</f>
        <v>OK!</v>
      </c>
      <c r="G264" s="934" t="str">
        <f t="shared" ref="G264:R264" si="144">IF(D264&lt;0,"STOPP!","OK!")</f>
        <v>OK!</v>
      </c>
      <c r="H264" s="934" t="str">
        <f t="shared" si="144"/>
        <v>OK!</v>
      </c>
      <c r="I264" s="934" t="str">
        <f t="shared" si="144"/>
        <v>OK!</v>
      </c>
      <c r="J264" s="934" t="str">
        <f t="shared" si="144"/>
        <v>OK!</v>
      </c>
      <c r="K264" s="934" t="str">
        <f t="shared" si="144"/>
        <v>OK!</v>
      </c>
      <c r="L264" s="934" t="str">
        <f t="shared" si="144"/>
        <v>OK!</v>
      </c>
      <c r="M264" s="934" t="str">
        <f t="shared" si="144"/>
        <v>OK!</v>
      </c>
      <c r="N264" s="934" t="str">
        <f t="shared" si="144"/>
        <v>OK!</v>
      </c>
      <c r="O264" s="934" t="str">
        <f t="shared" si="144"/>
        <v>OK!</v>
      </c>
      <c r="P264" s="934" t="str">
        <f t="shared" si="144"/>
        <v>OK!</v>
      </c>
      <c r="Q264" s="934" t="str">
        <f t="shared" si="144"/>
        <v>OK!</v>
      </c>
      <c r="R264" s="934" t="str">
        <f t="shared" si="144"/>
        <v>OK!</v>
      </c>
      <c r="S264" s="934" t="str">
        <f>IF(D264&gt;D263,"STOPP!","OK!")</f>
        <v>OK!</v>
      </c>
      <c r="T264" s="934" t="str">
        <f>IF(E264&gt;E263,"STOPP!","OK!")</f>
        <v>OK!</v>
      </c>
    </row>
    <row r="265" spans="1:22" ht="15.75" x14ac:dyDescent="0.15">
      <c r="A265" s="1089" t="str">
        <f>'(B3) Struktura Funksionale'!B81</f>
        <v>06210</v>
      </c>
      <c r="B265" s="1079" t="str">
        <f>'(B3) Struktura Funksionale'!C81</f>
        <v>Programet e zhvillimit</v>
      </c>
      <c r="C265" s="1080"/>
      <c r="D265" s="1080"/>
      <c r="E265" s="1081"/>
      <c r="F265" s="934"/>
      <c r="G265" s="934"/>
      <c r="H265" s="934"/>
      <c r="I265" s="934"/>
      <c r="J265" s="934"/>
      <c r="K265" s="934"/>
      <c r="L265" s="934"/>
      <c r="M265" s="934"/>
      <c r="N265" s="934"/>
      <c r="O265" s="934"/>
      <c r="P265" s="934"/>
      <c r="Q265" s="934"/>
      <c r="R265" s="934"/>
      <c r="S265" s="934"/>
      <c r="T265" s="934"/>
    </row>
    <row r="266" spans="1:22" x14ac:dyDescent="0.15">
      <c r="A266" s="958" t="str">
        <f>A$8</f>
        <v>Pagat dhe sigurimet shoqërore</v>
      </c>
      <c r="B266" s="958"/>
      <c r="C266" s="966"/>
      <c r="D266" s="966"/>
      <c r="E266" s="966"/>
      <c r="F266" s="934" t="str">
        <f t="shared" ref="F266:R269" si="145">IF(C266&lt;0,"STOPP!","OK!")</f>
        <v>OK!</v>
      </c>
      <c r="G266" s="934" t="str">
        <f t="shared" si="145"/>
        <v>OK!</v>
      </c>
      <c r="H266" s="934" t="str">
        <f t="shared" si="145"/>
        <v>OK!</v>
      </c>
      <c r="I266" s="934" t="str">
        <f t="shared" si="145"/>
        <v>OK!</v>
      </c>
      <c r="J266" s="934" t="str">
        <f t="shared" si="145"/>
        <v>OK!</v>
      </c>
      <c r="K266" s="934" t="str">
        <f t="shared" si="145"/>
        <v>OK!</v>
      </c>
      <c r="L266" s="934" t="str">
        <f t="shared" si="145"/>
        <v>OK!</v>
      </c>
      <c r="M266" s="934" t="str">
        <f t="shared" si="145"/>
        <v>OK!</v>
      </c>
      <c r="N266" s="934" t="str">
        <f t="shared" si="145"/>
        <v>OK!</v>
      </c>
      <c r="O266" s="934" t="str">
        <f t="shared" si="145"/>
        <v>OK!</v>
      </c>
      <c r="P266" s="934" t="str">
        <f t="shared" si="145"/>
        <v>OK!</v>
      </c>
      <c r="Q266" s="934" t="str">
        <f t="shared" si="145"/>
        <v>OK!</v>
      </c>
      <c r="R266" s="934" t="str">
        <f t="shared" si="145"/>
        <v>OK!</v>
      </c>
      <c r="S266" s="934" t="str">
        <f t="shared" ref="S266:T269" si="146">IF(D266&lt;0,"STOPP!","OK!")</f>
        <v>OK!</v>
      </c>
      <c r="T266" s="934" t="str">
        <f t="shared" si="146"/>
        <v>OK!</v>
      </c>
    </row>
    <row r="267" spans="1:22" x14ac:dyDescent="0.15">
      <c r="A267" s="958" t="str">
        <f>A$9</f>
        <v>Të tjera shpenzime korrente</v>
      </c>
      <c r="B267" s="958"/>
      <c r="C267" s="967"/>
      <c r="D267" s="967"/>
      <c r="E267" s="967"/>
      <c r="F267" s="934" t="str">
        <f t="shared" si="145"/>
        <v>OK!</v>
      </c>
      <c r="G267" s="934" t="str">
        <f t="shared" si="145"/>
        <v>OK!</v>
      </c>
      <c r="H267" s="934" t="str">
        <f t="shared" si="145"/>
        <v>OK!</v>
      </c>
      <c r="I267" s="934" t="str">
        <f t="shared" si="145"/>
        <v>OK!</v>
      </c>
      <c r="J267" s="934" t="str">
        <f t="shared" si="145"/>
        <v>OK!</v>
      </c>
      <c r="K267" s="934" t="str">
        <f t="shared" si="145"/>
        <v>OK!</v>
      </c>
      <c r="L267" s="934" t="str">
        <f t="shared" si="145"/>
        <v>OK!</v>
      </c>
      <c r="M267" s="934" t="str">
        <f t="shared" si="145"/>
        <v>OK!</v>
      </c>
      <c r="N267" s="934" t="str">
        <f t="shared" si="145"/>
        <v>OK!</v>
      </c>
      <c r="O267" s="934" t="str">
        <f t="shared" si="145"/>
        <v>OK!</v>
      </c>
      <c r="P267" s="934" t="str">
        <f t="shared" si="145"/>
        <v>OK!</v>
      </c>
      <c r="Q267" s="934" t="str">
        <f t="shared" si="145"/>
        <v>OK!</v>
      </c>
      <c r="R267" s="934" t="str">
        <f t="shared" si="145"/>
        <v>OK!</v>
      </c>
      <c r="S267" s="934" t="str">
        <f t="shared" si="146"/>
        <v>OK!</v>
      </c>
      <c r="T267" s="934" t="str">
        <f t="shared" si="146"/>
        <v>OK!</v>
      </c>
    </row>
    <row r="268" spans="1:22" x14ac:dyDescent="0.15">
      <c r="A268" s="960" t="str">
        <f>A$10</f>
        <v>Shpenzimet kapitale</v>
      </c>
      <c r="B268" s="961"/>
      <c r="C268" s="959">
        <f>C269-C266-C267</f>
        <v>0</v>
      </c>
      <c r="D268" s="962">
        <f>D269-D266-D267</f>
        <v>0</v>
      </c>
      <c r="E268" s="962">
        <f>E269-E266-E267</f>
        <v>0</v>
      </c>
      <c r="F268" s="934" t="str">
        <f t="shared" si="145"/>
        <v>OK!</v>
      </c>
      <c r="G268" s="934" t="str">
        <f t="shared" si="145"/>
        <v>OK!</v>
      </c>
      <c r="H268" s="934" t="str">
        <f t="shared" si="145"/>
        <v>OK!</v>
      </c>
      <c r="I268" s="934" t="str">
        <f t="shared" si="145"/>
        <v>OK!</v>
      </c>
      <c r="J268" s="934" t="str">
        <f t="shared" si="145"/>
        <v>OK!</v>
      </c>
      <c r="K268" s="934" t="str">
        <f t="shared" si="145"/>
        <v>OK!</v>
      </c>
      <c r="L268" s="934" t="str">
        <f t="shared" si="145"/>
        <v>OK!</v>
      </c>
      <c r="M268" s="934" t="str">
        <f t="shared" si="145"/>
        <v>OK!</v>
      </c>
      <c r="N268" s="934" t="str">
        <f t="shared" si="145"/>
        <v>OK!</v>
      </c>
      <c r="O268" s="934" t="str">
        <f t="shared" si="145"/>
        <v>OK!</v>
      </c>
      <c r="P268" s="934" t="str">
        <f t="shared" si="145"/>
        <v>OK!</v>
      </c>
      <c r="Q268" s="934" t="str">
        <f t="shared" si="145"/>
        <v>OK!</v>
      </c>
      <c r="R268" s="934" t="str">
        <f t="shared" si="145"/>
        <v>OK!</v>
      </c>
      <c r="S268" s="934" t="str">
        <f t="shared" si="146"/>
        <v>OK!</v>
      </c>
      <c r="T268" s="934" t="str">
        <f t="shared" si="146"/>
        <v>OK!</v>
      </c>
    </row>
    <row r="269" spans="1:22" x14ac:dyDescent="0.15">
      <c r="A269" s="963" t="str">
        <f>A$11</f>
        <v>Tavanet e përgjithshme</v>
      </c>
      <c r="B269" s="964"/>
      <c r="C269" s="968"/>
      <c r="D269" s="969"/>
      <c r="E269" s="969"/>
      <c r="F269" s="934" t="str">
        <f t="shared" si="145"/>
        <v>OK!</v>
      </c>
      <c r="G269" s="934" t="str">
        <f t="shared" si="145"/>
        <v>OK!</v>
      </c>
      <c r="H269" s="934" t="str">
        <f t="shared" si="145"/>
        <v>OK!</v>
      </c>
      <c r="I269" s="934" t="str">
        <f t="shared" si="145"/>
        <v>OK!</v>
      </c>
      <c r="J269" s="934" t="str">
        <f t="shared" si="145"/>
        <v>OK!</v>
      </c>
      <c r="K269" s="934" t="str">
        <f t="shared" si="145"/>
        <v>OK!</v>
      </c>
      <c r="L269" s="934" t="str">
        <f t="shared" si="145"/>
        <v>OK!</v>
      </c>
      <c r="M269" s="934" t="str">
        <f t="shared" si="145"/>
        <v>OK!</v>
      </c>
      <c r="N269" s="934" t="str">
        <f t="shared" si="145"/>
        <v>OK!</v>
      </c>
      <c r="O269" s="934" t="str">
        <f t="shared" si="145"/>
        <v>OK!</v>
      </c>
      <c r="P269" s="934" t="str">
        <f t="shared" si="145"/>
        <v>OK!</v>
      </c>
      <c r="Q269" s="934" t="str">
        <f t="shared" si="145"/>
        <v>OK!</v>
      </c>
      <c r="R269" s="934" t="str">
        <f t="shared" si="145"/>
        <v>OK!</v>
      </c>
      <c r="S269" s="934" t="str">
        <f t="shared" si="146"/>
        <v>OK!</v>
      </c>
      <c r="T269" s="934" t="str">
        <f t="shared" si="146"/>
        <v>OK!</v>
      </c>
    </row>
    <row r="270" spans="1:22" x14ac:dyDescent="0.15">
      <c r="A270" s="965" t="str">
        <f>A$12</f>
        <v>Angazhimet kujtesë</v>
      </c>
      <c r="B270" s="959"/>
      <c r="C270" s="959">
        <f>'(C5) Angazhimet'!D92</f>
        <v>0</v>
      </c>
      <c r="D270" s="959">
        <f>'(C5) Angazhimet'!E92</f>
        <v>0</v>
      </c>
      <c r="E270" s="959">
        <f>'(C5) Angazhimet'!F92</f>
        <v>0</v>
      </c>
      <c r="F270" s="934" t="str">
        <f>IF(C270&gt;C269,"STOPP!","OK!")</f>
        <v>OK!</v>
      </c>
      <c r="G270" s="934" t="str">
        <f t="shared" ref="G270:R270" si="147">IF(D270&lt;0,"STOPP!","OK!")</f>
        <v>OK!</v>
      </c>
      <c r="H270" s="934" t="str">
        <f t="shared" si="147"/>
        <v>OK!</v>
      </c>
      <c r="I270" s="934" t="str">
        <f t="shared" si="147"/>
        <v>OK!</v>
      </c>
      <c r="J270" s="934" t="str">
        <f t="shared" si="147"/>
        <v>OK!</v>
      </c>
      <c r="K270" s="934" t="str">
        <f t="shared" si="147"/>
        <v>OK!</v>
      </c>
      <c r="L270" s="934" t="str">
        <f t="shared" si="147"/>
        <v>OK!</v>
      </c>
      <c r="M270" s="934" t="str">
        <f t="shared" si="147"/>
        <v>OK!</v>
      </c>
      <c r="N270" s="934" t="str">
        <f t="shared" si="147"/>
        <v>OK!</v>
      </c>
      <c r="O270" s="934" t="str">
        <f t="shared" si="147"/>
        <v>OK!</v>
      </c>
      <c r="P270" s="934" t="str">
        <f t="shared" si="147"/>
        <v>OK!</v>
      </c>
      <c r="Q270" s="934" t="str">
        <f t="shared" si="147"/>
        <v>OK!</v>
      </c>
      <c r="R270" s="934" t="str">
        <f t="shared" si="147"/>
        <v>OK!</v>
      </c>
      <c r="S270" s="934" t="str">
        <f>IF(D270&gt;D269,"STOPP!","OK!")</f>
        <v>OK!</v>
      </c>
      <c r="T270" s="934" t="str">
        <f>IF(E270&gt;E269,"STOPP!","OK!")</f>
        <v>OK!</v>
      </c>
    </row>
    <row r="271" spans="1:22" ht="18.75" customHeight="1" x14ac:dyDescent="0.15">
      <c r="A271" s="1021" t="str">
        <f>'(B3) Struktura Funksionale'!B82</f>
        <v>06260</v>
      </c>
      <c r="B271" s="1079" t="str">
        <f>'(B3) Struktura Funksionale'!C82</f>
        <v>Sherbime publike vendore</v>
      </c>
      <c r="C271" s="1080"/>
      <c r="D271" s="1080"/>
      <c r="E271" s="1081"/>
      <c r="F271" s="934"/>
      <c r="G271" s="934"/>
      <c r="H271" s="934"/>
      <c r="I271" s="934"/>
      <c r="J271" s="934"/>
      <c r="K271" s="934"/>
      <c r="L271" s="934"/>
      <c r="M271" s="934"/>
      <c r="N271" s="934"/>
      <c r="O271" s="934"/>
      <c r="P271" s="934"/>
      <c r="Q271" s="934"/>
      <c r="R271" s="934"/>
      <c r="S271" s="934"/>
      <c r="T271" s="934"/>
    </row>
    <row r="272" spans="1:22" x14ac:dyDescent="0.15">
      <c r="A272" s="958" t="str">
        <f>A$8</f>
        <v>Pagat dhe sigurimet shoqërore</v>
      </c>
      <c r="B272" s="958"/>
      <c r="C272" s="966">
        <f>27800900+46296000</f>
        <v>74096900</v>
      </c>
      <c r="D272" s="966">
        <f>48610000+28300800</f>
        <v>76910800</v>
      </c>
      <c r="E272" s="966">
        <f>51050000+28800800</f>
        <v>79850800</v>
      </c>
      <c r="F272" s="934" t="str">
        <f t="shared" ref="F272:R275" si="148">IF(C272&lt;0,"STOPP!","OK!")</f>
        <v>OK!</v>
      </c>
      <c r="G272" s="934" t="str">
        <f t="shared" si="148"/>
        <v>OK!</v>
      </c>
      <c r="H272" s="934" t="str">
        <f t="shared" si="148"/>
        <v>OK!</v>
      </c>
      <c r="I272" s="934" t="str">
        <f t="shared" si="148"/>
        <v>OK!</v>
      </c>
      <c r="J272" s="934" t="str">
        <f t="shared" si="148"/>
        <v>OK!</v>
      </c>
      <c r="K272" s="934" t="str">
        <f t="shared" si="148"/>
        <v>OK!</v>
      </c>
      <c r="L272" s="934" t="str">
        <f t="shared" si="148"/>
        <v>OK!</v>
      </c>
      <c r="M272" s="934" t="str">
        <f t="shared" si="148"/>
        <v>OK!</v>
      </c>
      <c r="N272" s="934" t="str">
        <f t="shared" si="148"/>
        <v>OK!</v>
      </c>
      <c r="O272" s="934" t="str">
        <f t="shared" si="148"/>
        <v>OK!</v>
      </c>
      <c r="P272" s="934" t="str">
        <f t="shared" si="148"/>
        <v>OK!</v>
      </c>
      <c r="Q272" s="934" t="str">
        <f t="shared" si="148"/>
        <v>OK!</v>
      </c>
      <c r="R272" s="934" t="str">
        <f t="shared" si="148"/>
        <v>OK!</v>
      </c>
      <c r="S272" s="934" t="str">
        <f t="shared" ref="S272:T275" si="149">IF(D272&lt;0,"STOPP!","OK!")</f>
        <v>OK!</v>
      </c>
      <c r="T272" s="934" t="str">
        <f t="shared" si="149"/>
        <v>OK!</v>
      </c>
      <c r="V272" s="935"/>
    </row>
    <row r="273" spans="1:22" x14ac:dyDescent="0.15">
      <c r="A273" s="958" t="str">
        <f>A$9</f>
        <v>Të tjera shpenzime korrente</v>
      </c>
      <c r="B273" s="958"/>
      <c r="C273" s="967">
        <f>15850000+6460000</f>
        <v>22310000</v>
      </c>
      <c r="D273" s="967">
        <f>16330000+6580200</f>
        <v>22910200</v>
      </c>
      <c r="E273" s="967">
        <f>16980000+6710800</f>
        <v>23690800</v>
      </c>
      <c r="F273" s="934" t="str">
        <f t="shared" si="148"/>
        <v>OK!</v>
      </c>
      <c r="G273" s="934" t="str">
        <f t="shared" si="148"/>
        <v>OK!</v>
      </c>
      <c r="H273" s="934" t="str">
        <f t="shared" si="148"/>
        <v>OK!</v>
      </c>
      <c r="I273" s="934" t="str">
        <f t="shared" si="148"/>
        <v>OK!</v>
      </c>
      <c r="J273" s="934" t="str">
        <f t="shared" si="148"/>
        <v>OK!</v>
      </c>
      <c r="K273" s="934" t="str">
        <f t="shared" si="148"/>
        <v>OK!</v>
      </c>
      <c r="L273" s="934" t="str">
        <f t="shared" si="148"/>
        <v>OK!</v>
      </c>
      <c r="M273" s="934" t="str">
        <f t="shared" si="148"/>
        <v>OK!</v>
      </c>
      <c r="N273" s="934" t="str">
        <f t="shared" si="148"/>
        <v>OK!</v>
      </c>
      <c r="O273" s="934" t="str">
        <f t="shared" si="148"/>
        <v>OK!</v>
      </c>
      <c r="P273" s="934" t="str">
        <f t="shared" si="148"/>
        <v>OK!</v>
      </c>
      <c r="Q273" s="934" t="str">
        <f t="shared" si="148"/>
        <v>OK!</v>
      </c>
      <c r="R273" s="934" t="str">
        <f t="shared" si="148"/>
        <v>OK!</v>
      </c>
      <c r="S273" s="934" t="str">
        <f t="shared" si="149"/>
        <v>OK!</v>
      </c>
      <c r="T273" s="934" t="str">
        <f t="shared" si="149"/>
        <v>OK!</v>
      </c>
      <c r="V273" s="935"/>
    </row>
    <row r="274" spans="1:22" x14ac:dyDescent="0.15">
      <c r="A274" s="960" t="str">
        <f>A$10</f>
        <v>Shpenzimet kapitale</v>
      </c>
      <c r="B274" s="961"/>
      <c r="C274" s="959">
        <f>C275-C272-C273</f>
        <v>2929000</v>
      </c>
      <c r="D274" s="959">
        <f>D275-D272-D273</f>
        <v>3002000</v>
      </c>
      <c r="E274" s="959">
        <f>E275-E272-E273</f>
        <v>3126000</v>
      </c>
      <c r="F274" s="934" t="str">
        <f t="shared" si="148"/>
        <v>OK!</v>
      </c>
      <c r="G274" s="934" t="str">
        <f t="shared" si="148"/>
        <v>OK!</v>
      </c>
      <c r="H274" s="934" t="str">
        <f t="shared" si="148"/>
        <v>OK!</v>
      </c>
      <c r="I274" s="934" t="str">
        <f t="shared" si="148"/>
        <v>OK!</v>
      </c>
      <c r="J274" s="934" t="str">
        <f t="shared" si="148"/>
        <v>OK!</v>
      </c>
      <c r="K274" s="934" t="str">
        <f t="shared" si="148"/>
        <v>OK!</v>
      </c>
      <c r="L274" s="934" t="str">
        <f t="shared" si="148"/>
        <v>OK!</v>
      </c>
      <c r="M274" s="934" t="str">
        <f t="shared" si="148"/>
        <v>OK!</v>
      </c>
      <c r="N274" s="934" t="str">
        <f t="shared" si="148"/>
        <v>OK!</v>
      </c>
      <c r="O274" s="934" t="str">
        <f t="shared" si="148"/>
        <v>OK!</v>
      </c>
      <c r="P274" s="934" t="str">
        <f t="shared" si="148"/>
        <v>OK!</v>
      </c>
      <c r="Q274" s="934" t="str">
        <f t="shared" si="148"/>
        <v>OK!</v>
      </c>
      <c r="R274" s="934" t="str">
        <f t="shared" si="148"/>
        <v>OK!</v>
      </c>
      <c r="S274" s="934" t="str">
        <f t="shared" si="149"/>
        <v>OK!</v>
      </c>
      <c r="T274" s="934" t="str">
        <f t="shared" si="149"/>
        <v>OK!</v>
      </c>
      <c r="V274" s="935"/>
    </row>
    <row r="275" spans="1:22" x14ac:dyDescent="0.15">
      <c r="A275" s="963" t="str">
        <f>A$11</f>
        <v>Tavanet e përgjithshme</v>
      </c>
      <c r="B275" s="964"/>
      <c r="C275" s="968">
        <v>99335900</v>
      </c>
      <c r="D275" s="968">
        <f>252823000-150000000</f>
        <v>102823000</v>
      </c>
      <c r="E275" s="968">
        <f>256667600-150000000</f>
        <v>106667600</v>
      </c>
      <c r="F275" s="934" t="str">
        <f t="shared" si="148"/>
        <v>OK!</v>
      </c>
      <c r="G275" s="934" t="str">
        <f t="shared" si="148"/>
        <v>OK!</v>
      </c>
      <c r="H275" s="934" t="str">
        <f t="shared" si="148"/>
        <v>OK!</v>
      </c>
      <c r="I275" s="934" t="str">
        <f t="shared" si="148"/>
        <v>OK!</v>
      </c>
      <c r="J275" s="934" t="str">
        <f t="shared" si="148"/>
        <v>OK!</v>
      </c>
      <c r="K275" s="934" t="str">
        <f t="shared" si="148"/>
        <v>OK!</v>
      </c>
      <c r="L275" s="934" t="str">
        <f t="shared" si="148"/>
        <v>OK!</v>
      </c>
      <c r="M275" s="934" t="str">
        <f t="shared" si="148"/>
        <v>OK!</v>
      </c>
      <c r="N275" s="934" t="str">
        <f t="shared" si="148"/>
        <v>OK!</v>
      </c>
      <c r="O275" s="934" t="str">
        <f t="shared" si="148"/>
        <v>OK!</v>
      </c>
      <c r="P275" s="934" t="str">
        <f t="shared" si="148"/>
        <v>OK!</v>
      </c>
      <c r="Q275" s="934" t="str">
        <f t="shared" si="148"/>
        <v>OK!</v>
      </c>
      <c r="R275" s="934" t="str">
        <f t="shared" si="148"/>
        <v>OK!</v>
      </c>
      <c r="S275" s="934" t="str">
        <f t="shared" si="149"/>
        <v>OK!</v>
      </c>
      <c r="T275" s="934" t="str">
        <f t="shared" si="149"/>
        <v>OK!</v>
      </c>
      <c r="V275" s="935"/>
    </row>
    <row r="276" spans="1:22" x14ac:dyDescent="0.15">
      <c r="A276" s="965" t="str">
        <f>A$12</f>
        <v>Angazhimet kujtesë</v>
      </c>
      <c r="B276" s="959"/>
      <c r="C276" s="959">
        <f>'(C5) Angazhimet'!D93</f>
        <v>0</v>
      </c>
      <c r="D276" s="959">
        <f>'(C5) Angazhimet'!E93</f>
        <v>0</v>
      </c>
      <c r="E276" s="959">
        <f>'(C5) Angazhimet'!F93</f>
        <v>0</v>
      </c>
      <c r="F276" s="934" t="str">
        <f>IF(C276&gt;C275,"STOPP!","OK!")</f>
        <v>OK!</v>
      </c>
      <c r="G276" s="934" t="str">
        <f t="shared" ref="G276:R276" si="150">IF(D276&lt;0,"STOPP!","OK!")</f>
        <v>OK!</v>
      </c>
      <c r="H276" s="934" t="str">
        <f t="shared" si="150"/>
        <v>OK!</v>
      </c>
      <c r="I276" s="934" t="str">
        <f t="shared" si="150"/>
        <v>OK!</v>
      </c>
      <c r="J276" s="934" t="str">
        <f t="shared" si="150"/>
        <v>OK!</v>
      </c>
      <c r="K276" s="934" t="str">
        <f t="shared" si="150"/>
        <v>OK!</v>
      </c>
      <c r="L276" s="934" t="str">
        <f t="shared" si="150"/>
        <v>OK!</v>
      </c>
      <c r="M276" s="934" t="str">
        <f t="shared" si="150"/>
        <v>OK!</v>
      </c>
      <c r="N276" s="934" t="str">
        <f t="shared" si="150"/>
        <v>OK!</v>
      </c>
      <c r="O276" s="934" t="str">
        <f t="shared" si="150"/>
        <v>OK!</v>
      </c>
      <c r="P276" s="934" t="str">
        <f t="shared" si="150"/>
        <v>OK!</v>
      </c>
      <c r="Q276" s="934" t="str">
        <f t="shared" si="150"/>
        <v>OK!</v>
      </c>
      <c r="R276" s="934" t="str">
        <f t="shared" si="150"/>
        <v>OK!</v>
      </c>
      <c r="S276" s="934" t="str">
        <f>IF(D276&gt;D275,"STOPP!","OK!")</f>
        <v>OK!</v>
      </c>
      <c r="T276" s="934" t="str">
        <f>IF(E276&gt;E275,"STOPP!","OK!")</f>
        <v>OK!</v>
      </c>
    </row>
    <row r="277" spans="1:22" ht="23.25" customHeight="1" x14ac:dyDescent="0.25">
      <c r="A277" s="1082" t="str">
        <f>'(B2) Struktura Organizative'!A22</f>
        <v>Nënfunksioni 16</v>
      </c>
      <c r="B277" s="1076" t="str">
        <f>'(B2) Struktura Organizative'!B22</f>
        <v>063 Furnizimi me ujë</v>
      </c>
      <c r="C277" s="1077"/>
      <c r="D277" s="1077"/>
      <c r="E277" s="1078"/>
      <c r="G277" s="933">
        <f>C281</f>
        <v>0</v>
      </c>
      <c r="H277" s="933">
        <f>D281</f>
        <v>0</v>
      </c>
      <c r="I277" s="933">
        <f>E281</f>
        <v>0</v>
      </c>
      <c r="J277" s="933">
        <f>C278</f>
        <v>0</v>
      </c>
      <c r="K277" s="933">
        <f>D278</f>
        <v>0</v>
      </c>
      <c r="L277" s="933">
        <f>E278</f>
        <v>0</v>
      </c>
      <c r="M277" s="933">
        <f>C279</f>
        <v>0</v>
      </c>
      <c r="N277" s="933">
        <f>D279</f>
        <v>0</v>
      </c>
      <c r="O277" s="933">
        <f>E279</f>
        <v>0</v>
      </c>
      <c r="P277" s="933">
        <f>C280</f>
        <v>0</v>
      </c>
      <c r="Q277" s="933">
        <f>D280</f>
        <v>0</v>
      </c>
      <c r="R277" s="933">
        <f>E280</f>
        <v>0</v>
      </c>
    </row>
    <row r="278" spans="1:22" x14ac:dyDescent="0.15">
      <c r="A278" s="958" t="str">
        <f>A$8</f>
        <v>Pagat dhe sigurimet shoqërore</v>
      </c>
      <c r="B278" s="958"/>
      <c r="C278" s="959">
        <f t="shared" ref="C278:E279" si="151">C284</f>
        <v>0</v>
      </c>
      <c r="D278" s="959">
        <f t="shared" si="151"/>
        <v>0</v>
      </c>
      <c r="E278" s="959">
        <f t="shared" si="151"/>
        <v>0</v>
      </c>
      <c r="F278" s="934" t="str">
        <f t="shared" ref="F278:R281" si="152">IF(C278&lt;0,"STOPP!","OK!")</f>
        <v>OK!</v>
      </c>
      <c r="G278" s="934" t="str">
        <f t="shared" si="152"/>
        <v>OK!</v>
      </c>
      <c r="H278" s="934" t="str">
        <f t="shared" si="152"/>
        <v>OK!</v>
      </c>
      <c r="I278" s="934" t="str">
        <f t="shared" si="152"/>
        <v>OK!</v>
      </c>
      <c r="J278" s="934" t="str">
        <f t="shared" si="152"/>
        <v>OK!</v>
      </c>
      <c r="K278" s="934" t="str">
        <f t="shared" si="152"/>
        <v>OK!</v>
      </c>
      <c r="L278" s="934" t="str">
        <f t="shared" si="152"/>
        <v>OK!</v>
      </c>
      <c r="M278" s="934" t="str">
        <f t="shared" si="152"/>
        <v>OK!</v>
      </c>
      <c r="N278" s="934" t="str">
        <f t="shared" si="152"/>
        <v>OK!</v>
      </c>
      <c r="O278" s="934" t="str">
        <f t="shared" si="152"/>
        <v>OK!</v>
      </c>
      <c r="P278" s="934" t="str">
        <f t="shared" si="152"/>
        <v>OK!</v>
      </c>
      <c r="Q278" s="934" t="str">
        <f t="shared" si="152"/>
        <v>OK!</v>
      </c>
      <c r="R278" s="934" t="str">
        <f t="shared" si="152"/>
        <v>OK!</v>
      </c>
      <c r="S278" s="934" t="str">
        <f t="shared" ref="S278:T281" si="153">IF(D278&lt;0,"STOPP!","OK!")</f>
        <v>OK!</v>
      </c>
      <c r="T278" s="934" t="str">
        <f t="shared" si="153"/>
        <v>OK!</v>
      </c>
    </row>
    <row r="279" spans="1:22" x14ac:dyDescent="0.15">
      <c r="A279" s="958" t="str">
        <f>A$9</f>
        <v>Të tjera shpenzime korrente</v>
      </c>
      <c r="B279" s="958"/>
      <c r="C279" s="959">
        <f t="shared" si="151"/>
        <v>0</v>
      </c>
      <c r="D279" s="959">
        <f t="shared" si="151"/>
        <v>0</v>
      </c>
      <c r="E279" s="959">
        <f t="shared" si="151"/>
        <v>0</v>
      </c>
      <c r="F279" s="934" t="str">
        <f t="shared" si="152"/>
        <v>OK!</v>
      </c>
      <c r="G279" s="934" t="str">
        <f t="shared" si="152"/>
        <v>OK!</v>
      </c>
      <c r="H279" s="934" t="str">
        <f t="shared" si="152"/>
        <v>OK!</v>
      </c>
      <c r="I279" s="934" t="str">
        <f t="shared" si="152"/>
        <v>OK!</v>
      </c>
      <c r="J279" s="934" t="str">
        <f t="shared" si="152"/>
        <v>OK!</v>
      </c>
      <c r="K279" s="934" t="str">
        <f t="shared" si="152"/>
        <v>OK!</v>
      </c>
      <c r="L279" s="934" t="str">
        <f t="shared" si="152"/>
        <v>OK!</v>
      </c>
      <c r="M279" s="934" t="str">
        <f t="shared" si="152"/>
        <v>OK!</v>
      </c>
      <c r="N279" s="934" t="str">
        <f t="shared" si="152"/>
        <v>OK!</v>
      </c>
      <c r="O279" s="934" t="str">
        <f t="shared" si="152"/>
        <v>OK!</v>
      </c>
      <c r="P279" s="934" t="str">
        <f t="shared" si="152"/>
        <v>OK!</v>
      </c>
      <c r="Q279" s="934" t="str">
        <f t="shared" si="152"/>
        <v>OK!</v>
      </c>
      <c r="R279" s="934" t="str">
        <f t="shared" si="152"/>
        <v>OK!</v>
      </c>
      <c r="S279" s="934" t="str">
        <f t="shared" si="153"/>
        <v>OK!</v>
      </c>
      <c r="T279" s="934" t="str">
        <f t="shared" si="153"/>
        <v>OK!</v>
      </c>
    </row>
    <row r="280" spans="1:22" x14ac:dyDescent="0.15">
      <c r="A280" s="960" t="str">
        <f>A$10</f>
        <v>Shpenzimet kapitale</v>
      </c>
      <c r="B280" s="961"/>
      <c r="C280" s="959">
        <f>C281-C278-C279</f>
        <v>0</v>
      </c>
      <c r="D280" s="962">
        <f>D281-D278-D279</f>
        <v>0</v>
      </c>
      <c r="E280" s="962">
        <f>E281-E278-E279</f>
        <v>0</v>
      </c>
      <c r="F280" s="934" t="str">
        <f t="shared" si="152"/>
        <v>OK!</v>
      </c>
      <c r="G280" s="934" t="str">
        <f t="shared" si="152"/>
        <v>OK!</v>
      </c>
      <c r="H280" s="934" t="str">
        <f t="shared" si="152"/>
        <v>OK!</v>
      </c>
      <c r="I280" s="934" t="str">
        <f t="shared" si="152"/>
        <v>OK!</v>
      </c>
      <c r="J280" s="934" t="str">
        <f t="shared" si="152"/>
        <v>OK!</v>
      </c>
      <c r="K280" s="934" t="str">
        <f t="shared" si="152"/>
        <v>OK!</v>
      </c>
      <c r="L280" s="934" t="str">
        <f t="shared" si="152"/>
        <v>OK!</v>
      </c>
      <c r="M280" s="934" t="str">
        <f t="shared" si="152"/>
        <v>OK!</v>
      </c>
      <c r="N280" s="934" t="str">
        <f t="shared" si="152"/>
        <v>OK!</v>
      </c>
      <c r="O280" s="934" t="str">
        <f t="shared" si="152"/>
        <v>OK!</v>
      </c>
      <c r="P280" s="934" t="str">
        <f t="shared" si="152"/>
        <v>OK!</v>
      </c>
      <c r="Q280" s="934" t="str">
        <f t="shared" si="152"/>
        <v>OK!</v>
      </c>
      <c r="R280" s="934" t="str">
        <f t="shared" si="152"/>
        <v>OK!</v>
      </c>
      <c r="S280" s="934" t="str">
        <f t="shared" si="153"/>
        <v>OK!</v>
      </c>
      <c r="T280" s="934" t="str">
        <f t="shared" si="153"/>
        <v>OK!</v>
      </c>
    </row>
    <row r="281" spans="1:22" x14ac:dyDescent="0.15">
      <c r="A281" s="963" t="str">
        <f>A$11</f>
        <v>Tavanet e përgjithshme</v>
      </c>
      <c r="B281" s="964"/>
      <c r="C281" s="959">
        <f>C287</f>
        <v>0</v>
      </c>
      <c r="D281" s="959">
        <f>D287</f>
        <v>0</v>
      </c>
      <c r="E281" s="959">
        <f>E287</f>
        <v>0</v>
      </c>
      <c r="F281" s="934" t="str">
        <f t="shared" si="152"/>
        <v>OK!</v>
      </c>
      <c r="G281" s="934" t="str">
        <f t="shared" si="152"/>
        <v>OK!</v>
      </c>
      <c r="H281" s="934" t="str">
        <f t="shared" si="152"/>
        <v>OK!</v>
      </c>
      <c r="I281" s="934" t="str">
        <f t="shared" si="152"/>
        <v>OK!</v>
      </c>
      <c r="J281" s="934" t="str">
        <f t="shared" si="152"/>
        <v>OK!</v>
      </c>
      <c r="K281" s="934" t="str">
        <f t="shared" si="152"/>
        <v>OK!</v>
      </c>
      <c r="L281" s="934" t="str">
        <f t="shared" si="152"/>
        <v>OK!</v>
      </c>
      <c r="M281" s="934" t="str">
        <f t="shared" si="152"/>
        <v>OK!</v>
      </c>
      <c r="N281" s="934" t="str">
        <f t="shared" si="152"/>
        <v>OK!</v>
      </c>
      <c r="O281" s="934" t="str">
        <f t="shared" si="152"/>
        <v>OK!</v>
      </c>
      <c r="P281" s="934" t="str">
        <f t="shared" si="152"/>
        <v>OK!</v>
      </c>
      <c r="Q281" s="934" t="str">
        <f t="shared" si="152"/>
        <v>OK!</v>
      </c>
      <c r="R281" s="934" t="str">
        <f t="shared" si="152"/>
        <v>OK!</v>
      </c>
      <c r="S281" s="934" t="str">
        <f t="shared" si="153"/>
        <v>OK!</v>
      </c>
      <c r="T281" s="934" t="str">
        <f t="shared" si="153"/>
        <v>OK!</v>
      </c>
    </row>
    <row r="282" spans="1:22" x14ac:dyDescent="0.15">
      <c r="A282" s="965" t="str">
        <f>A$12</f>
        <v>Angazhimet kujtesë</v>
      </c>
      <c r="B282" s="959"/>
      <c r="C282" s="959">
        <f>'(C5) Angazhimet'!D100</f>
        <v>0</v>
      </c>
      <c r="D282" s="962">
        <f>'(C5) Angazhimet'!E100</f>
        <v>0</v>
      </c>
      <c r="E282" s="962">
        <f>'(C5) Angazhimet'!F100</f>
        <v>0</v>
      </c>
      <c r="F282" s="934" t="str">
        <f>IF(C282&gt;C281,"STOPP!","OK!")</f>
        <v>OK!</v>
      </c>
      <c r="G282" s="934" t="str">
        <f t="shared" ref="G282:R282" si="154">IF(D282&lt;0,"STOPP!","OK!")</f>
        <v>OK!</v>
      </c>
      <c r="H282" s="934" t="str">
        <f t="shared" si="154"/>
        <v>OK!</v>
      </c>
      <c r="I282" s="934" t="str">
        <f t="shared" si="154"/>
        <v>OK!</v>
      </c>
      <c r="J282" s="934" t="str">
        <f t="shared" si="154"/>
        <v>OK!</v>
      </c>
      <c r="K282" s="934" t="str">
        <f t="shared" si="154"/>
        <v>OK!</v>
      </c>
      <c r="L282" s="934" t="str">
        <f t="shared" si="154"/>
        <v>OK!</v>
      </c>
      <c r="M282" s="934" t="str">
        <f t="shared" si="154"/>
        <v>OK!</v>
      </c>
      <c r="N282" s="934" t="str">
        <f t="shared" si="154"/>
        <v>OK!</v>
      </c>
      <c r="O282" s="934" t="str">
        <f t="shared" si="154"/>
        <v>OK!</v>
      </c>
      <c r="P282" s="934" t="str">
        <f t="shared" si="154"/>
        <v>OK!</v>
      </c>
      <c r="Q282" s="934" t="str">
        <f t="shared" si="154"/>
        <v>OK!</v>
      </c>
      <c r="R282" s="934" t="str">
        <f t="shared" si="154"/>
        <v>OK!</v>
      </c>
      <c r="S282" s="934" t="str">
        <f>IF(D282&gt;D281,"STOPP!","OK!")</f>
        <v>OK!</v>
      </c>
      <c r="T282" s="934" t="str">
        <f>IF(E282&gt;E281,"STOPP!","OK!")</f>
        <v>OK!</v>
      </c>
    </row>
    <row r="283" spans="1:22" ht="16.5" customHeight="1" x14ac:dyDescent="0.15">
      <c r="A283" s="1082" t="str">
        <f>'(B3) Struktura Funksionale'!B85</f>
        <v>06330</v>
      </c>
      <c r="B283" s="1076" t="str">
        <f>'(B3) Struktura Funksionale'!C85</f>
        <v xml:space="preserve">Furnizimi me ujë </v>
      </c>
      <c r="C283" s="1077"/>
      <c r="D283" s="1077"/>
      <c r="E283" s="1078"/>
      <c r="F283" s="934"/>
      <c r="G283" s="934"/>
      <c r="H283" s="934"/>
      <c r="I283" s="934"/>
      <c r="J283" s="934"/>
      <c r="K283" s="934"/>
      <c r="L283" s="934"/>
      <c r="M283" s="934"/>
      <c r="N283" s="934"/>
      <c r="O283" s="934"/>
      <c r="P283" s="934"/>
      <c r="Q283" s="934"/>
      <c r="R283" s="934"/>
      <c r="S283" s="934"/>
      <c r="T283" s="934"/>
    </row>
    <row r="284" spans="1:22" x14ac:dyDescent="0.15">
      <c r="A284" s="958" t="str">
        <f>A$8</f>
        <v>Pagat dhe sigurimet shoqërore</v>
      </c>
      <c r="B284" s="958"/>
      <c r="C284" s="966"/>
      <c r="D284" s="966"/>
      <c r="E284" s="966"/>
      <c r="F284" s="934" t="str">
        <f t="shared" ref="F284:R287" si="155">IF(C284&lt;0,"STOPP!","OK!")</f>
        <v>OK!</v>
      </c>
      <c r="G284" s="934" t="str">
        <f t="shared" si="155"/>
        <v>OK!</v>
      </c>
      <c r="H284" s="934" t="str">
        <f t="shared" si="155"/>
        <v>OK!</v>
      </c>
      <c r="I284" s="934" t="str">
        <f t="shared" si="155"/>
        <v>OK!</v>
      </c>
      <c r="J284" s="934" t="str">
        <f t="shared" si="155"/>
        <v>OK!</v>
      </c>
      <c r="K284" s="934" t="str">
        <f t="shared" si="155"/>
        <v>OK!</v>
      </c>
      <c r="L284" s="934" t="str">
        <f t="shared" si="155"/>
        <v>OK!</v>
      </c>
      <c r="M284" s="934" t="str">
        <f t="shared" si="155"/>
        <v>OK!</v>
      </c>
      <c r="N284" s="934" t="str">
        <f t="shared" si="155"/>
        <v>OK!</v>
      </c>
      <c r="O284" s="934" t="str">
        <f t="shared" si="155"/>
        <v>OK!</v>
      </c>
      <c r="P284" s="934" t="str">
        <f t="shared" si="155"/>
        <v>OK!</v>
      </c>
      <c r="Q284" s="934" t="str">
        <f t="shared" si="155"/>
        <v>OK!</v>
      </c>
      <c r="R284" s="934" t="str">
        <f t="shared" si="155"/>
        <v>OK!</v>
      </c>
      <c r="S284" s="934" t="str">
        <f t="shared" ref="S284:T287" si="156">IF(D284&lt;0,"STOPP!","OK!")</f>
        <v>OK!</v>
      </c>
      <c r="T284" s="934" t="str">
        <f t="shared" si="156"/>
        <v>OK!</v>
      </c>
    </row>
    <row r="285" spans="1:22" x14ac:dyDescent="0.15">
      <c r="A285" s="958" t="str">
        <f>A$9</f>
        <v>Të tjera shpenzime korrente</v>
      </c>
      <c r="B285" s="958"/>
      <c r="C285" s="967"/>
      <c r="D285" s="967"/>
      <c r="E285" s="967"/>
      <c r="F285" s="934" t="str">
        <f t="shared" si="155"/>
        <v>OK!</v>
      </c>
      <c r="G285" s="934" t="str">
        <f t="shared" si="155"/>
        <v>OK!</v>
      </c>
      <c r="H285" s="934" t="str">
        <f t="shared" si="155"/>
        <v>OK!</v>
      </c>
      <c r="I285" s="934" t="str">
        <f t="shared" si="155"/>
        <v>OK!</v>
      </c>
      <c r="J285" s="934" t="str">
        <f t="shared" si="155"/>
        <v>OK!</v>
      </c>
      <c r="K285" s="934" t="str">
        <f t="shared" si="155"/>
        <v>OK!</v>
      </c>
      <c r="L285" s="934" t="str">
        <f t="shared" si="155"/>
        <v>OK!</v>
      </c>
      <c r="M285" s="934" t="str">
        <f t="shared" si="155"/>
        <v>OK!</v>
      </c>
      <c r="N285" s="934" t="str">
        <f t="shared" si="155"/>
        <v>OK!</v>
      </c>
      <c r="O285" s="934" t="str">
        <f t="shared" si="155"/>
        <v>OK!</v>
      </c>
      <c r="P285" s="934" t="str">
        <f t="shared" si="155"/>
        <v>OK!</v>
      </c>
      <c r="Q285" s="934" t="str">
        <f t="shared" si="155"/>
        <v>OK!</v>
      </c>
      <c r="R285" s="934" t="str">
        <f t="shared" si="155"/>
        <v>OK!</v>
      </c>
      <c r="S285" s="934" t="str">
        <f t="shared" si="156"/>
        <v>OK!</v>
      </c>
      <c r="T285" s="934" t="str">
        <f t="shared" si="156"/>
        <v>OK!</v>
      </c>
    </row>
    <row r="286" spans="1:22" x14ac:dyDescent="0.15">
      <c r="A286" s="960" t="str">
        <f>A$10</f>
        <v>Shpenzimet kapitale</v>
      </c>
      <c r="B286" s="961"/>
      <c r="C286" s="959">
        <f>C287-C284-C285</f>
        <v>0</v>
      </c>
      <c r="D286" s="962">
        <f>D287-D284-D285</f>
        <v>0</v>
      </c>
      <c r="E286" s="962">
        <f>E287-E284-E285</f>
        <v>0</v>
      </c>
      <c r="F286" s="934" t="str">
        <f t="shared" si="155"/>
        <v>OK!</v>
      </c>
      <c r="G286" s="934" t="str">
        <f t="shared" si="155"/>
        <v>OK!</v>
      </c>
      <c r="H286" s="934" t="str">
        <f t="shared" si="155"/>
        <v>OK!</v>
      </c>
      <c r="I286" s="934" t="str">
        <f t="shared" si="155"/>
        <v>OK!</v>
      </c>
      <c r="J286" s="934" t="str">
        <f t="shared" si="155"/>
        <v>OK!</v>
      </c>
      <c r="K286" s="934" t="str">
        <f t="shared" si="155"/>
        <v>OK!</v>
      </c>
      <c r="L286" s="934" t="str">
        <f t="shared" si="155"/>
        <v>OK!</v>
      </c>
      <c r="M286" s="934" t="str">
        <f t="shared" si="155"/>
        <v>OK!</v>
      </c>
      <c r="N286" s="934" t="str">
        <f t="shared" si="155"/>
        <v>OK!</v>
      </c>
      <c r="O286" s="934" t="str">
        <f t="shared" si="155"/>
        <v>OK!</v>
      </c>
      <c r="P286" s="934" t="str">
        <f t="shared" si="155"/>
        <v>OK!</v>
      </c>
      <c r="Q286" s="934" t="str">
        <f t="shared" si="155"/>
        <v>OK!</v>
      </c>
      <c r="R286" s="934" t="str">
        <f t="shared" si="155"/>
        <v>OK!</v>
      </c>
      <c r="S286" s="934" t="str">
        <f t="shared" si="156"/>
        <v>OK!</v>
      </c>
      <c r="T286" s="934" t="str">
        <f t="shared" si="156"/>
        <v>OK!</v>
      </c>
    </row>
    <row r="287" spans="1:22" x14ac:dyDescent="0.15">
      <c r="A287" s="963" t="str">
        <f>A$11</f>
        <v>Tavanet e përgjithshme</v>
      </c>
      <c r="B287" s="964"/>
      <c r="C287" s="968"/>
      <c r="D287" s="969"/>
      <c r="E287" s="969"/>
      <c r="F287" s="934" t="str">
        <f t="shared" si="155"/>
        <v>OK!</v>
      </c>
      <c r="G287" s="934" t="str">
        <f t="shared" si="155"/>
        <v>OK!</v>
      </c>
      <c r="H287" s="934" t="str">
        <f t="shared" si="155"/>
        <v>OK!</v>
      </c>
      <c r="I287" s="934" t="str">
        <f t="shared" si="155"/>
        <v>OK!</v>
      </c>
      <c r="J287" s="934" t="str">
        <f t="shared" si="155"/>
        <v>OK!</v>
      </c>
      <c r="K287" s="934" t="str">
        <f t="shared" si="155"/>
        <v>OK!</v>
      </c>
      <c r="L287" s="934" t="str">
        <f t="shared" si="155"/>
        <v>OK!</v>
      </c>
      <c r="M287" s="934" t="str">
        <f t="shared" si="155"/>
        <v>OK!</v>
      </c>
      <c r="N287" s="934" t="str">
        <f t="shared" si="155"/>
        <v>OK!</v>
      </c>
      <c r="O287" s="934" t="str">
        <f t="shared" si="155"/>
        <v>OK!</v>
      </c>
      <c r="P287" s="934" t="str">
        <f t="shared" si="155"/>
        <v>OK!</v>
      </c>
      <c r="Q287" s="934" t="str">
        <f t="shared" si="155"/>
        <v>OK!</v>
      </c>
      <c r="R287" s="934" t="str">
        <f t="shared" si="155"/>
        <v>OK!</v>
      </c>
      <c r="S287" s="934" t="str">
        <f t="shared" si="156"/>
        <v>OK!</v>
      </c>
      <c r="T287" s="934" t="str">
        <f t="shared" si="156"/>
        <v>OK!</v>
      </c>
    </row>
    <row r="288" spans="1:22" x14ac:dyDescent="0.15">
      <c r="A288" s="965" t="str">
        <f>A$12</f>
        <v>Angazhimet kujtesë</v>
      </c>
      <c r="B288" s="959"/>
      <c r="C288" s="959">
        <f>'(C5) Angazhimet'!D97</f>
        <v>0</v>
      </c>
      <c r="D288" s="959">
        <f>'(C5) Angazhimet'!E97</f>
        <v>0</v>
      </c>
      <c r="E288" s="959">
        <f>'(C5) Angazhimet'!F97</f>
        <v>0</v>
      </c>
      <c r="F288" s="934" t="str">
        <f>IF(C288&gt;C287,"STOPP!","OK!")</f>
        <v>OK!</v>
      </c>
      <c r="G288" s="934" t="str">
        <f t="shared" ref="G288:R288" si="157">IF(D288&lt;0,"STOPP!","OK!")</f>
        <v>OK!</v>
      </c>
      <c r="H288" s="934" t="str">
        <f t="shared" si="157"/>
        <v>OK!</v>
      </c>
      <c r="I288" s="934" t="str">
        <f t="shared" si="157"/>
        <v>OK!</v>
      </c>
      <c r="J288" s="934" t="str">
        <f t="shared" si="157"/>
        <v>OK!</v>
      </c>
      <c r="K288" s="934" t="str">
        <f t="shared" si="157"/>
        <v>OK!</v>
      </c>
      <c r="L288" s="934" t="str">
        <f t="shared" si="157"/>
        <v>OK!</v>
      </c>
      <c r="M288" s="934" t="str">
        <f t="shared" si="157"/>
        <v>OK!</v>
      </c>
      <c r="N288" s="934" t="str">
        <f t="shared" si="157"/>
        <v>OK!</v>
      </c>
      <c r="O288" s="934" t="str">
        <f t="shared" si="157"/>
        <v>OK!</v>
      </c>
      <c r="P288" s="934" t="str">
        <f t="shared" si="157"/>
        <v>OK!</v>
      </c>
      <c r="Q288" s="934" t="str">
        <f t="shared" si="157"/>
        <v>OK!</v>
      </c>
      <c r="R288" s="934" t="str">
        <f t="shared" si="157"/>
        <v>OK!</v>
      </c>
      <c r="S288" s="934" t="str">
        <f>IF(D288&gt;D287,"STOPP!","OK!")</f>
        <v>OK!</v>
      </c>
      <c r="T288" s="934" t="str">
        <f>IF(E288&gt;E287,"STOPP!","OK!")</f>
        <v>OK!</v>
      </c>
    </row>
    <row r="289" spans="1:24" ht="23.25" customHeight="1" x14ac:dyDescent="0.25">
      <c r="A289" s="1082" t="str">
        <f>'(B2) Struktura Organizative'!A23</f>
        <v>Nënfunksioni 17</v>
      </c>
      <c r="B289" s="1076" t="str">
        <f>'(B2) Struktura Organizative'!B23</f>
        <v>064 Ndriçimi i rrugëve</v>
      </c>
      <c r="C289" s="1077"/>
      <c r="D289" s="1077"/>
      <c r="E289" s="1078"/>
      <c r="G289" s="933">
        <f>C293</f>
        <v>36800000</v>
      </c>
      <c r="H289" s="933">
        <f>D293</f>
        <v>37700000</v>
      </c>
      <c r="I289" s="933">
        <f>E293</f>
        <v>48600000</v>
      </c>
      <c r="J289" s="933">
        <f>C290</f>
        <v>0</v>
      </c>
      <c r="K289" s="933">
        <f>D290</f>
        <v>0</v>
      </c>
      <c r="L289" s="933">
        <f>E290</f>
        <v>0</v>
      </c>
      <c r="M289" s="933">
        <f>C291</f>
        <v>36800000</v>
      </c>
      <c r="N289" s="933">
        <f>D291</f>
        <v>37700000</v>
      </c>
      <c r="O289" s="933">
        <f>E291</f>
        <v>48600000</v>
      </c>
      <c r="P289" s="933">
        <f>C292</f>
        <v>0</v>
      </c>
      <c r="Q289" s="933">
        <f>D292</f>
        <v>0</v>
      </c>
      <c r="R289" s="933">
        <f>E292</f>
        <v>0</v>
      </c>
    </row>
    <row r="290" spans="1:24" x14ac:dyDescent="0.15">
      <c r="A290" s="958" t="str">
        <f>A$8</f>
        <v>Pagat dhe sigurimet shoqërore</v>
      </c>
      <c r="B290" s="958"/>
      <c r="C290" s="959">
        <f t="shared" ref="C290:E291" si="158">C296</f>
        <v>0</v>
      </c>
      <c r="D290" s="959">
        <f t="shared" si="158"/>
        <v>0</v>
      </c>
      <c r="E290" s="959">
        <f t="shared" si="158"/>
        <v>0</v>
      </c>
      <c r="F290" s="934" t="str">
        <f t="shared" ref="F290:R293" si="159">IF(C290&lt;0,"STOPP!","OK!")</f>
        <v>OK!</v>
      </c>
      <c r="G290" s="934" t="str">
        <f t="shared" si="159"/>
        <v>OK!</v>
      </c>
      <c r="H290" s="934" t="str">
        <f t="shared" si="159"/>
        <v>OK!</v>
      </c>
      <c r="I290" s="934" t="str">
        <f t="shared" si="159"/>
        <v>OK!</v>
      </c>
      <c r="J290" s="934" t="str">
        <f t="shared" si="159"/>
        <v>OK!</v>
      </c>
      <c r="K290" s="934" t="str">
        <f t="shared" si="159"/>
        <v>OK!</v>
      </c>
      <c r="L290" s="934" t="str">
        <f t="shared" si="159"/>
        <v>OK!</v>
      </c>
      <c r="M290" s="934" t="str">
        <f t="shared" si="159"/>
        <v>OK!</v>
      </c>
      <c r="N290" s="934" t="str">
        <f t="shared" si="159"/>
        <v>OK!</v>
      </c>
      <c r="O290" s="934" t="str">
        <f t="shared" si="159"/>
        <v>OK!</v>
      </c>
      <c r="P290" s="934" t="str">
        <f t="shared" si="159"/>
        <v>OK!</v>
      </c>
      <c r="Q290" s="934" t="str">
        <f t="shared" si="159"/>
        <v>OK!</v>
      </c>
      <c r="R290" s="934" t="str">
        <f t="shared" si="159"/>
        <v>OK!</v>
      </c>
      <c r="S290" s="934" t="str">
        <f t="shared" ref="S290:T293" si="160">IF(D290&lt;0,"STOPP!","OK!")</f>
        <v>OK!</v>
      </c>
      <c r="T290" s="934" t="str">
        <f t="shared" si="160"/>
        <v>OK!</v>
      </c>
    </row>
    <row r="291" spans="1:24" x14ac:dyDescent="0.15">
      <c r="A291" s="958" t="str">
        <f>A$9</f>
        <v>Të tjera shpenzime korrente</v>
      </c>
      <c r="B291" s="958"/>
      <c r="C291" s="959">
        <f t="shared" si="158"/>
        <v>36800000</v>
      </c>
      <c r="D291" s="959">
        <f t="shared" si="158"/>
        <v>37700000</v>
      </c>
      <c r="E291" s="959">
        <f t="shared" si="158"/>
        <v>48600000</v>
      </c>
      <c r="F291" s="934" t="str">
        <f t="shared" si="159"/>
        <v>OK!</v>
      </c>
      <c r="G291" s="934" t="str">
        <f t="shared" si="159"/>
        <v>OK!</v>
      </c>
      <c r="H291" s="934" t="str">
        <f t="shared" si="159"/>
        <v>OK!</v>
      </c>
      <c r="I291" s="934" t="str">
        <f t="shared" si="159"/>
        <v>OK!</v>
      </c>
      <c r="J291" s="934" t="str">
        <f t="shared" si="159"/>
        <v>OK!</v>
      </c>
      <c r="K291" s="934" t="str">
        <f t="shared" si="159"/>
        <v>OK!</v>
      </c>
      <c r="L291" s="934" t="str">
        <f t="shared" si="159"/>
        <v>OK!</v>
      </c>
      <c r="M291" s="934" t="str">
        <f t="shared" si="159"/>
        <v>OK!</v>
      </c>
      <c r="N291" s="934" t="str">
        <f t="shared" si="159"/>
        <v>OK!</v>
      </c>
      <c r="O291" s="934" t="str">
        <f t="shared" si="159"/>
        <v>OK!</v>
      </c>
      <c r="P291" s="934" t="str">
        <f t="shared" si="159"/>
        <v>OK!</v>
      </c>
      <c r="Q291" s="934" t="str">
        <f t="shared" si="159"/>
        <v>OK!</v>
      </c>
      <c r="R291" s="934" t="str">
        <f t="shared" si="159"/>
        <v>OK!</v>
      </c>
      <c r="S291" s="934" t="str">
        <f t="shared" si="160"/>
        <v>OK!</v>
      </c>
      <c r="T291" s="934" t="str">
        <f t="shared" si="160"/>
        <v>OK!</v>
      </c>
    </row>
    <row r="292" spans="1:24" x14ac:dyDescent="0.15">
      <c r="A292" s="960" t="str">
        <f>A$10</f>
        <v>Shpenzimet kapitale</v>
      </c>
      <c r="B292" s="961"/>
      <c r="C292" s="959">
        <f>C293-C290-C291</f>
        <v>0</v>
      </c>
      <c r="D292" s="962">
        <f>D293-D290-D291</f>
        <v>0</v>
      </c>
      <c r="E292" s="962">
        <f>E293-E290-E291</f>
        <v>0</v>
      </c>
      <c r="F292" s="934" t="str">
        <f t="shared" si="159"/>
        <v>OK!</v>
      </c>
      <c r="G292" s="934" t="str">
        <f t="shared" si="159"/>
        <v>OK!</v>
      </c>
      <c r="H292" s="934" t="str">
        <f t="shared" si="159"/>
        <v>OK!</v>
      </c>
      <c r="I292" s="934" t="str">
        <f t="shared" si="159"/>
        <v>OK!</v>
      </c>
      <c r="J292" s="934" t="str">
        <f t="shared" si="159"/>
        <v>OK!</v>
      </c>
      <c r="K292" s="934" t="str">
        <f t="shared" si="159"/>
        <v>OK!</v>
      </c>
      <c r="L292" s="934" t="str">
        <f t="shared" si="159"/>
        <v>OK!</v>
      </c>
      <c r="M292" s="934" t="str">
        <f t="shared" si="159"/>
        <v>OK!</v>
      </c>
      <c r="N292" s="934" t="str">
        <f t="shared" si="159"/>
        <v>OK!</v>
      </c>
      <c r="O292" s="934" t="str">
        <f t="shared" si="159"/>
        <v>OK!</v>
      </c>
      <c r="P292" s="934" t="str">
        <f t="shared" si="159"/>
        <v>OK!</v>
      </c>
      <c r="Q292" s="934" t="str">
        <f t="shared" si="159"/>
        <v>OK!</v>
      </c>
      <c r="R292" s="934" t="str">
        <f t="shared" si="159"/>
        <v>OK!</v>
      </c>
      <c r="S292" s="934" t="str">
        <f t="shared" si="160"/>
        <v>OK!</v>
      </c>
      <c r="T292" s="934" t="str">
        <f t="shared" si="160"/>
        <v>OK!</v>
      </c>
    </row>
    <row r="293" spans="1:24" x14ac:dyDescent="0.15">
      <c r="A293" s="963" t="str">
        <f>A$11</f>
        <v>Tavanet e përgjithshme</v>
      </c>
      <c r="B293" s="964"/>
      <c r="C293" s="959">
        <f>C299</f>
        <v>36800000</v>
      </c>
      <c r="D293" s="959">
        <f>D299</f>
        <v>37700000</v>
      </c>
      <c r="E293" s="959">
        <f>E299</f>
        <v>48600000</v>
      </c>
      <c r="F293" s="934" t="str">
        <f t="shared" si="159"/>
        <v>OK!</v>
      </c>
      <c r="G293" s="934" t="str">
        <f t="shared" si="159"/>
        <v>OK!</v>
      </c>
      <c r="H293" s="934" t="str">
        <f t="shared" si="159"/>
        <v>OK!</v>
      </c>
      <c r="I293" s="934" t="str">
        <f t="shared" si="159"/>
        <v>OK!</v>
      </c>
      <c r="J293" s="934" t="str">
        <f t="shared" si="159"/>
        <v>OK!</v>
      </c>
      <c r="K293" s="934" t="str">
        <f t="shared" si="159"/>
        <v>OK!</v>
      </c>
      <c r="L293" s="934" t="str">
        <f t="shared" si="159"/>
        <v>OK!</v>
      </c>
      <c r="M293" s="934" t="str">
        <f t="shared" si="159"/>
        <v>OK!</v>
      </c>
      <c r="N293" s="934" t="str">
        <f t="shared" si="159"/>
        <v>OK!</v>
      </c>
      <c r="O293" s="934" t="str">
        <f t="shared" si="159"/>
        <v>OK!</v>
      </c>
      <c r="P293" s="934" t="str">
        <f t="shared" si="159"/>
        <v>OK!</v>
      </c>
      <c r="Q293" s="934" t="str">
        <f t="shared" si="159"/>
        <v>OK!</v>
      </c>
      <c r="R293" s="934" t="str">
        <f t="shared" si="159"/>
        <v>OK!</v>
      </c>
      <c r="S293" s="934" t="str">
        <f t="shared" si="160"/>
        <v>OK!</v>
      </c>
      <c r="T293" s="934" t="str">
        <f t="shared" si="160"/>
        <v>OK!</v>
      </c>
    </row>
    <row r="294" spans="1:24" x14ac:dyDescent="0.15">
      <c r="A294" s="965" t="str">
        <f>A$12</f>
        <v>Angazhimet kujtesë</v>
      </c>
      <c r="B294" s="959"/>
      <c r="C294" s="959">
        <f>'(C5) Angazhimet'!D105</f>
        <v>0</v>
      </c>
      <c r="D294" s="962">
        <f>'(C5) Angazhimet'!E105</f>
        <v>0</v>
      </c>
      <c r="E294" s="962">
        <f>'(C5) Angazhimet'!F105</f>
        <v>0</v>
      </c>
      <c r="F294" s="934" t="str">
        <f>IF(C294&gt;C293,"STOPP!","OK!")</f>
        <v>OK!</v>
      </c>
      <c r="G294" s="934" t="str">
        <f t="shared" ref="G294:R294" si="161">IF(D294&lt;0,"STOPP!","OK!")</f>
        <v>OK!</v>
      </c>
      <c r="H294" s="934" t="str">
        <f t="shared" si="161"/>
        <v>OK!</v>
      </c>
      <c r="I294" s="934" t="str">
        <f t="shared" si="161"/>
        <v>OK!</v>
      </c>
      <c r="J294" s="934" t="str">
        <f t="shared" si="161"/>
        <v>OK!</v>
      </c>
      <c r="K294" s="934" t="str">
        <f t="shared" si="161"/>
        <v>OK!</v>
      </c>
      <c r="L294" s="934" t="str">
        <f t="shared" si="161"/>
        <v>OK!</v>
      </c>
      <c r="M294" s="934" t="str">
        <f t="shared" si="161"/>
        <v>OK!</v>
      </c>
      <c r="N294" s="934" t="str">
        <f t="shared" si="161"/>
        <v>OK!</v>
      </c>
      <c r="O294" s="934" t="str">
        <f t="shared" si="161"/>
        <v>OK!</v>
      </c>
      <c r="P294" s="934" t="str">
        <f t="shared" si="161"/>
        <v>OK!</v>
      </c>
      <c r="Q294" s="934" t="str">
        <f t="shared" si="161"/>
        <v>OK!</v>
      </c>
      <c r="R294" s="934" t="str">
        <f t="shared" si="161"/>
        <v>OK!</v>
      </c>
      <c r="S294" s="934" t="str">
        <f>IF(D294&gt;D293,"STOPP!","OK!")</f>
        <v>OK!</v>
      </c>
      <c r="T294" s="934" t="str">
        <f>IF(E294&gt;E293,"STOPP!","OK!")</f>
        <v>OK!</v>
      </c>
    </row>
    <row r="295" spans="1:24" ht="15.75" x14ac:dyDescent="0.15">
      <c r="A295" s="1021" t="str">
        <f>'(B3) Struktura Funksionale'!B89</f>
        <v>06440</v>
      </c>
      <c r="B295" s="1079" t="str">
        <f>'(B3) Struktura Funksionale'!C89</f>
        <v>Ndriçim rrugësh</v>
      </c>
      <c r="C295" s="1080"/>
      <c r="D295" s="1080"/>
      <c r="E295" s="1081"/>
      <c r="F295" s="934"/>
      <c r="G295" s="934"/>
      <c r="H295" s="934"/>
      <c r="I295" s="934"/>
      <c r="J295" s="934"/>
      <c r="K295" s="934"/>
      <c r="L295" s="934"/>
      <c r="M295" s="934"/>
      <c r="N295" s="934"/>
      <c r="O295" s="934"/>
      <c r="P295" s="934"/>
      <c r="Q295" s="934"/>
      <c r="R295" s="934"/>
      <c r="S295" s="934"/>
      <c r="T295" s="934"/>
    </row>
    <row r="296" spans="1:24" x14ac:dyDescent="0.15">
      <c r="A296" s="958" t="str">
        <f>A$8</f>
        <v>Pagat dhe sigurimet shoqërore</v>
      </c>
      <c r="B296" s="958"/>
      <c r="C296" s="966"/>
      <c r="D296" s="966"/>
      <c r="E296" s="966"/>
      <c r="F296" s="934" t="str">
        <f t="shared" ref="F296:R299" si="162">IF(C296&lt;0,"STOPP!","OK!")</f>
        <v>OK!</v>
      </c>
      <c r="G296" s="934" t="str">
        <f t="shared" si="162"/>
        <v>OK!</v>
      </c>
      <c r="H296" s="934" t="str">
        <f t="shared" si="162"/>
        <v>OK!</v>
      </c>
      <c r="I296" s="934" t="str">
        <f t="shared" si="162"/>
        <v>OK!</v>
      </c>
      <c r="J296" s="934" t="str">
        <f t="shared" si="162"/>
        <v>OK!</v>
      </c>
      <c r="K296" s="934" t="str">
        <f t="shared" si="162"/>
        <v>OK!</v>
      </c>
      <c r="L296" s="934" t="str">
        <f t="shared" si="162"/>
        <v>OK!</v>
      </c>
      <c r="M296" s="934" t="str">
        <f t="shared" si="162"/>
        <v>OK!</v>
      </c>
      <c r="N296" s="934" t="str">
        <f t="shared" si="162"/>
        <v>OK!</v>
      </c>
      <c r="O296" s="934" t="str">
        <f t="shared" si="162"/>
        <v>OK!</v>
      </c>
      <c r="P296" s="934" t="str">
        <f t="shared" si="162"/>
        <v>OK!</v>
      </c>
      <c r="Q296" s="934" t="str">
        <f t="shared" si="162"/>
        <v>OK!</v>
      </c>
      <c r="R296" s="934" t="str">
        <f t="shared" si="162"/>
        <v>OK!</v>
      </c>
      <c r="S296" s="934" t="str">
        <f t="shared" ref="S296:T299" si="163">IF(D296&lt;0,"STOPP!","OK!")</f>
        <v>OK!</v>
      </c>
      <c r="T296" s="934" t="str">
        <f t="shared" si="163"/>
        <v>OK!</v>
      </c>
      <c r="V296" s="807"/>
      <c r="W296" s="807"/>
      <c r="X296" s="807"/>
    </row>
    <row r="297" spans="1:24" x14ac:dyDescent="0.15">
      <c r="A297" s="958" t="str">
        <f>A$9</f>
        <v>Të tjera shpenzime korrente</v>
      </c>
      <c r="B297" s="958"/>
      <c r="C297" s="967">
        <v>36800000</v>
      </c>
      <c r="D297" s="967">
        <f>D299</f>
        <v>37700000</v>
      </c>
      <c r="E297" s="967">
        <f>E299</f>
        <v>48600000</v>
      </c>
      <c r="F297" s="934" t="str">
        <f t="shared" si="162"/>
        <v>OK!</v>
      </c>
      <c r="G297" s="934" t="str">
        <f t="shared" si="162"/>
        <v>OK!</v>
      </c>
      <c r="H297" s="934" t="str">
        <f t="shared" si="162"/>
        <v>OK!</v>
      </c>
      <c r="I297" s="934" t="str">
        <f t="shared" si="162"/>
        <v>OK!</v>
      </c>
      <c r="J297" s="934" t="str">
        <f t="shared" si="162"/>
        <v>OK!</v>
      </c>
      <c r="K297" s="934" t="str">
        <f t="shared" si="162"/>
        <v>OK!</v>
      </c>
      <c r="L297" s="934" t="str">
        <f t="shared" si="162"/>
        <v>OK!</v>
      </c>
      <c r="M297" s="934" t="str">
        <f t="shared" si="162"/>
        <v>OK!</v>
      </c>
      <c r="N297" s="934" t="str">
        <f t="shared" si="162"/>
        <v>OK!</v>
      </c>
      <c r="O297" s="934" t="str">
        <f t="shared" si="162"/>
        <v>OK!</v>
      </c>
      <c r="P297" s="934" t="str">
        <f t="shared" si="162"/>
        <v>OK!</v>
      </c>
      <c r="Q297" s="934" t="str">
        <f t="shared" si="162"/>
        <v>OK!</v>
      </c>
      <c r="R297" s="934" t="str">
        <f t="shared" si="162"/>
        <v>OK!</v>
      </c>
      <c r="S297" s="934" t="str">
        <f t="shared" si="163"/>
        <v>OK!</v>
      </c>
      <c r="T297" s="934" t="str">
        <f t="shared" si="163"/>
        <v>OK!</v>
      </c>
      <c r="V297" s="985"/>
      <c r="W297" s="985"/>
      <c r="X297" s="985"/>
    </row>
    <row r="298" spans="1:24" x14ac:dyDescent="0.15">
      <c r="A298" s="960" t="str">
        <f>A$10</f>
        <v>Shpenzimet kapitale</v>
      </c>
      <c r="B298" s="961"/>
      <c r="C298" s="959">
        <f>C299-C296-C297</f>
        <v>0</v>
      </c>
      <c r="D298" s="962">
        <f>D299-D296-D297</f>
        <v>0</v>
      </c>
      <c r="E298" s="962">
        <f>E299-E296-E297</f>
        <v>0</v>
      </c>
      <c r="F298" s="934" t="str">
        <f t="shared" si="162"/>
        <v>OK!</v>
      </c>
      <c r="G298" s="934" t="str">
        <f t="shared" si="162"/>
        <v>OK!</v>
      </c>
      <c r="H298" s="934" t="str">
        <f t="shared" si="162"/>
        <v>OK!</v>
      </c>
      <c r="I298" s="934" t="str">
        <f t="shared" si="162"/>
        <v>OK!</v>
      </c>
      <c r="J298" s="934" t="str">
        <f t="shared" si="162"/>
        <v>OK!</v>
      </c>
      <c r="K298" s="934" t="str">
        <f t="shared" si="162"/>
        <v>OK!</v>
      </c>
      <c r="L298" s="934" t="str">
        <f t="shared" si="162"/>
        <v>OK!</v>
      </c>
      <c r="M298" s="934" t="str">
        <f t="shared" si="162"/>
        <v>OK!</v>
      </c>
      <c r="N298" s="934" t="str">
        <f t="shared" si="162"/>
        <v>OK!</v>
      </c>
      <c r="O298" s="934" t="str">
        <f t="shared" si="162"/>
        <v>OK!</v>
      </c>
      <c r="P298" s="934" t="str">
        <f t="shared" si="162"/>
        <v>OK!</v>
      </c>
      <c r="Q298" s="934" t="str">
        <f t="shared" si="162"/>
        <v>OK!</v>
      </c>
      <c r="R298" s="934" t="str">
        <f t="shared" si="162"/>
        <v>OK!</v>
      </c>
      <c r="S298" s="934" t="str">
        <f t="shared" si="163"/>
        <v>OK!</v>
      </c>
      <c r="T298" s="934" t="str">
        <f t="shared" si="163"/>
        <v>OK!</v>
      </c>
      <c r="V298" s="807"/>
      <c r="W298" s="807"/>
      <c r="X298" s="807"/>
    </row>
    <row r="299" spans="1:24" x14ac:dyDescent="0.15">
      <c r="A299" s="963" t="str">
        <f>A$11</f>
        <v>Tavanet e përgjithshme</v>
      </c>
      <c r="B299" s="964"/>
      <c r="C299" s="967">
        <v>36800000</v>
      </c>
      <c r="D299" s="967">
        <v>37700000</v>
      </c>
      <c r="E299" s="967">
        <v>48600000</v>
      </c>
      <c r="F299" s="934" t="str">
        <f t="shared" si="162"/>
        <v>OK!</v>
      </c>
      <c r="G299" s="934" t="str">
        <f t="shared" si="162"/>
        <v>OK!</v>
      </c>
      <c r="H299" s="934" t="str">
        <f t="shared" si="162"/>
        <v>OK!</v>
      </c>
      <c r="I299" s="934" t="str">
        <f t="shared" si="162"/>
        <v>OK!</v>
      </c>
      <c r="J299" s="934" t="str">
        <f t="shared" si="162"/>
        <v>OK!</v>
      </c>
      <c r="K299" s="934" t="str">
        <f t="shared" si="162"/>
        <v>OK!</v>
      </c>
      <c r="L299" s="934" t="str">
        <f t="shared" si="162"/>
        <v>OK!</v>
      </c>
      <c r="M299" s="934" t="str">
        <f t="shared" si="162"/>
        <v>OK!</v>
      </c>
      <c r="N299" s="934" t="str">
        <f t="shared" si="162"/>
        <v>OK!</v>
      </c>
      <c r="O299" s="934" t="str">
        <f t="shared" si="162"/>
        <v>OK!</v>
      </c>
      <c r="P299" s="934" t="str">
        <f t="shared" si="162"/>
        <v>OK!</v>
      </c>
      <c r="Q299" s="934" t="str">
        <f t="shared" si="162"/>
        <v>OK!</v>
      </c>
      <c r="R299" s="934" t="str">
        <f t="shared" si="162"/>
        <v>OK!</v>
      </c>
      <c r="S299" s="934" t="str">
        <f t="shared" si="163"/>
        <v>OK!</v>
      </c>
      <c r="T299" s="934" t="str">
        <f t="shared" si="163"/>
        <v>OK!</v>
      </c>
    </row>
    <row r="300" spans="1:24" x14ac:dyDescent="0.15">
      <c r="A300" s="965" t="str">
        <f>A$12</f>
        <v>Angazhimet kujtesë</v>
      </c>
      <c r="B300" s="959"/>
      <c r="C300" s="959">
        <f>'(C5) Angazhimet'!D102</f>
        <v>0</v>
      </c>
      <c r="D300" s="959">
        <f>'(C5) Angazhimet'!E102</f>
        <v>0</v>
      </c>
      <c r="E300" s="959">
        <f>'(C5) Angazhimet'!F102</f>
        <v>0</v>
      </c>
      <c r="F300" s="934" t="str">
        <f>IF(C300&gt;C299,"STOPP!","OK!")</f>
        <v>OK!</v>
      </c>
      <c r="G300" s="934" t="str">
        <f t="shared" ref="G300:R300" si="164">IF(D300&lt;0,"STOPP!","OK!")</f>
        <v>OK!</v>
      </c>
      <c r="H300" s="934" t="str">
        <f t="shared" si="164"/>
        <v>OK!</v>
      </c>
      <c r="I300" s="934" t="str">
        <f t="shared" si="164"/>
        <v>OK!</v>
      </c>
      <c r="J300" s="934" t="str">
        <f t="shared" si="164"/>
        <v>OK!</v>
      </c>
      <c r="K300" s="934" t="str">
        <f t="shared" si="164"/>
        <v>OK!</v>
      </c>
      <c r="L300" s="934" t="str">
        <f t="shared" si="164"/>
        <v>OK!</v>
      </c>
      <c r="M300" s="934" t="str">
        <f t="shared" si="164"/>
        <v>OK!</v>
      </c>
      <c r="N300" s="934" t="str">
        <f t="shared" si="164"/>
        <v>OK!</v>
      </c>
      <c r="O300" s="934" t="str">
        <f t="shared" si="164"/>
        <v>OK!</v>
      </c>
      <c r="P300" s="934" t="str">
        <f t="shared" si="164"/>
        <v>OK!</v>
      </c>
      <c r="Q300" s="934" t="str">
        <f t="shared" si="164"/>
        <v>OK!</v>
      </c>
      <c r="R300" s="934" t="str">
        <f t="shared" si="164"/>
        <v>OK!</v>
      </c>
      <c r="S300" s="934" t="str">
        <f>IF(D300&gt;D299,"STOPP!","OK!")</f>
        <v>OK!</v>
      </c>
      <c r="T300" s="934" t="str">
        <f>IF(E300&gt;E299,"STOPP!","OK!")</f>
        <v>OK!</v>
      </c>
    </row>
    <row r="301" spans="1:24" ht="21.75" customHeight="1" x14ac:dyDescent="0.25">
      <c r="A301" s="1082" t="str">
        <f>'(B2) Struktura Organizative'!A24</f>
        <v>Nënfunksioni 18</v>
      </c>
      <c r="B301" s="1076" t="str">
        <f>'(B2) Struktura Organizative'!B24</f>
        <v xml:space="preserve">072 Shërbimet e kujdesit parësor </v>
      </c>
      <c r="C301" s="1077"/>
      <c r="D301" s="1077"/>
      <c r="E301" s="1078"/>
      <c r="G301" s="933">
        <f>C305</f>
        <v>0</v>
      </c>
      <c r="H301" s="933">
        <f>D305</f>
        <v>0</v>
      </c>
      <c r="I301" s="933">
        <f>E305</f>
        <v>0</v>
      </c>
      <c r="J301" s="933">
        <f>C302</f>
        <v>0</v>
      </c>
      <c r="K301" s="933">
        <f>D302</f>
        <v>0</v>
      </c>
      <c r="L301" s="933">
        <f>E302</f>
        <v>0</v>
      </c>
      <c r="M301" s="933">
        <f>C303</f>
        <v>0</v>
      </c>
      <c r="N301" s="933">
        <f>D303</f>
        <v>0</v>
      </c>
      <c r="O301" s="933">
        <f>E303</f>
        <v>0</v>
      </c>
      <c r="P301" s="933">
        <f>C304</f>
        <v>0</v>
      </c>
      <c r="Q301" s="933">
        <f>D304</f>
        <v>0</v>
      </c>
      <c r="R301" s="933">
        <f>E304</f>
        <v>0</v>
      </c>
    </row>
    <row r="302" spans="1:24" x14ac:dyDescent="0.15">
      <c r="A302" s="958" t="str">
        <f>A$8</f>
        <v>Pagat dhe sigurimet shoqërore</v>
      </c>
      <c r="B302" s="958"/>
      <c r="C302" s="959">
        <f t="shared" ref="C302:E303" si="165">C308</f>
        <v>0</v>
      </c>
      <c r="D302" s="959">
        <f t="shared" si="165"/>
        <v>0</v>
      </c>
      <c r="E302" s="959">
        <f t="shared" si="165"/>
        <v>0</v>
      </c>
      <c r="F302" s="934" t="str">
        <f t="shared" ref="F302:R305" si="166">IF(C302&lt;0,"STOPP!","OK!")</f>
        <v>OK!</v>
      </c>
      <c r="G302" s="934" t="str">
        <f t="shared" si="166"/>
        <v>OK!</v>
      </c>
      <c r="H302" s="934" t="str">
        <f t="shared" si="166"/>
        <v>OK!</v>
      </c>
      <c r="I302" s="934" t="str">
        <f t="shared" si="166"/>
        <v>OK!</v>
      </c>
      <c r="J302" s="934" t="str">
        <f t="shared" si="166"/>
        <v>OK!</v>
      </c>
      <c r="K302" s="934" t="str">
        <f t="shared" si="166"/>
        <v>OK!</v>
      </c>
      <c r="L302" s="934" t="str">
        <f t="shared" si="166"/>
        <v>OK!</v>
      </c>
      <c r="M302" s="934" t="str">
        <f t="shared" si="166"/>
        <v>OK!</v>
      </c>
      <c r="N302" s="934" t="str">
        <f t="shared" si="166"/>
        <v>OK!</v>
      </c>
      <c r="O302" s="934" t="str">
        <f t="shared" si="166"/>
        <v>OK!</v>
      </c>
      <c r="P302" s="934" t="str">
        <f t="shared" si="166"/>
        <v>OK!</v>
      </c>
      <c r="Q302" s="934" t="str">
        <f t="shared" si="166"/>
        <v>OK!</v>
      </c>
      <c r="R302" s="934" t="str">
        <f t="shared" si="166"/>
        <v>OK!</v>
      </c>
      <c r="S302" s="934" t="str">
        <f t="shared" ref="S302:T305" si="167">IF(D302&lt;0,"STOPP!","OK!")</f>
        <v>OK!</v>
      </c>
      <c r="T302" s="934" t="str">
        <f t="shared" si="167"/>
        <v>OK!</v>
      </c>
    </row>
    <row r="303" spans="1:24" x14ac:dyDescent="0.15">
      <c r="A303" s="958" t="str">
        <f>A$9</f>
        <v>Të tjera shpenzime korrente</v>
      </c>
      <c r="B303" s="958"/>
      <c r="C303" s="959">
        <f t="shared" si="165"/>
        <v>0</v>
      </c>
      <c r="D303" s="959">
        <f t="shared" si="165"/>
        <v>0</v>
      </c>
      <c r="E303" s="959">
        <f t="shared" si="165"/>
        <v>0</v>
      </c>
      <c r="F303" s="934" t="str">
        <f t="shared" si="166"/>
        <v>OK!</v>
      </c>
      <c r="G303" s="934" t="str">
        <f t="shared" si="166"/>
        <v>OK!</v>
      </c>
      <c r="H303" s="934" t="str">
        <f t="shared" si="166"/>
        <v>OK!</v>
      </c>
      <c r="I303" s="934" t="str">
        <f t="shared" si="166"/>
        <v>OK!</v>
      </c>
      <c r="J303" s="934" t="str">
        <f t="shared" si="166"/>
        <v>OK!</v>
      </c>
      <c r="K303" s="934" t="str">
        <f t="shared" si="166"/>
        <v>OK!</v>
      </c>
      <c r="L303" s="934" t="str">
        <f t="shared" si="166"/>
        <v>OK!</v>
      </c>
      <c r="M303" s="934" t="str">
        <f t="shared" si="166"/>
        <v>OK!</v>
      </c>
      <c r="N303" s="934" t="str">
        <f t="shared" si="166"/>
        <v>OK!</v>
      </c>
      <c r="O303" s="934" t="str">
        <f t="shared" si="166"/>
        <v>OK!</v>
      </c>
      <c r="P303" s="934" t="str">
        <f t="shared" si="166"/>
        <v>OK!</v>
      </c>
      <c r="Q303" s="934" t="str">
        <f t="shared" si="166"/>
        <v>OK!</v>
      </c>
      <c r="R303" s="934" t="str">
        <f t="shared" si="166"/>
        <v>OK!</v>
      </c>
      <c r="S303" s="934" t="str">
        <f t="shared" si="167"/>
        <v>OK!</v>
      </c>
      <c r="T303" s="934" t="str">
        <f t="shared" si="167"/>
        <v>OK!</v>
      </c>
    </row>
    <row r="304" spans="1:24" x14ac:dyDescent="0.15">
      <c r="A304" s="960" t="str">
        <f>A$10</f>
        <v>Shpenzimet kapitale</v>
      </c>
      <c r="B304" s="961"/>
      <c r="C304" s="959">
        <f>C305-C302-C303</f>
        <v>0</v>
      </c>
      <c r="D304" s="962">
        <f>D305-D302-D303</f>
        <v>0</v>
      </c>
      <c r="E304" s="962">
        <f>E305-E302-E303</f>
        <v>0</v>
      </c>
      <c r="F304" s="934" t="str">
        <f t="shared" si="166"/>
        <v>OK!</v>
      </c>
      <c r="G304" s="934" t="str">
        <f t="shared" si="166"/>
        <v>OK!</v>
      </c>
      <c r="H304" s="934" t="str">
        <f t="shared" si="166"/>
        <v>OK!</v>
      </c>
      <c r="I304" s="934" t="str">
        <f t="shared" si="166"/>
        <v>OK!</v>
      </c>
      <c r="J304" s="934" t="str">
        <f t="shared" si="166"/>
        <v>OK!</v>
      </c>
      <c r="K304" s="934" t="str">
        <f t="shared" si="166"/>
        <v>OK!</v>
      </c>
      <c r="L304" s="934" t="str">
        <f t="shared" si="166"/>
        <v>OK!</v>
      </c>
      <c r="M304" s="934" t="str">
        <f t="shared" si="166"/>
        <v>OK!</v>
      </c>
      <c r="N304" s="934" t="str">
        <f t="shared" si="166"/>
        <v>OK!</v>
      </c>
      <c r="O304" s="934" t="str">
        <f t="shared" si="166"/>
        <v>OK!</v>
      </c>
      <c r="P304" s="934" t="str">
        <f t="shared" si="166"/>
        <v>OK!</v>
      </c>
      <c r="Q304" s="934" t="str">
        <f t="shared" si="166"/>
        <v>OK!</v>
      </c>
      <c r="R304" s="934" t="str">
        <f t="shared" si="166"/>
        <v>OK!</v>
      </c>
      <c r="S304" s="934" t="str">
        <f t="shared" si="167"/>
        <v>OK!</v>
      </c>
      <c r="T304" s="934" t="str">
        <f t="shared" si="167"/>
        <v>OK!</v>
      </c>
    </row>
    <row r="305" spans="1:20" x14ac:dyDescent="0.15">
      <c r="A305" s="963" t="str">
        <f>A$11</f>
        <v>Tavanet e përgjithshme</v>
      </c>
      <c r="B305" s="964"/>
      <c r="C305" s="959">
        <f>C311</f>
        <v>0</v>
      </c>
      <c r="D305" s="959">
        <f>D311</f>
        <v>0</v>
      </c>
      <c r="E305" s="959">
        <f>E311</f>
        <v>0</v>
      </c>
      <c r="F305" s="934" t="str">
        <f t="shared" si="166"/>
        <v>OK!</v>
      </c>
      <c r="G305" s="934" t="str">
        <f t="shared" si="166"/>
        <v>OK!</v>
      </c>
      <c r="H305" s="934" t="str">
        <f t="shared" si="166"/>
        <v>OK!</v>
      </c>
      <c r="I305" s="934" t="str">
        <f t="shared" si="166"/>
        <v>OK!</v>
      </c>
      <c r="J305" s="934" t="str">
        <f t="shared" si="166"/>
        <v>OK!</v>
      </c>
      <c r="K305" s="934" t="str">
        <f t="shared" si="166"/>
        <v>OK!</v>
      </c>
      <c r="L305" s="934" t="str">
        <f t="shared" si="166"/>
        <v>OK!</v>
      </c>
      <c r="M305" s="934" t="str">
        <f t="shared" si="166"/>
        <v>OK!</v>
      </c>
      <c r="N305" s="934" t="str">
        <f t="shared" si="166"/>
        <v>OK!</v>
      </c>
      <c r="O305" s="934" t="str">
        <f t="shared" si="166"/>
        <v>OK!</v>
      </c>
      <c r="P305" s="934" t="str">
        <f t="shared" si="166"/>
        <v>OK!</v>
      </c>
      <c r="Q305" s="934" t="str">
        <f t="shared" si="166"/>
        <v>OK!</v>
      </c>
      <c r="R305" s="934" t="str">
        <f t="shared" si="166"/>
        <v>OK!</v>
      </c>
      <c r="S305" s="934" t="str">
        <f t="shared" si="167"/>
        <v>OK!</v>
      </c>
      <c r="T305" s="934" t="str">
        <f t="shared" si="167"/>
        <v>OK!</v>
      </c>
    </row>
    <row r="306" spans="1:20" x14ac:dyDescent="0.15">
      <c r="A306" s="965" t="str">
        <f>A$12</f>
        <v>Angazhimet kujtesë</v>
      </c>
      <c r="B306" s="959"/>
      <c r="C306" s="959">
        <f>'(C5) Angazhimet'!D110</f>
        <v>0</v>
      </c>
      <c r="D306" s="962">
        <f>'(C5) Angazhimet'!E110</f>
        <v>0</v>
      </c>
      <c r="E306" s="962">
        <f>'(C5) Angazhimet'!F110</f>
        <v>0</v>
      </c>
      <c r="F306" s="934" t="str">
        <f>IF(C306&gt;C305,"STOPP!","OK!")</f>
        <v>OK!</v>
      </c>
      <c r="G306" s="934" t="str">
        <f t="shared" ref="G306:R306" si="168">IF(D306&lt;0,"STOPP!","OK!")</f>
        <v>OK!</v>
      </c>
      <c r="H306" s="934" t="str">
        <f t="shared" si="168"/>
        <v>OK!</v>
      </c>
      <c r="I306" s="934" t="str">
        <f t="shared" si="168"/>
        <v>OK!</v>
      </c>
      <c r="J306" s="934" t="str">
        <f t="shared" si="168"/>
        <v>OK!</v>
      </c>
      <c r="K306" s="934" t="str">
        <f t="shared" si="168"/>
        <v>OK!</v>
      </c>
      <c r="L306" s="934" t="str">
        <f t="shared" si="168"/>
        <v>OK!</v>
      </c>
      <c r="M306" s="934" t="str">
        <f t="shared" si="168"/>
        <v>OK!</v>
      </c>
      <c r="N306" s="934" t="str">
        <f t="shared" si="168"/>
        <v>OK!</v>
      </c>
      <c r="O306" s="934" t="str">
        <f t="shared" si="168"/>
        <v>OK!</v>
      </c>
      <c r="P306" s="934" t="str">
        <f t="shared" si="168"/>
        <v>OK!</v>
      </c>
      <c r="Q306" s="934" t="str">
        <f t="shared" si="168"/>
        <v>OK!</v>
      </c>
      <c r="R306" s="934" t="str">
        <f t="shared" si="168"/>
        <v>OK!</v>
      </c>
      <c r="S306" s="934" t="str">
        <f>IF(D306&gt;D305,"STOPP!","OK!")</f>
        <v>OK!</v>
      </c>
      <c r="T306" s="934" t="str">
        <f>IF(E306&gt;E305,"STOPP!","OK!")</f>
        <v>OK!</v>
      </c>
    </row>
    <row r="307" spans="1:20" ht="15.75" customHeight="1" x14ac:dyDescent="0.15">
      <c r="A307" s="1089" t="str">
        <f>'(B3) Struktura Funksionale'!B94</f>
        <v>07220</v>
      </c>
      <c r="B307" s="1079" t="str">
        <f>'(B3) Struktura Funksionale'!C94</f>
        <v>Shërbimet e kujdesit parësor</v>
      </c>
      <c r="C307" s="1080"/>
      <c r="D307" s="1080"/>
      <c r="E307" s="1081"/>
      <c r="F307" s="934"/>
      <c r="G307" s="934"/>
      <c r="H307" s="934"/>
      <c r="I307" s="934"/>
      <c r="J307" s="934"/>
      <c r="K307" s="934"/>
      <c r="L307" s="934"/>
      <c r="M307" s="934"/>
      <c r="N307" s="934"/>
      <c r="O307" s="934"/>
      <c r="P307" s="934"/>
      <c r="Q307" s="934"/>
      <c r="R307" s="934"/>
      <c r="S307" s="934"/>
      <c r="T307" s="934"/>
    </row>
    <row r="308" spans="1:20" x14ac:dyDescent="0.15">
      <c r="A308" s="958" t="str">
        <f>A$8</f>
        <v>Pagat dhe sigurimet shoqërore</v>
      </c>
      <c r="B308" s="958"/>
      <c r="C308" s="966"/>
      <c r="D308" s="966"/>
      <c r="E308" s="966"/>
      <c r="F308" s="934" t="str">
        <f t="shared" ref="F308:R311" si="169">IF(C308&lt;0,"STOPP!","OK!")</f>
        <v>OK!</v>
      </c>
      <c r="G308" s="934" t="str">
        <f t="shared" si="169"/>
        <v>OK!</v>
      </c>
      <c r="H308" s="934" t="str">
        <f t="shared" si="169"/>
        <v>OK!</v>
      </c>
      <c r="I308" s="934" t="str">
        <f t="shared" si="169"/>
        <v>OK!</v>
      </c>
      <c r="J308" s="934" t="str">
        <f t="shared" si="169"/>
        <v>OK!</v>
      </c>
      <c r="K308" s="934" t="str">
        <f t="shared" si="169"/>
        <v>OK!</v>
      </c>
      <c r="L308" s="934" t="str">
        <f t="shared" si="169"/>
        <v>OK!</v>
      </c>
      <c r="M308" s="934" t="str">
        <f t="shared" si="169"/>
        <v>OK!</v>
      </c>
      <c r="N308" s="934" t="str">
        <f t="shared" si="169"/>
        <v>OK!</v>
      </c>
      <c r="O308" s="934" t="str">
        <f t="shared" si="169"/>
        <v>OK!</v>
      </c>
      <c r="P308" s="934" t="str">
        <f t="shared" si="169"/>
        <v>OK!</v>
      </c>
      <c r="Q308" s="934" t="str">
        <f t="shared" si="169"/>
        <v>OK!</v>
      </c>
      <c r="R308" s="934" t="str">
        <f t="shared" si="169"/>
        <v>OK!</v>
      </c>
      <c r="S308" s="934" t="str">
        <f t="shared" ref="S308:T311" si="170">IF(D308&lt;0,"STOPP!","OK!")</f>
        <v>OK!</v>
      </c>
      <c r="T308" s="934" t="str">
        <f t="shared" si="170"/>
        <v>OK!</v>
      </c>
    </row>
    <row r="309" spans="1:20" x14ac:dyDescent="0.15">
      <c r="A309" s="958" t="str">
        <f>A$9</f>
        <v>Të tjera shpenzime korrente</v>
      </c>
      <c r="B309" s="958"/>
      <c r="C309" s="967"/>
      <c r="D309" s="967"/>
      <c r="E309" s="967"/>
      <c r="F309" s="934" t="str">
        <f t="shared" si="169"/>
        <v>OK!</v>
      </c>
      <c r="G309" s="934" t="str">
        <f t="shared" si="169"/>
        <v>OK!</v>
      </c>
      <c r="H309" s="934" t="str">
        <f t="shared" si="169"/>
        <v>OK!</v>
      </c>
      <c r="I309" s="934" t="str">
        <f t="shared" si="169"/>
        <v>OK!</v>
      </c>
      <c r="J309" s="934" t="str">
        <f t="shared" si="169"/>
        <v>OK!</v>
      </c>
      <c r="K309" s="934" t="str">
        <f t="shared" si="169"/>
        <v>OK!</v>
      </c>
      <c r="L309" s="934" t="str">
        <f t="shared" si="169"/>
        <v>OK!</v>
      </c>
      <c r="M309" s="934" t="str">
        <f t="shared" si="169"/>
        <v>OK!</v>
      </c>
      <c r="N309" s="934" t="str">
        <f t="shared" si="169"/>
        <v>OK!</v>
      </c>
      <c r="O309" s="934" t="str">
        <f t="shared" si="169"/>
        <v>OK!</v>
      </c>
      <c r="P309" s="934" t="str">
        <f t="shared" si="169"/>
        <v>OK!</v>
      </c>
      <c r="Q309" s="934" t="str">
        <f t="shared" si="169"/>
        <v>OK!</v>
      </c>
      <c r="R309" s="934" t="str">
        <f t="shared" si="169"/>
        <v>OK!</v>
      </c>
      <c r="S309" s="934" t="str">
        <f t="shared" si="170"/>
        <v>OK!</v>
      </c>
      <c r="T309" s="934" t="str">
        <f t="shared" si="170"/>
        <v>OK!</v>
      </c>
    </row>
    <row r="310" spans="1:20" x14ac:dyDescent="0.15">
      <c r="A310" s="960" t="str">
        <f>A$10</f>
        <v>Shpenzimet kapitale</v>
      </c>
      <c r="B310" s="961"/>
      <c r="C310" s="959">
        <f>C311-C308-C309</f>
        <v>0</v>
      </c>
      <c r="D310" s="962">
        <f>D311-D308-D309</f>
        <v>0</v>
      </c>
      <c r="E310" s="962">
        <f>E311-E308-E309</f>
        <v>0</v>
      </c>
      <c r="F310" s="934" t="str">
        <f t="shared" si="169"/>
        <v>OK!</v>
      </c>
      <c r="G310" s="934" t="str">
        <f t="shared" si="169"/>
        <v>OK!</v>
      </c>
      <c r="H310" s="934" t="str">
        <f t="shared" si="169"/>
        <v>OK!</v>
      </c>
      <c r="I310" s="934" t="str">
        <f t="shared" si="169"/>
        <v>OK!</v>
      </c>
      <c r="J310" s="934" t="str">
        <f t="shared" si="169"/>
        <v>OK!</v>
      </c>
      <c r="K310" s="934" t="str">
        <f t="shared" si="169"/>
        <v>OK!</v>
      </c>
      <c r="L310" s="934" t="str">
        <f t="shared" si="169"/>
        <v>OK!</v>
      </c>
      <c r="M310" s="934" t="str">
        <f t="shared" si="169"/>
        <v>OK!</v>
      </c>
      <c r="N310" s="934" t="str">
        <f t="shared" si="169"/>
        <v>OK!</v>
      </c>
      <c r="O310" s="934" t="str">
        <f t="shared" si="169"/>
        <v>OK!</v>
      </c>
      <c r="P310" s="934" t="str">
        <f t="shared" si="169"/>
        <v>OK!</v>
      </c>
      <c r="Q310" s="934" t="str">
        <f t="shared" si="169"/>
        <v>OK!</v>
      </c>
      <c r="R310" s="934" t="str">
        <f t="shared" si="169"/>
        <v>OK!</v>
      </c>
      <c r="S310" s="934" t="str">
        <f t="shared" si="170"/>
        <v>OK!</v>
      </c>
      <c r="T310" s="934" t="str">
        <f t="shared" si="170"/>
        <v>OK!</v>
      </c>
    </row>
    <row r="311" spans="1:20" x14ac:dyDescent="0.15">
      <c r="A311" s="963" t="str">
        <f>A$11</f>
        <v>Tavanet e përgjithshme</v>
      </c>
      <c r="B311" s="964"/>
      <c r="C311" s="968"/>
      <c r="D311" s="969"/>
      <c r="E311" s="969"/>
      <c r="F311" s="934" t="str">
        <f t="shared" si="169"/>
        <v>OK!</v>
      </c>
      <c r="G311" s="934" t="str">
        <f t="shared" si="169"/>
        <v>OK!</v>
      </c>
      <c r="H311" s="934" t="str">
        <f t="shared" si="169"/>
        <v>OK!</v>
      </c>
      <c r="I311" s="934" t="str">
        <f t="shared" si="169"/>
        <v>OK!</v>
      </c>
      <c r="J311" s="934" t="str">
        <f t="shared" si="169"/>
        <v>OK!</v>
      </c>
      <c r="K311" s="934" t="str">
        <f t="shared" si="169"/>
        <v>OK!</v>
      </c>
      <c r="L311" s="934" t="str">
        <f t="shared" si="169"/>
        <v>OK!</v>
      </c>
      <c r="M311" s="934" t="str">
        <f t="shared" si="169"/>
        <v>OK!</v>
      </c>
      <c r="N311" s="934" t="str">
        <f t="shared" si="169"/>
        <v>OK!</v>
      </c>
      <c r="O311" s="934" t="str">
        <f t="shared" si="169"/>
        <v>OK!</v>
      </c>
      <c r="P311" s="934" t="str">
        <f t="shared" si="169"/>
        <v>OK!</v>
      </c>
      <c r="Q311" s="934" t="str">
        <f t="shared" si="169"/>
        <v>OK!</v>
      </c>
      <c r="R311" s="934" t="str">
        <f t="shared" si="169"/>
        <v>OK!</v>
      </c>
      <c r="S311" s="934" t="str">
        <f t="shared" si="170"/>
        <v>OK!</v>
      </c>
      <c r="T311" s="934" t="str">
        <f t="shared" si="170"/>
        <v>OK!</v>
      </c>
    </row>
    <row r="312" spans="1:20" x14ac:dyDescent="0.15">
      <c r="A312" s="965" t="str">
        <f>A$12</f>
        <v>Angazhimet kujtesë</v>
      </c>
      <c r="B312" s="959"/>
      <c r="C312" s="959">
        <f>'(C5) Angazhimet'!D107</f>
        <v>0</v>
      </c>
      <c r="D312" s="959">
        <f>'(C5) Angazhimet'!E107</f>
        <v>0</v>
      </c>
      <c r="E312" s="959">
        <f>'(C5) Angazhimet'!F107</f>
        <v>0</v>
      </c>
      <c r="F312" s="934" t="str">
        <f>IF(C312&gt;C311,"STOPP!","OK!")</f>
        <v>OK!</v>
      </c>
      <c r="G312" s="934" t="str">
        <f t="shared" ref="G312:R312" si="171">IF(D312&lt;0,"STOPP!","OK!")</f>
        <v>OK!</v>
      </c>
      <c r="H312" s="934" t="str">
        <f t="shared" si="171"/>
        <v>OK!</v>
      </c>
      <c r="I312" s="934" t="str">
        <f t="shared" si="171"/>
        <v>OK!</v>
      </c>
      <c r="J312" s="934" t="str">
        <f t="shared" si="171"/>
        <v>OK!</v>
      </c>
      <c r="K312" s="934" t="str">
        <f t="shared" si="171"/>
        <v>OK!</v>
      </c>
      <c r="L312" s="934" t="str">
        <f t="shared" si="171"/>
        <v>OK!</v>
      </c>
      <c r="M312" s="934" t="str">
        <f t="shared" si="171"/>
        <v>OK!</v>
      </c>
      <c r="N312" s="934" t="str">
        <f t="shared" si="171"/>
        <v>OK!</v>
      </c>
      <c r="O312" s="934" t="str">
        <f t="shared" si="171"/>
        <v>OK!</v>
      </c>
      <c r="P312" s="934" t="str">
        <f t="shared" si="171"/>
        <v>OK!</v>
      </c>
      <c r="Q312" s="934" t="str">
        <f t="shared" si="171"/>
        <v>OK!</v>
      </c>
      <c r="R312" s="934" t="str">
        <f t="shared" si="171"/>
        <v>OK!</v>
      </c>
      <c r="S312" s="934" t="str">
        <f>IF(D312&gt;D311,"STOPP!","OK!")</f>
        <v>OK!</v>
      </c>
      <c r="T312" s="934" t="str">
        <f>IF(E312&gt;E311,"STOPP!","OK!")</f>
        <v>OK!</v>
      </c>
    </row>
    <row r="313" spans="1:20" ht="21.75" customHeight="1" x14ac:dyDescent="0.25">
      <c r="A313" s="1082" t="str">
        <f>'(B2) Struktura Organizative'!A25</f>
        <v>Nënfunksioni 19</v>
      </c>
      <c r="B313" s="1076" t="str">
        <f>'(B2) Struktura Organizative'!B25</f>
        <v>081 Shërbimet rekreative dhe sportive</v>
      </c>
      <c r="C313" s="1077"/>
      <c r="D313" s="1077"/>
      <c r="E313" s="1078"/>
      <c r="G313" s="933">
        <f>C317</f>
        <v>15705000</v>
      </c>
      <c r="H313" s="933">
        <f>D317</f>
        <v>16795000</v>
      </c>
      <c r="I313" s="933">
        <f>E317</f>
        <v>17368600</v>
      </c>
      <c r="J313" s="933">
        <f>C314</f>
        <v>5835000</v>
      </c>
      <c r="K313" s="933">
        <f>D314</f>
        <v>6418500</v>
      </c>
      <c r="L313" s="933">
        <f>E314</f>
        <v>6768600</v>
      </c>
      <c r="M313" s="933">
        <f>C315</f>
        <v>9820000</v>
      </c>
      <c r="N313" s="933">
        <f>D315</f>
        <v>10326500</v>
      </c>
      <c r="O313" s="933">
        <f>E315</f>
        <v>10500000</v>
      </c>
      <c r="P313" s="933">
        <f>C316</f>
        <v>50000</v>
      </c>
      <c r="Q313" s="933">
        <f>D316</f>
        <v>50000</v>
      </c>
      <c r="R313" s="933">
        <f>E316</f>
        <v>100000</v>
      </c>
    </row>
    <row r="314" spans="1:20" x14ac:dyDescent="0.15">
      <c r="A314" s="958" t="str">
        <f>A$8</f>
        <v>Pagat dhe sigurimet shoqërore</v>
      </c>
      <c r="B314" s="958"/>
      <c r="C314" s="959">
        <f t="shared" ref="C314:E315" si="172">C320+C326</f>
        <v>5835000</v>
      </c>
      <c r="D314" s="959">
        <f t="shared" si="172"/>
        <v>6418500</v>
      </c>
      <c r="E314" s="959">
        <f t="shared" si="172"/>
        <v>6768600</v>
      </c>
      <c r="F314" s="934" t="str">
        <f t="shared" ref="F314:R317" si="173">IF(C314&lt;0,"STOPP!","OK!")</f>
        <v>OK!</v>
      </c>
      <c r="G314" s="934" t="str">
        <f t="shared" si="173"/>
        <v>OK!</v>
      </c>
      <c r="H314" s="934" t="str">
        <f t="shared" si="173"/>
        <v>OK!</v>
      </c>
      <c r="I314" s="934" t="str">
        <f t="shared" si="173"/>
        <v>OK!</v>
      </c>
      <c r="J314" s="934" t="str">
        <f t="shared" si="173"/>
        <v>OK!</v>
      </c>
      <c r="K314" s="934" t="str">
        <f t="shared" si="173"/>
        <v>OK!</v>
      </c>
      <c r="L314" s="934" t="str">
        <f t="shared" si="173"/>
        <v>OK!</v>
      </c>
      <c r="M314" s="934" t="str">
        <f t="shared" si="173"/>
        <v>OK!</v>
      </c>
      <c r="N314" s="934" t="str">
        <f t="shared" si="173"/>
        <v>OK!</v>
      </c>
      <c r="O314" s="934" t="str">
        <f t="shared" si="173"/>
        <v>OK!</v>
      </c>
      <c r="P314" s="934" t="str">
        <f t="shared" si="173"/>
        <v>OK!</v>
      </c>
      <c r="Q314" s="934" t="str">
        <f t="shared" si="173"/>
        <v>OK!</v>
      </c>
      <c r="R314" s="934" t="str">
        <f t="shared" si="173"/>
        <v>OK!</v>
      </c>
      <c r="S314" s="934" t="str">
        <f t="shared" ref="S314:T317" si="174">IF(D314&lt;0,"STOPP!","OK!")</f>
        <v>OK!</v>
      </c>
      <c r="T314" s="934" t="str">
        <f t="shared" si="174"/>
        <v>OK!</v>
      </c>
    </row>
    <row r="315" spans="1:20" x14ac:dyDescent="0.15">
      <c r="A315" s="958" t="str">
        <f>A$9</f>
        <v>Të tjera shpenzime korrente</v>
      </c>
      <c r="B315" s="958"/>
      <c r="C315" s="959">
        <f t="shared" si="172"/>
        <v>9820000</v>
      </c>
      <c r="D315" s="959">
        <f t="shared" si="172"/>
        <v>10326500</v>
      </c>
      <c r="E315" s="959">
        <f t="shared" si="172"/>
        <v>10500000</v>
      </c>
      <c r="F315" s="934" t="str">
        <f t="shared" si="173"/>
        <v>OK!</v>
      </c>
      <c r="G315" s="934" t="str">
        <f t="shared" si="173"/>
        <v>OK!</v>
      </c>
      <c r="H315" s="934" t="str">
        <f t="shared" si="173"/>
        <v>OK!</v>
      </c>
      <c r="I315" s="934" t="str">
        <f t="shared" si="173"/>
        <v>OK!</v>
      </c>
      <c r="J315" s="934" t="str">
        <f t="shared" si="173"/>
        <v>OK!</v>
      </c>
      <c r="K315" s="934" t="str">
        <f t="shared" si="173"/>
        <v>OK!</v>
      </c>
      <c r="L315" s="934" t="str">
        <f t="shared" si="173"/>
        <v>OK!</v>
      </c>
      <c r="M315" s="934" t="str">
        <f t="shared" si="173"/>
        <v>OK!</v>
      </c>
      <c r="N315" s="934" t="str">
        <f t="shared" si="173"/>
        <v>OK!</v>
      </c>
      <c r="O315" s="934" t="str">
        <f t="shared" si="173"/>
        <v>OK!</v>
      </c>
      <c r="P315" s="934" t="str">
        <f t="shared" si="173"/>
        <v>OK!</v>
      </c>
      <c r="Q315" s="934" t="str">
        <f t="shared" si="173"/>
        <v>OK!</v>
      </c>
      <c r="R315" s="934" t="str">
        <f t="shared" si="173"/>
        <v>OK!</v>
      </c>
      <c r="S315" s="934" t="str">
        <f t="shared" si="174"/>
        <v>OK!</v>
      </c>
      <c r="T315" s="934" t="str">
        <f t="shared" si="174"/>
        <v>OK!</v>
      </c>
    </row>
    <row r="316" spans="1:20" x14ac:dyDescent="0.15">
      <c r="A316" s="960" t="str">
        <f>A$10</f>
        <v>Shpenzimet kapitale</v>
      </c>
      <c r="B316" s="961"/>
      <c r="C316" s="959">
        <f>C317-C314-C315</f>
        <v>50000</v>
      </c>
      <c r="D316" s="962">
        <f>D317-D314-D315</f>
        <v>50000</v>
      </c>
      <c r="E316" s="962">
        <f>E317-E314-E315</f>
        <v>100000</v>
      </c>
      <c r="F316" s="934" t="str">
        <f t="shared" si="173"/>
        <v>OK!</v>
      </c>
      <c r="G316" s="934" t="str">
        <f t="shared" si="173"/>
        <v>OK!</v>
      </c>
      <c r="H316" s="934" t="str">
        <f t="shared" si="173"/>
        <v>OK!</v>
      </c>
      <c r="I316" s="934" t="str">
        <f t="shared" si="173"/>
        <v>OK!</v>
      </c>
      <c r="J316" s="934" t="str">
        <f t="shared" si="173"/>
        <v>OK!</v>
      </c>
      <c r="K316" s="934" t="str">
        <f t="shared" si="173"/>
        <v>OK!</v>
      </c>
      <c r="L316" s="934" t="str">
        <f t="shared" si="173"/>
        <v>OK!</v>
      </c>
      <c r="M316" s="934" t="str">
        <f t="shared" si="173"/>
        <v>OK!</v>
      </c>
      <c r="N316" s="934" t="str">
        <f t="shared" si="173"/>
        <v>OK!</v>
      </c>
      <c r="O316" s="934" t="str">
        <f t="shared" si="173"/>
        <v>OK!</v>
      </c>
      <c r="P316" s="934" t="str">
        <f t="shared" si="173"/>
        <v>OK!</v>
      </c>
      <c r="Q316" s="934" t="str">
        <f t="shared" si="173"/>
        <v>OK!</v>
      </c>
      <c r="R316" s="934" t="str">
        <f t="shared" si="173"/>
        <v>OK!</v>
      </c>
      <c r="S316" s="934" t="str">
        <f t="shared" si="174"/>
        <v>OK!</v>
      </c>
      <c r="T316" s="934" t="str">
        <f t="shared" si="174"/>
        <v>OK!</v>
      </c>
    </row>
    <row r="317" spans="1:20" x14ac:dyDescent="0.15">
      <c r="A317" s="963" t="str">
        <f>A$11</f>
        <v>Tavanet e përgjithshme</v>
      </c>
      <c r="B317" s="964"/>
      <c r="C317" s="959">
        <f>C323+C329</f>
        <v>15705000</v>
      </c>
      <c r="D317" s="959">
        <f>D323+D329</f>
        <v>16795000</v>
      </c>
      <c r="E317" s="959">
        <f>E323+E329</f>
        <v>17368600</v>
      </c>
      <c r="F317" s="934" t="str">
        <f t="shared" si="173"/>
        <v>OK!</v>
      </c>
      <c r="G317" s="934" t="str">
        <f t="shared" si="173"/>
        <v>OK!</v>
      </c>
      <c r="H317" s="934" t="str">
        <f t="shared" si="173"/>
        <v>OK!</v>
      </c>
      <c r="I317" s="934" t="str">
        <f t="shared" si="173"/>
        <v>OK!</v>
      </c>
      <c r="J317" s="934" t="str">
        <f t="shared" si="173"/>
        <v>OK!</v>
      </c>
      <c r="K317" s="934" t="str">
        <f t="shared" si="173"/>
        <v>OK!</v>
      </c>
      <c r="L317" s="934" t="str">
        <f t="shared" si="173"/>
        <v>OK!</v>
      </c>
      <c r="M317" s="934" t="str">
        <f t="shared" si="173"/>
        <v>OK!</v>
      </c>
      <c r="N317" s="934" t="str">
        <f t="shared" si="173"/>
        <v>OK!</v>
      </c>
      <c r="O317" s="934" t="str">
        <f t="shared" si="173"/>
        <v>OK!</v>
      </c>
      <c r="P317" s="934" t="str">
        <f t="shared" si="173"/>
        <v>OK!</v>
      </c>
      <c r="Q317" s="934" t="str">
        <f t="shared" si="173"/>
        <v>OK!</v>
      </c>
      <c r="R317" s="934" t="str">
        <f t="shared" si="173"/>
        <v>OK!</v>
      </c>
      <c r="S317" s="934" t="str">
        <f t="shared" si="174"/>
        <v>OK!</v>
      </c>
      <c r="T317" s="934" t="str">
        <f t="shared" si="174"/>
        <v>OK!</v>
      </c>
    </row>
    <row r="318" spans="1:20" x14ac:dyDescent="0.15">
      <c r="A318" s="965" t="str">
        <f>A$12</f>
        <v>Angazhimet kujtesë</v>
      </c>
      <c r="B318" s="959"/>
      <c r="C318" s="959">
        <f>'(C5) Angazhimet'!D115</f>
        <v>0</v>
      </c>
      <c r="D318" s="962">
        <f>'(C5) Angazhimet'!E115</f>
        <v>0</v>
      </c>
      <c r="E318" s="962">
        <f>'(C5) Angazhimet'!F115</f>
        <v>0</v>
      </c>
      <c r="F318" s="934" t="str">
        <f>IF(C318&gt;C317,"STOPP!","OK!")</f>
        <v>OK!</v>
      </c>
      <c r="G318" s="934" t="str">
        <f t="shared" ref="G318:R318" si="175">IF(D318&lt;0,"STOPP!","OK!")</f>
        <v>OK!</v>
      </c>
      <c r="H318" s="934" t="str">
        <f t="shared" si="175"/>
        <v>OK!</v>
      </c>
      <c r="I318" s="934" t="str">
        <f t="shared" si="175"/>
        <v>OK!</v>
      </c>
      <c r="J318" s="934" t="str">
        <f t="shared" si="175"/>
        <v>OK!</v>
      </c>
      <c r="K318" s="934" t="str">
        <f t="shared" si="175"/>
        <v>OK!</v>
      </c>
      <c r="L318" s="934" t="str">
        <f t="shared" si="175"/>
        <v>OK!</v>
      </c>
      <c r="M318" s="934" t="str">
        <f t="shared" si="175"/>
        <v>OK!</v>
      </c>
      <c r="N318" s="934" t="str">
        <f t="shared" si="175"/>
        <v>OK!</v>
      </c>
      <c r="O318" s="934" t="str">
        <f t="shared" si="175"/>
        <v>OK!</v>
      </c>
      <c r="P318" s="934" t="str">
        <f t="shared" si="175"/>
        <v>OK!</v>
      </c>
      <c r="Q318" s="934" t="str">
        <f t="shared" si="175"/>
        <v>OK!</v>
      </c>
      <c r="R318" s="934" t="str">
        <f t="shared" si="175"/>
        <v>OK!</v>
      </c>
      <c r="S318" s="934" t="str">
        <f>IF(D318&gt;D317,"STOPP!","OK!")</f>
        <v>OK!</v>
      </c>
      <c r="T318" s="934" t="str">
        <f>IF(E318&gt;E317,"STOPP!","OK!")</f>
        <v>OK!</v>
      </c>
    </row>
    <row r="319" spans="1:20" ht="15.75" hidden="1" customHeight="1" x14ac:dyDescent="0.15">
      <c r="A319" s="1089" t="str">
        <f>'(B3) Struktura Funksionale'!B99</f>
        <v>08120</v>
      </c>
      <c r="B319" s="1079" t="str">
        <f>'(B3) Struktura Funksionale'!C99</f>
        <v>Parqet</v>
      </c>
      <c r="C319" s="1080"/>
      <c r="D319" s="1080"/>
      <c r="E319" s="1081"/>
      <c r="F319" s="934"/>
      <c r="G319" s="934"/>
      <c r="H319" s="934"/>
      <c r="I319" s="934"/>
      <c r="J319" s="934"/>
      <c r="K319" s="934"/>
      <c r="L319" s="934"/>
      <c r="M319" s="934"/>
      <c r="N319" s="934"/>
      <c r="O319" s="934"/>
      <c r="P319" s="934"/>
      <c r="Q319" s="934"/>
      <c r="R319" s="934"/>
      <c r="S319" s="934"/>
      <c r="T319" s="934"/>
    </row>
    <row r="320" spans="1:20" ht="12.75" hidden="1" customHeight="1" x14ac:dyDescent="0.15">
      <c r="A320" s="958" t="str">
        <f>A$8</f>
        <v>Pagat dhe sigurimet shoqërore</v>
      </c>
      <c r="B320" s="958"/>
      <c r="C320" s="966"/>
      <c r="D320" s="966"/>
      <c r="E320" s="966"/>
      <c r="F320" s="934" t="str">
        <f t="shared" ref="F320:R323" si="176">IF(C320&lt;0,"STOPP!","OK!")</f>
        <v>OK!</v>
      </c>
      <c r="G320" s="934" t="str">
        <f t="shared" si="176"/>
        <v>OK!</v>
      </c>
      <c r="H320" s="934" t="str">
        <f t="shared" si="176"/>
        <v>OK!</v>
      </c>
      <c r="I320" s="934" t="str">
        <f t="shared" si="176"/>
        <v>OK!</v>
      </c>
      <c r="J320" s="934" t="str">
        <f t="shared" si="176"/>
        <v>OK!</v>
      </c>
      <c r="K320" s="934" t="str">
        <f t="shared" si="176"/>
        <v>OK!</v>
      </c>
      <c r="L320" s="934" t="str">
        <f t="shared" si="176"/>
        <v>OK!</v>
      </c>
      <c r="M320" s="934" t="str">
        <f t="shared" si="176"/>
        <v>OK!</v>
      </c>
      <c r="N320" s="934" t="str">
        <f t="shared" si="176"/>
        <v>OK!</v>
      </c>
      <c r="O320" s="934" t="str">
        <f t="shared" si="176"/>
        <v>OK!</v>
      </c>
      <c r="P320" s="934" t="str">
        <f t="shared" si="176"/>
        <v>OK!</v>
      </c>
      <c r="Q320" s="934" t="str">
        <f t="shared" si="176"/>
        <v>OK!</v>
      </c>
      <c r="R320" s="934" t="str">
        <f t="shared" si="176"/>
        <v>OK!</v>
      </c>
      <c r="S320" s="934" t="str">
        <f t="shared" ref="S320:T323" si="177">IF(D320&lt;0,"STOPP!","OK!")</f>
        <v>OK!</v>
      </c>
      <c r="T320" s="934" t="str">
        <f t="shared" si="177"/>
        <v>OK!</v>
      </c>
    </row>
    <row r="321" spans="1:20" ht="12.75" hidden="1" customHeight="1" x14ac:dyDescent="0.15">
      <c r="A321" s="958" t="str">
        <f>A$9</f>
        <v>Të tjera shpenzime korrente</v>
      </c>
      <c r="B321" s="958"/>
      <c r="C321" s="967"/>
      <c r="D321" s="967"/>
      <c r="E321" s="967"/>
      <c r="F321" s="934" t="str">
        <f t="shared" si="176"/>
        <v>OK!</v>
      </c>
      <c r="G321" s="934" t="str">
        <f t="shared" si="176"/>
        <v>OK!</v>
      </c>
      <c r="H321" s="934" t="str">
        <f t="shared" si="176"/>
        <v>OK!</v>
      </c>
      <c r="I321" s="934" t="str">
        <f t="shared" si="176"/>
        <v>OK!</v>
      </c>
      <c r="J321" s="934" t="str">
        <f t="shared" si="176"/>
        <v>OK!</v>
      </c>
      <c r="K321" s="934" t="str">
        <f t="shared" si="176"/>
        <v>OK!</v>
      </c>
      <c r="L321" s="934" t="str">
        <f t="shared" si="176"/>
        <v>OK!</v>
      </c>
      <c r="M321" s="934" t="str">
        <f t="shared" si="176"/>
        <v>OK!</v>
      </c>
      <c r="N321" s="934" t="str">
        <f t="shared" si="176"/>
        <v>OK!</v>
      </c>
      <c r="O321" s="934" t="str">
        <f t="shared" si="176"/>
        <v>OK!</v>
      </c>
      <c r="P321" s="934" t="str">
        <f t="shared" si="176"/>
        <v>OK!</v>
      </c>
      <c r="Q321" s="934" t="str">
        <f t="shared" si="176"/>
        <v>OK!</v>
      </c>
      <c r="R321" s="934" t="str">
        <f t="shared" si="176"/>
        <v>OK!</v>
      </c>
      <c r="S321" s="934" t="str">
        <f t="shared" si="177"/>
        <v>OK!</v>
      </c>
      <c r="T321" s="934" t="str">
        <f t="shared" si="177"/>
        <v>OK!</v>
      </c>
    </row>
    <row r="322" spans="1:20" ht="12.75" hidden="1" customHeight="1" x14ac:dyDescent="0.15">
      <c r="A322" s="960" t="str">
        <f>A$10</f>
        <v>Shpenzimet kapitale</v>
      </c>
      <c r="B322" s="961"/>
      <c r="C322" s="959">
        <f>C323-C320-C321</f>
        <v>0</v>
      </c>
      <c r="D322" s="962">
        <f>D323-D320-D321</f>
        <v>0</v>
      </c>
      <c r="E322" s="962">
        <f>E323-E320-E321</f>
        <v>0</v>
      </c>
      <c r="F322" s="934" t="str">
        <f t="shared" si="176"/>
        <v>OK!</v>
      </c>
      <c r="G322" s="934" t="str">
        <f t="shared" si="176"/>
        <v>OK!</v>
      </c>
      <c r="H322" s="934" t="str">
        <f t="shared" si="176"/>
        <v>OK!</v>
      </c>
      <c r="I322" s="934" t="str">
        <f t="shared" si="176"/>
        <v>OK!</v>
      </c>
      <c r="J322" s="934" t="str">
        <f t="shared" si="176"/>
        <v>OK!</v>
      </c>
      <c r="K322" s="934" t="str">
        <f t="shared" si="176"/>
        <v>OK!</v>
      </c>
      <c r="L322" s="934" t="str">
        <f t="shared" si="176"/>
        <v>OK!</v>
      </c>
      <c r="M322" s="934" t="str">
        <f t="shared" si="176"/>
        <v>OK!</v>
      </c>
      <c r="N322" s="934" t="str">
        <f t="shared" si="176"/>
        <v>OK!</v>
      </c>
      <c r="O322" s="934" t="str">
        <f t="shared" si="176"/>
        <v>OK!</v>
      </c>
      <c r="P322" s="934" t="str">
        <f t="shared" si="176"/>
        <v>OK!</v>
      </c>
      <c r="Q322" s="934" t="str">
        <f t="shared" si="176"/>
        <v>OK!</v>
      </c>
      <c r="R322" s="934" t="str">
        <f t="shared" si="176"/>
        <v>OK!</v>
      </c>
      <c r="S322" s="934" t="str">
        <f t="shared" si="177"/>
        <v>OK!</v>
      </c>
      <c r="T322" s="934" t="str">
        <f t="shared" si="177"/>
        <v>OK!</v>
      </c>
    </row>
    <row r="323" spans="1:20" ht="12.75" hidden="1" customHeight="1" x14ac:dyDescent="0.15">
      <c r="A323" s="963" t="str">
        <f>A$11</f>
        <v>Tavanet e përgjithshme</v>
      </c>
      <c r="B323" s="964"/>
      <c r="C323" s="968"/>
      <c r="D323" s="969"/>
      <c r="E323" s="969"/>
      <c r="F323" s="934" t="str">
        <f t="shared" si="176"/>
        <v>OK!</v>
      </c>
      <c r="G323" s="934" t="str">
        <f t="shared" si="176"/>
        <v>OK!</v>
      </c>
      <c r="H323" s="934" t="str">
        <f t="shared" si="176"/>
        <v>OK!</v>
      </c>
      <c r="I323" s="934" t="str">
        <f t="shared" si="176"/>
        <v>OK!</v>
      </c>
      <c r="J323" s="934" t="str">
        <f t="shared" si="176"/>
        <v>OK!</v>
      </c>
      <c r="K323" s="934" t="str">
        <f t="shared" si="176"/>
        <v>OK!</v>
      </c>
      <c r="L323" s="934" t="str">
        <f t="shared" si="176"/>
        <v>OK!</v>
      </c>
      <c r="M323" s="934" t="str">
        <f t="shared" si="176"/>
        <v>OK!</v>
      </c>
      <c r="N323" s="934" t="str">
        <f t="shared" si="176"/>
        <v>OK!</v>
      </c>
      <c r="O323" s="934" t="str">
        <f t="shared" si="176"/>
        <v>OK!</v>
      </c>
      <c r="P323" s="934" t="str">
        <f t="shared" si="176"/>
        <v>OK!</v>
      </c>
      <c r="Q323" s="934" t="str">
        <f t="shared" si="176"/>
        <v>OK!</v>
      </c>
      <c r="R323" s="934" t="str">
        <f t="shared" si="176"/>
        <v>OK!</v>
      </c>
      <c r="S323" s="934" t="str">
        <f t="shared" si="177"/>
        <v>OK!</v>
      </c>
      <c r="T323" s="934" t="str">
        <f t="shared" si="177"/>
        <v>OK!</v>
      </c>
    </row>
    <row r="324" spans="1:20" ht="12.75" hidden="1" customHeight="1" x14ac:dyDescent="0.15">
      <c r="A324" s="965" t="str">
        <f>A$12</f>
        <v>Angazhimet kujtesë</v>
      </c>
      <c r="B324" s="959"/>
      <c r="C324" s="959">
        <f>'(C5) Angazhimet'!D112</f>
        <v>0</v>
      </c>
      <c r="D324" s="959">
        <f>'(C5) Angazhimet'!E112</f>
        <v>0</v>
      </c>
      <c r="E324" s="959">
        <f>'(C5) Angazhimet'!F112</f>
        <v>0</v>
      </c>
      <c r="F324" s="934" t="str">
        <f>IF(C324&gt;C323,"STOPP!","OK!")</f>
        <v>OK!</v>
      </c>
      <c r="G324" s="934" t="str">
        <f t="shared" ref="G324:R324" si="178">IF(D324&lt;0,"STOPP!","OK!")</f>
        <v>OK!</v>
      </c>
      <c r="H324" s="934" t="str">
        <f t="shared" si="178"/>
        <v>OK!</v>
      </c>
      <c r="I324" s="934" t="str">
        <f t="shared" si="178"/>
        <v>OK!</v>
      </c>
      <c r="J324" s="934" t="str">
        <f t="shared" si="178"/>
        <v>OK!</v>
      </c>
      <c r="K324" s="934" t="str">
        <f t="shared" si="178"/>
        <v>OK!</v>
      </c>
      <c r="L324" s="934" t="str">
        <f t="shared" si="178"/>
        <v>OK!</v>
      </c>
      <c r="M324" s="934" t="str">
        <f t="shared" si="178"/>
        <v>OK!</v>
      </c>
      <c r="N324" s="934" t="str">
        <f t="shared" si="178"/>
        <v>OK!</v>
      </c>
      <c r="O324" s="934" t="str">
        <f t="shared" si="178"/>
        <v>OK!</v>
      </c>
      <c r="P324" s="934" t="str">
        <f t="shared" si="178"/>
        <v>OK!</v>
      </c>
      <c r="Q324" s="934" t="str">
        <f t="shared" si="178"/>
        <v>OK!</v>
      </c>
      <c r="R324" s="934" t="str">
        <f t="shared" si="178"/>
        <v>OK!</v>
      </c>
      <c r="S324" s="934" t="str">
        <f>IF(D324&gt;D323,"STOPP!","OK!")</f>
        <v>OK!</v>
      </c>
      <c r="T324" s="934" t="str">
        <f>IF(E324&gt;E323,"STOPP!","OK!")</f>
        <v>OK!</v>
      </c>
    </row>
    <row r="325" spans="1:20" ht="15.75" x14ac:dyDescent="0.15">
      <c r="A325" s="1021" t="str">
        <f>'(B3) Struktura Funksionale'!B100</f>
        <v>08130</v>
      </c>
      <c r="B325" s="1079" t="str">
        <f>'(B3) Struktura Funksionale'!C100</f>
        <v>Sport dhe argëtim</v>
      </c>
      <c r="C325" s="1080"/>
      <c r="D325" s="1080"/>
      <c r="E325" s="1081"/>
      <c r="F325" s="934"/>
      <c r="G325" s="934"/>
      <c r="H325" s="934"/>
      <c r="I325" s="934"/>
      <c r="J325" s="934"/>
      <c r="K325" s="934"/>
      <c r="L325" s="934"/>
      <c r="M325" s="934"/>
      <c r="N325" s="934"/>
      <c r="O325" s="934"/>
      <c r="P325" s="934"/>
      <c r="Q325" s="934"/>
      <c r="R325" s="934"/>
      <c r="S325" s="934"/>
      <c r="T325" s="934"/>
    </row>
    <row r="326" spans="1:20" x14ac:dyDescent="0.15">
      <c r="A326" s="958" t="str">
        <f>A$8</f>
        <v>Pagat dhe sigurimet shoqërore</v>
      </c>
      <c r="B326" s="958"/>
      <c r="C326" s="966">
        <v>5835000</v>
      </c>
      <c r="D326" s="966">
        <v>6418500</v>
      </c>
      <c r="E326" s="966">
        <v>6768600</v>
      </c>
      <c r="F326" s="934" t="str">
        <f t="shared" ref="F326:R329" si="179">IF(C326&lt;0,"STOPP!","OK!")</f>
        <v>OK!</v>
      </c>
      <c r="G326" s="934" t="str">
        <f t="shared" si="179"/>
        <v>OK!</v>
      </c>
      <c r="H326" s="934" t="str">
        <f t="shared" si="179"/>
        <v>OK!</v>
      </c>
      <c r="I326" s="934" t="str">
        <f t="shared" si="179"/>
        <v>OK!</v>
      </c>
      <c r="J326" s="934" t="str">
        <f t="shared" si="179"/>
        <v>OK!</v>
      </c>
      <c r="K326" s="934" t="str">
        <f t="shared" si="179"/>
        <v>OK!</v>
      </c>
      <c r="L326" s="934" t="str">
        <f t="shared" si="179"/>
        <v>OK!</v>
      </c>
      <c r="M326" s="934" t="str">
        <f t="shared" si="179"/>
        <v>OK!</v>
      </c>
      <c r="N326" s="934" t="str">
        <f t="shared" si="179"/>
        <v>OK!</v>
      </c>
      <c r="O326" s="934" t="str">
        <f t="shared" si="179"/>
        <v>OK!</v>
      </c>
      <c r="P326" s="934" t="str">
        <f t="shared" si="179"/>
        <v>OK!</v>
      </c>
      <c r="Q326" s="934" t="str">
        <f t="shared" si="179"/>
        <v>OK!</v>
      </c>
      <c r="R326" s="934" t="str">
        <f t="shared" si="179"/>
        <v>OK!</v>
      </c>
      <c r="S326" s="934" t="str">
        <f t="shared" ref="S326:T329" si="180">IF(D326&lt;0,"STOPP!","OK!")</f>
        <v>OK!</v>
      </c>
      <c r="T326" s="934" t="str">
        <f t="shared" si="180"/>
        <v>OK!</v>
      </c>
    </row>
    <row r="327" spans="1:20" x14ac:dyDescent="0.15">
      <c r="A327" s="958" t="str">
        <f>A$9</f>
        <v>Të tjera shpenzime korrente</v>
      </c>
      <c r="B327" s="958"/>
      <c r="C327" s="967">
        <v>9820000</v>
      </c>
      <c r="D327" s="967">
        <v>10326500</v>
      </c>
      <c r="E327" s="967">
        <v>10500000</v>
      </c>
      <c r="F327" s="934" t="str">
        <f t="shared" si="179"/>
        <v>OK!</v>
      </c>
      <c r="G327" s="934" t="str">
        <f t="shared" si="179"/>
        <v>OK!</v>
      </c>
      <c r="H327" s="934" t="str">
        <f t="shared" si="179"/>
        <v>OK!</v>
      </c>
      <c r="I327" s="934" t="str">
        <f t="shared" si="179"/>
        <v>OK!</v>
      </c>
      <c r="J327" s="934" t="str">
        <f t="shared" si="179"/>
        <v>OK!</v>
      </c>
      <c r="K327" s="934" t="str">
        <f t="shared" si="179"/>
        <v>OK!</v>
      </c>
      <c r="L327" s="934" t="str">
        <f t="shared" si="179"/>
        <v>OK!</v>
      </c>
      <c r="M327" s="934" t="str">
        <f t="shared" si="179"/>
        <v>OK!</v>
      </c>
      <c r="N327" s="934" t="str">
        <f t="shared" si="179"/>
        <v>OK!</v>
      </c>
      <c r="O327" s="934" t="str">
        <f t="shared" si="179"/>
        <v>OK!</v>
      </c>
      <c r="P327" s="934" t="str">
        <f t="shared" si="179"/>
        <v>OK!</v>
      </c>
      <c r="Q327" s="934" t="str">
        <f t="shared" si="179"/>
        <v>OK!</v>
      </c>
      <c r="R327" s="934" t="str">
        <f t="shared" si="179"/>
        <v>OK!</v>
      </c>
      <c r="S327" s="934" t="str">
        <f t="shared" si="180"/>
        <v>OK!</v>
      </c>
      <c r="T327" s="934" t="str">
        <f t="shared" si="180"/>
        <v>OK!</v>
      </c>
    </row>
    <row r="328" spans="1:20" x14ac:dyDescent="0.15">
      <c r="A328" s="960" t="str">
        <f>A$10</f>
        <v>Shpenzimet kapitale</v>
      </c>
      <c r="B328" s="961"/>
      <c r="C328" s="959">
        <f>C329-C326-C327</f>
        <v>50000</v>
      </c>
      <c r="D328" s="962">
        <f>D329-D326-D327</f>
        <v>50000</v>
      </c>
      <c r="E328" s="962">
        <f>E329-E326-E327</f>
        <v>100000</v>
      </c>
      <c r="F328" s="934" t="str">
        <f t="shared" si="179"/>
        <v>OK!</v>
      </c>
      <c r="G328" s="934" t="str">
        <f t="shared" si="179"/>
        <v>OK!</v>
      </c>
      <c r="H328" s="934" t="str">
        <f t="shared" si="179"/>
        <v>OK!</v>
      </c>
      <c r="I328" s="934" t="str">
        <f t="shared" si="179"/>
        <v>OK!</v>
      </c>
      <c r="J328" s="934" t="str">
        <f t="shared" si="179"/>
        <v>OK!</v>
      </c>
      <c r="K328" s="934" t="str">
        <f t="shared" si="179"/>
        <v>OK!</v>
      </c>
      <c r="L328" s="934" t="str">
        <f t="shared" si="179"/>
        <v>OK!</v>
      </c>
      <c r="M328" s="934" t="str">
        <f t="shared" si="179"/>
        <v>OK!</v>
      </c>
      <c r="N328" s="934" t="str">
        <f t="shared" si="179"/>
        <v>OK!</v>
      </c>
      <c r="O328" s="934" t="str">
        <f t="shared" si="179"/>
        <v>OK!</v>
      </c>
      <c r="P328" s="934" t="str">
        <f t="shared" si="179"/>
        <v>OK!</v>
      </c>
      <c r="Q328" s="934" t="str">
        <f t="shared" si="179"/>
        <v>OK!</v>
      </c>
      <c r="R328" s="934" t="str">
        <f t="shared" si="179"/>
        <v>OK!</v>
      </c>
      <c r="S328" s="934" t="str">
        <f t="shared" si="180"/>
        <v>OK!</v>
      </c>
      <c r="T328" s="934" t="str">
        <f t="shared" si="180"/>
        <v>OK!</v>
      </c>
    </row>
    <row r="329" spans="1:20" x14ac:dyDescent="0.15">
      <c r="A329" s="963" t="str">
        <f>A$11</f>
        <v>Tavanet e përgjithshme</v>
      </c>
      <c r="B329" s="964"/>
      <c r="C329" s="968">
        <v>15705000</v>
      </c>
      <c r="D329" s="969">
        <v>16795000</v>
      </c>
      <c r="E329" s="969">
        <v>17368600</v>
      </c>
      <c r="F329" s="934" t="str">
        <f t="shared" si="179"/>
        <v>OK!</v>
      </c>
      <c r="G329" s="934" t="str">
        <f t="shared" si="179"/>
        <v>OK!</v>
      </c>
      <c r="H329" s="934" t="str">
        <f t="shared" si="179"/>
        <v>OK!</v>
      </c>
      <c r="I329" s="934" t="str">
        <f t="shared" si="179"/>
        <v>OK!</v>
      </c>
      <c r="J329" s="934" t="str">
        <f t="shared" si="179"/>
        <v>OK!</v>
      </c>
      <c r="K329" s="934" t="str">
        <f t="shared" si="179"/>
        <v>OK!</v>
      </c>
      <c r="L329" s="934" t="str">
        <f t="shared" si="179"/>
        <v>OK!</v>
      </c>
      <c r="M329" s="934" t="str">
        <f t="shared" si="179"/>
        <v>OK!</v>
      </c>
      <c r="N329" s="934" t="str">
        <f t="shared" si="179"/>
        <v>OK!</v>
      </c>
      <c r="O329" s="934" t="str">
        <f t="shared" si="179"/>
        <v>OK!</v>
      </c>
      <c r="P329" s="934" t="str">
        <f t="shared" si="179"/>
        <v>OK!</v>
      </c>
      <c r="Q329" s="934" t="str">
        <f t="shared" si="179"/>
        <v>OK!</v>
      </c>
      <c r="R329" s="934" t="str">
        <f t="shared" si="179"/>
        <v>OK!</v>
      </c>
      <c r="S329" s="934" t="str">
        <f t="shared" si="180"/>
        <v>OK!</v>
      </c>
      <c r="T329" s="934" t="str">
        <f t="shared" si="180"/>
        <v>OK!</v>
      </c>
    </row>
    <row r="330" spans="1:20" x14ac:dyDescent="0.15">
      <c r="A330" s="965" t="str">
        <f>A$12</f>
        <v>Angazhimet kujtesë</v>
      </c>
      <c r="B330" s="959"/>
      <c r="C330" s="959">
        <f>'(C5) Angazhimet'!D113</f>
        <v>0</v>
      </c>
      <c r="D330" s="959">
        <f>'(C5) Angazhimet'!E113</f>
        <v>0</v>
      </c>
      <c r="E330" s="959">
        <f>'(C5) Angazhimet'!F113</f>
        <v>0</v>
      </c>
      <c r="F330" s="934" t="str">
        <f>IF(C330&gt;C329,"STOPP!","OK!")</f>
        <v>OK!</v>
      </c>
      <c r="G330" s="934" t="str">
        <f t="shared" ref="G330:R330" si="181">IF(D330&lt;0,"STOPP!","OK!")</f>
        <v>OK!</v>
      </c>
      <c r="H330" s="934" t="str">
        <f t="shared" si="181"/>
        <v>OK!</v>
      </c>
      <c r="I330" s="934" t="str">
        <f t="shared" si="181"/>
        <v>OK!</v>
      </c>
      <c r="J330" s="934" t="str">
        <f t="shared" si="181"/>
        <v>OK!</v>
      </c>
      <c r="K330" s="934" t="str">
        <f t="shared" si="181"/>
        <v>OK!</v>
      </c>
      <c r="L330" s="934" t="str">
        <f t="shared" si="181"/>
        <v>OK!</v>
      </c>
      <c r="M330" s="934" t="str">
        <f t="shared" si="181"/>
        <v>OK!</v>
      </c>
      <c r="N330" s="934" t="str">
        <f t="shared" si="181"/>
        <v>OK!</v>
      </c>
      <c r="O330" s="934" t="str">
        <f t="shared" si="181"/>
        <v>OK!</v>
      </c>
      <c r="P330" s="934" t="str">
        <f t="shared" si="181"/>
        <v>OK!</v>
      </c>
      <c r="Q330" s="934" t="str">
        <f t="shared" si="181"/>
        <v>OK!</v>
      </c>
      <c r="R330" s="934" t="str">
        <f t="shared" si="181"/>
        <v>OK!</v>
      </c>
      <c r="S330" s="934" t="str">
        <f>IF(D330&gt;D329,"STOPP!","OK!")</f>
        <v>OK!</v>
      </c>
      <c r="T330" s="934" t="str">
        <f>IF(E330&gt;E329,"STOPP!","OK!")</f>
        <v>OK!</v>
      </c>
    </row>
    <row r="331" spans="1:20" ht="22.5" customHeight="1" x14ac:dyDescent="0.25">
      <c r="A331" s="1082" t="str">
        <f>'(B2) Struktura Organizative'!A26</f>
        <v>Nënfunksioni 20</v>
      </c>
      <c r="B331" s="1076" t="str">
        <f>'(B2) Struktura Organizative'!B26</f>
        <v>082 Shërbimet kulturore</v>
      </c>
      <c r="C331" s="1077"/>
      <c r="D331" s="1077"/>
      <c r="E331" s="1078"/>
      <c r="G331" s="933">
        <f>C335</f>
        <v>34798500</v>
      </c>
      <c r="H331" s="933">
        <f>D335</f>
        <v>34848500</v>
      </c>
      <c r="I331" s="933">
        <f>E335</f>
        <v>34858500</v>
      </c>
      <c r="J331" s="933">
        <f>C332</f>
        <v>15714600</v>
      </c>
      <c r="K331" s="933">
        <f>D332</f>
        <v>16186060</v>
      </c>
      <c r="L331" s="933">
        <f>E332</f>
        <v>16690000</v>
      </c>
      <c r="M331" s="933">
        <f>C333</f>
        <v>12100600</v>
      </c>
      <c r="N331" s="933">
        <f>D333</f>
        <v>12463640</v>
      </c>
      <c r="O331" s="933">
        <f>E333</f>
        <v>12800000</v>
      </c>
      <c r="P331" s="933">
        <f>C334</f>
        <v>6983300</v>
      </c>
      <c r="Q331" s="933">
        <f>D334</f>
        <v>6198800</v>
      </c>
      <c r="R331" s="933">
        <f>E334</f>
        <v>5368500</v>
      </c>
    </row>
    <row r="332" spans="1:20" x14ac:dyDescent="0.15">
      <c r="A332" s="958" t="str">
        <f>A$8</f>
        <v>Pagat dhe sigurimet shoqërore</v>
      </c>
      <c r="B332" s="958"/>
      <c r="C332" s="959">
        <f t="shared" ref="C332:E333" si="182">C338+C344+C350</f>
        <v>15714600</v>
      </c>
      <c r="D332" s="959">
        <f t="shared" si="182"/>
        <v>16186060</v>
      </c>
      <c r="E332" s="959">
        <f t="shared" si="182"/>
        <v>16690000</v>
      </c>
      <c r="F332" s="934" t="str">
        <f t="shared" ref="F332:R335" si="183">IF(C332&lt;0,"STOPP!","OK!")</f>
        <v>OK!</v>
      </c>
      <c r="G332" s="934" t="str">
        <f t="shared" si="183"/>
        <v>OK!</v>
      </c>
      <c r="H332" s="934" t="str">
        <f t="shared" si="183"/>
        <v>OK!</v>
      </c>
      <c r="I332" s="934" t="str">
        <f t="shared" si="183"/>
        <v>OK!</v>
      </c>
      <c r="J332" s="934" t="str">
        <f t="shared" si="183"/>
        <v>OK!</v>
      </c>
      <c r="K332" s="934" t="str">
        <f t="shared" si="183"/>
        <v>OK!</v>
      </c>
      <c r="L332" s="934" t="str">
        <f t="shared" si="183"/>
        <v>OK!</v>
      </c>
      <c r="M332" s="934" t="str">
        <f t="shared" si="183"/>
        <v>OK!</v>
      </c>
      <c r="N332" s="934" t="str">
        <f t="shared" si="183"/>
        <v>OK!</v>
      </c>
      <c r="O332" s="934" t="str">
        <f t="shared" si="183"/>
        <v>OK!</v>
      </c>
      <c r="P332" s="934" t="str">
        <f t="shared" si="183"/>
        <v>OK!</v>
      </c>
      <c r="Q332" s="934" t="str">
        <f t="shared" si="183"/>
        <v>OK!</v>
      </c>
      <c r="R332" s="934" t="str">
        <f t="shared" si="183"/>
        <v>OK!</v>
      </c>
      <c r="S332" s="934" t="str">
        <f t="shared" ref="S332:T335" si="184">IF(D332&lt;0,"STOPP!","OK!")</f>
        <v>OK!</v>
      </c>
      <c r="T332" s="934" t="str">
        <f t="shared" si="184"/>
        <v>OK!</v>
      </c>
    </row>
    <row r="333" spans="1:20" x14ac:dyDescent="0.15">
      <c r="A333" s="958" t="str">
        <f>A$9</f>
        <v>Të tjera shpenzime korrente</v>
      </c>
      <c r="B333" s="958"/>
      <c r="C333" s="959">
        <f t="shared" si="182"/>
        <v>12100600</v>
      </c>
      <c r="D333" s="959">
        <f t="shared" si="182"/>
        <v>12463640</v>
      </c>
      <c r="E333" s="959">
        <f t="shared" si="182"/>
        <v>12800000</v>
      </c>
      <c r="F333" s="934" t="str">
        <f t="shared" si="183"/>
        <v>OK!</v>
      </c>
      <c r="G333" s="934" t="str">
        <f t="shared" si="183"/>
        <v>OK!</v>
      </c>
      <c r="H333" s="934" t="str">
        <f t="shared" si="183"/>
        <v>OK!</v>
      </c>
      <c r="I333" s="934" t="str">
        <f t="shared" si="183"/>
        <v>OK!</v>
      </c>
      <c r="J333" s="934" t="str">
        <f t="shared" si="183"/>
        <v>OK!</v>
      </c>
      <c r="K333" s="934" t="str">
        <f t="shared" si="183"/>
        <v>OK!</v>
      </c>
      <c r="L333" s="934" t="str">
        <f t="shared" si="183"/>
        <v>OK!</v>
      </c>
      <c r="M333" s="934" t="str">
        <f t="shared" si="183"/>
        <v>OK!</v>
      </c>
      <c r="N333" s="934" t="str">
        <f t="shared" si="183"/>
        <v>OK!</v>
      </c>
      <c r="O333" s="934" t="str">
        <f t="shared" si="183"/>
        <v>OK!</v>
      </c>
      <c r="P333" s="934" t="str">
        <f t="shared" si="183"/>
        <v>OK!</v>
      </c>
      <c r="Q333" s="934" t="str">
        <f t="shared" si="183"/>
        <v>OK!</v>
      </c>
      <c r="R333" s="934" t="str">
        <f t="shared" si="183"/>
        <v>OK!</v>
      </c>
      <c r="S333" s="934" t="str">
        <f t="shared" si="184"/>
        <v>OK!</v>
      </c>
      <c r="T333" s="934" t="str">
        <f t="shared" si="184"/>
        <v>OK!</v>
      </c>
    </row>
    <row r="334" spans="1:20" x14ac:dyDescent="0.15">
      <c r="A334" s="960" t="str">
        <f>A$10</f>
        <v>Shpenzimet kapitale</v>
      </c>
      <c r="B334" s="961"/>
      <c r="C334" s="959">
        <f>C335-C332-C333</f>
        <v>6983300</v>
      </c>
      <c r="D334" s="962">
        <f>D335-D332-D333</f>
        <v>6198800</v>
      </c>
      <c r="E334" s="962">
        <f>E335-E332-E333</f>
        <v>5368500</v>
      </c>
      <c r="F334" s="934" t="str">
        <f t="shared" si="183"/>
        <v>OK!</v>
      </c>
      <c r="G334" s="934" t="str">
        <f t="shared" si="183"/>
        <v>OK!</v>
      </c>
      <c r="H334" s="934" t="str">
        <f t="shared" si="183"/>
        <v>OK!</v>
      </c>
      <c r="I334" s="934" t="str">
        <f t="shared" si="183"/>
        <v>OK!</v>
      </c>
      <c r="J334" s="934" t="str">
        <f t="shared" si="183"/>
        <v>OK!</v>
      </c>
      <c r="K334" s="934" t="str">
        <f t="shared" si="183"/>
        <v>OK!</v>
      </c>
      <c r="L334" s="934" t="str">
        <f t="shared" si="183"/>
        <v>OK!</v>
      </c>
      <c r="M334" s="934" t="str">
        <f t="shared" si="183"/>
        <v>OK!</v>
      </c>
      <c r="N334" s="934" t="str">
        <f t="shared" si="183"/>
        <v>OK!</v>
      </c>
      <c r="O334" s="934" t="str">
        <f t="shared" si="183"/>
        <v>OK!</v>
      </c>
      <c r="P334" s="934" t="str">
        <f t="shared" si="183"/>
        <v>OK!</v>
      </c>
      <c r="Q334" s="934" t="str">
        <f t="shared" si="183"/>
        <v>OK!</v>
      </c>
      <c r="R334" s="934" t="str">
        <f t="shared" si="183"/>
        <v>OK!</v>
      </c>
      <c r="S334" s="934" t="str">
        <f t="shared" si="184"/>
        <v>OK!</v>
      </c>
      <c r="T334" s="934" t="str">
        <f t="shared" si="184"/>
        <v>OK!</v>
      </c>
    </row>
    <row r="335" spans="1:20" x14ac:dyDescent="0.15">
      <c r="A335" s="963" t="str">
        <f>A$11</f>
        <v>Tavanet e përgjithshme</v>
      </c>
      <c r="B335" s="964"/>
      <c r="C335" s="1023">
        <f>C341+C347+C353</f>
        <v>34798500</v>
      </c>
      <c r="D335" s="1023">
        <f>D341+D347+D353</f>
        <v>34848500</v>
      </c>
      <c r="E335" s="1023">
        <f>E341+E347+E353</f>
        <v>34858500</v>
      </c>
      <c r="F335" s="934" t="str">
        <f t="shared" si="183"/>
        <v>OK!</v>
      </c>
      <c r="G335" s="934" t="str">
        <f t="shared" si="183"/>
        <v>OK!</v>
      </c>
      <c r="H335" s="934" t="str">
        <f t="shared" si="183"/>
        <v>OK!</v>
      </c>
      <c r="I335" s="934" t="str">
        <f t="shared" si="183"/>
        <v>OK!</v>
      </c>
      <c r="J335" s="934" t="str">
        <f t="shared" si="183"/>
        <v>OK!</v>
      </c>
      <c r="K335" s="934" t="str">
        <f t="shared" si="183"/>
        <v>OK!</v>
      </c>
      <c r="L335" s="934" t="str">
        <f t="shared" si="183"/>
        <v>OK!</v>
      </c>
      <c r="M335" s="934" t="str">
        <f t="shared" si="183"/>
        <v>OK!</v>
      </c>
      <c r="N335" s="934" t="str">
        <f t="shared" si="183"/>
        <v>OK!</v>
      </c>
      <c r="O335" s="934" t="str">
        <f t="shared" si="183"/>
        <v>OK!</v>
      </c>
      <c r="P335" s="934" t="str">
        <f t="shared" si="183"/>
        <v>OK!</v>
      </c>
      <c r="Q335" s="934" t="str">
        <f t="shared" si="183"/>
        <v>OK!</v>
      </c>
      <c r="R335" s="934" t="str">
        <f t="shared" si="183"/>
        <v>OK!</v>
      </c>
      <c r="S335" s="934" t="str">
        <f t="shared" si="184"/>
        <v>OK!</v>
      </c>
      <c r="T335" s="934" t="str">
        <f t="shared" si="184"/>
        <v>OK!</v>
      </c>
    </row>
    <row r="336" spans="1:20" x14ac:dyDescent="0.15">
      <c r="A336" s="965" t="str">
        <f>A$12</f>
        <v>Angazhimet kujtesë</v>
      </c>
      <c r="B336" s="959"/>
      <c r="C336" s="959">
        <f>'(C5) Angazhimet'!D121</f>
        <v>0</v>
      </c>
      <c r="D336" s="962">
        <f>'(C5) Angazhimet'!E121</f>
        <v>0</v>
      </c>
      <c r="E336" s="962">
        <f>'(C5) Angazhimet'!F121</f>
        <v>0</v>
      </c>
      <c r="F336" s="934" t="str">
        <f>IF(C336&gt;C335,"STOPP!","OK!")</f>
        <v>OK!</v>
      </c>
      <c r="G336" s="934" t="str">
        <f t="shared" ref="G336:R336" si="185">IF(D336&lt;0,"STOPP!","OK!")</f>
        <v>OK!</v>
      </c>
      <c r="H336" s="934" t="str">
        <f t="shared" si="185"/>
        <v>OK!</v>
      </c>
      <c r="I336" s="934" t="str">
        <f t="shared" si="185"/>
        <v>OK!</v>
      </c>
      <c r="J336" s="934" t="str">
        <f t="shared" si="185"/>
        <v>OK!</v>
      </c>
      <c r="K336" s="934" t="str">
        <f t="shared" si="185"/>
        <v>OK!</v>
      </c>
      <c r="L336" s="934" t="str">
        <f t="shared" si="185"/>
        <v>OK!</v>
      </c>
      <c r="M336" s="934" t="str">
        <f t="shared" si="185"/>
        <v>OK!</v>
      </c>
      <c r="N336" s="934" t="str">
        <f t="shared" si="185"/>
        <v>OK!</v>
      </c>
      <c r="O336" s="934" t="str">
        <f t="shared" si="185"/>
        <v>OK!</v>
      </c>
      <c r="P336" s="934" t="str">
        <f t="shared" si="185"/>
        <v>OK!</v>
      </c>
      <c r="Q336" s="934" t="str">
        <f t="shared" si="185"/>
        <v>OK!</v>
      </c>
      <c r="R336" s="934" t="str">
        <f t="shared" si="185"/>
        <v>OK!</v>
      </c>
      <c r="S336" s="934" t="str">
        <f>IF(D336&gt;D335,"STOPP!","OK!")</f>
        <v>OK!</v>
      </c>
      <c r="T336" s="934" t="str">
        <f>IF(E336&gt;E335,"STOPP!","OK!")</f>
        <v>OK!</v>
      </c>
    </row>
    <row r="337" spans="1:20" ht="15.75" customHeight="1" x14ac:dyDescent="0.15">
      <c r="A337" s="1021" t="str">
        <f>'(B3) Struktura Funksionale'!B103</f>
        <v>08220</v>
      </c>
      <c r="B337" s="1079" t="str">
        <f>'(B3) Struktura Funksionale'!C103</f>
        <v>Trashëgimia kulturore, eventet artistike dhe kulturore</v>
      </c>
      <c r="C337" s="1080"/>
      <c r="D337" s="1080"/>
      <c r="E337" s="1081"/>
      <c r="F337" s="934"/>
      <c r="G337" s="934"/>
      <c r="H337" s="934"/>
      <c r="I337" s="934"/>
      <c r="J337" s="934"/>
      <c r="K337" s="934"/>
      <c r="L337" s="934"/>
      <c r="M337" s="934"/>
      <c r="N337" s="934"/>
      <c r="O337" s="934"/>
      <c r="P337" s="934"/>
      <c r="Q337" s="934"/>
      <c r="R337" s="934"/>
      <c r="S337" s="934"/>
      <c r="T337" s="934"/>
    </row>
    <row r="338" spans="1:20" x14ac:dyDescent="0.15">
      <c r="A338" s="958" t="str">
        <f>A$8</f>
        <v>Pagat dhe sigurimet shoqërore</v>
      </c>
      <c r="B338" s="958"/>
      <c r="C338" s="966">
        <v>15714600</v>
      </c>
      <c r="D338" s="966">
        <v>16186060</v>
      </c>
      <c r="E338" s="966">
        <v>16690000</v>
      </c>
      <c r="F338" s="934" t="str">
        <f t="shared" ref="F338:R341" si="186">IF(C338&lt;0,"STOPP!","OK!")</f>
        <v>OK!</v>
      </c>
      <c r="G338" s="934" t="str">
        <f t="shared" si="186"/>
        <v>OK!</v>
      </c>
      <c r="H338" s="934" t="str">
        <f t="shared" si="186"/>
        <v>OK!</v>
      </c>
      <c r="I338" s="934" t="str">
        <f t="shared" si="186"/>
        <v>OK!</v>
      </c>
      <c r="J338" s="934" t="str">
        <f t="shared" si="186"/>
        <v>OK!</v>
      </c>
      <c r="K338" s="934" t="str">
        <f t="shared" si="186"/>
        <v>OK!</v>
      </c>
      <c r="L338" s="934" t="str">
        <f t="shared" si="186"/>
        <v>OK!</v>
      </c>
      <c r="M338" s="934" t="str">
        <f t="shared" si="186"/>
        <v>OK!</v>
      </c>
      <c r="N338" s="934" t="str">
        <f t="shared" si="186"/>
        <v>OK!</v>
      </c>
      <c r="O338" s="934" t="str">
        <f t="shared" si="186"/>
        <v>OK!</v>
      </c>
      <c r="P338" s="934" t="str">
        <f t="shared" si="186"/>
        <v>OK!</v>
      </c>
      <c r="Q338" s="934" t="str">
        <f t="shared" si="186"/>
        <v>OK!</v>
      </c>
      <c r="R338" s="934" t="str">
        <f t="shared" si="186"/>
        <v>OK!</v>
      </c>
      <c r="S338" s="934" t="str">
        <f t="shared" ref="S338:T341" si="187">IF(D338&lt;0,"STOPP!","OK!")</f>
        <v>OK!</v>
      </c>
      <c r="T338" s="934" t="str">
        <f t="shared" si="187"/>
        <v>OK!</v>
      </c>
    </row>
    <row r="339" spans="1:20" x14ac:dyDescent="0.15">
      <c r="A339" s="958" t="str">
        <f>A$9</f>
        <v>Të tjera shpenzime korrente</v>
      </c>
      <c r="B339" s="958"/>
      <c r="C339" s="967">
        <v>12100600</v>
      </c>
      <c r="D339" s="967">
        <v>12463640</v>
      </c>
      <c r="E339" s="967">
        <v>12800000</v>
      </c>
      <c r="F339" s="934" t="str">
        <f t="shared" si="186"/>
        <v>OK!</v>
      </c>
      <c r="G339" s="934" t="str">
        <f t="shared" si="186"/>
        <v>OK!</v>
      </c>
      <c r="H339" s="934" t="str">
        <f t="shared" si="186"/>
        <v>OK!</v>
      </c>
      <c r="I339" s="934" t="str">
        <f t="shared" si="186"/>
        <v>OK!</v>
      </c>
      <c r="J339" s="934" t="str">
        <f t="shared" si="186"/>
        <v>OK!</v>
      </c>
      <c r="K339" s="934" t="str">
        <f t="shared" si="186"/>
        <v>OK!</v>
      </c>
      <c r="L339" s="934" t="str">
        <f t="shared" si="186"/>
        <v>OK!</v>
      </c>
      <c r="M339" s="934" t="str">
        <f t="shared" si="186"/>
        <v>OK!</v>
      </c>
      <c r="N339" s="934" t="str">
        <f t="shared" si="186"/>
        <v>OK!</v>
      </c>
      <c r="O339" s="934" t="str">
        <f t="shared" si="186"/>
        <v>OK!</v>
      </c>
      <c r="P339" s="934" t="str">
        <f t="shared" si="186"/>
        <v>OK!</v>
      </c>
      <c r="Q339" s="934" t="str">
        <f t="shared" si="186"/>
        <v>OK!</v>
      </c>
      <c r="R339" s="934" t="str">
        <f t="shared" si="186"/>
        <v>OK!</v>
      </c>
      <c r="S339" s="934" t="str">
        <f t="shared" si="187"/>
        <v>OK!</v>
      </c>
      <c r="T339" s="934" t="str">
        <f t="shared" si="187"/>
        <v>OK!</v>
      </c>
    </row>
    <row r="340" spans="1:20" x14ac:dyDescent="0.15">
      <c r="A340" s="960" t="str">
        <f>A$10</f>
        <v>Shpenzimet kapitale</v>
      </c>
      <c r="B340" s="961"/>
      <c r="C340" s="959">
        <f>C341-C338-C339</f>
        <v>6983300</v>
      </c>
      <c r="D340" s="962">
        <f>D341-D338-D339</f>
        <v>6198800</v>
      </c>
      <c r="E340" s="962">
        <f>E341-E338-E339</f>
        <v>5368500</v>
      </c>
      <c r="F340" s="934" t="str">
        <f t="shared" si="186"/>
        <v>OK!</v>
      </c>
      <c r="G340" s="934" t="str">
        <f t="shared" si="186"/>
        <v>OK!</v>
      </c>
      <c r="H340" s="934" t="str">
        <f t="shared" si="186"/>
        <v>OK!</v>
      </c>
      <c r="I340" s="934" t="str">
        <f t="shared" si="186"/>
        <v>OK!</v>
      </c>
      <c r="J340" s="934" t="str">
        <f t="shared" si="186"/>
        <v>OK!</v>
      </c>
      <c r="K340" s="934" t="str">
        <f t="shared" si="186"/>
        <v>OK!</v>
      </c>
      <c r="L340" s="934" t="str">
        <f t="shared" si="186"/>
        <v>OK!</v>
      </c>
      <c r="M340" s="934" t="str">
        <f t="shared" si="186"/>
        <v>OK!</v>
      </c>
      <c r="N340" s="934" t="str">
        <f t="shared" si="186"/>
        <v>OK!</v>
      </c>
      <c r="O340" s="934" t="str">
        <f t="shared" si="186"/>
        <v>OK!</v>
      </c>
      <c r="P340" s="934" t="str">
        <f t="shared" si="186"/>
        <v>OK!</v>
      </c>
      <c r="Q340" s="934" t="str">
        <f t="shared" si="186"/>
        <v>OK!</v>
      </c>
      <c r="R340" s="934" t="str">
        <f t="shared" si="186"/>
        <v>OK!</v>
      </c>
      <c r="S340" s="934" t="str">
        <f t="shared" si="187"/>
        <v>OK!</v>
      </c>
      <c r="T340" s="934" t="str">
        <f t="shared" si="187"/>
        <v>OK!</v>
      </c>
    </row>
    <row r="341" spans="1:20" x14ac:dyDescent="0.15">
      <c r="A341" s="963" t="str">
        <f>A$11</f>
        <v>Tavanet e përgjithshme</v>
      </c>
      <c r="B341" s="964"/>
      <c r="C341" s="968">
        <f>29615200+288000+4895300</f>
        <v>34798500</v>
      </c>
      <c r="D341" s="968">
        <f>29615200+288000+4895300+50000</f>
        <v>34848500</v>
      </c>
      <c r="E341" s="968">
        <f>29615200+288000+4895300+60000</f>
        <v>34858500</v>
      </c>
      <c r="F341" s="934" t="str">
        <f t="shared" si="186"/>
        <v>OK!</v>
      </c>
      <c r="G341" s="934" t="str">
        <f t="shared" si="186"/>
        <v>OK!</v>
      </c>
      <c r="H341" s="934" t="str">
        <f t="shared" si="186"/>
        <v>OK!</v>
      </c>
      <c r="I341" s="934" t="str">
        <f t="shared" si="186"/>
        <v>OK!</v>
      </c>
      <c r="J341" s="934" t="str">
        <f t="shared" si="186"/>
        <v>OK!</v>
      </c>
      <c r="K341" s="934" t="str">
        <f t="shared" si="186"/>
        <v>OK!</v>
      </c>
      <c r="L341" s="934" t="str">
        <f t="shared" si="186"/>
        <v>OK!</v>
      </c>
      <c r="M341" s="934" t="str">
        <f t="shared" si="186"/>
        <v>OK!</v>
      </c>
      <c r="N341" s="934" t="str">
        <f t="shared" si="186"/>
        <v>OK!</v>
      </c>
      <c r="O341" s="934" t="str">
        <f t="shared" si="186"/>
        <v>OK!</v>
      </c>
      <c r="P341" s="934" t="str">
        <f t="shared" si="186"/>
        <v>OK!</v>
      </c>
      <c r="Q341" s="934" t="str">
        <f t="shared" si="186"/>
        <v>OK!</v>
      </c>
      <c r="R341" s="934" t="str">
        <f t="shared" si="186"/>
        <v>OK!</v>
      </c>
      <c r="S341" s="934" t="str">
        <f t="shared" si="187"/>
        <v>OK!</v>
      </c>
      <c r="T341" s="934" t="str">
        <f t="shared" si="187"/>
        <v>OK!</v>
      </c>
    </row>
    <row r="342" spans="1:20" x14ac:dyDescent="0.15">
      <c r="A342" s="965" t="str">
        <f>A$12</f>
        <v>Angazhimet kujtesë</v>
      </c>
      <c r="B342" s="959"/>
      <c r="C342" s="959">
        <f>'(C5) Angazhimet'!D117</f>
        <v>0</v>
      </c>
      <c r="D342" s="959">
        <f>'(C5) Angazhimet'!E117</f>
        <v>0</v>
      </c>
      <c r="E342" s="959">
        <f>'(C5) Angazhimet'!F117</f>
        <v>0</v>
      </c>
      <c r="F342" s="934" t="str">
        <f>IF(C342&gt;C341,"STOPP!","OK!")</f>
        <v>OK!</v>
      </c>
      <c r="G342" s="934" t="str">
        <f t="shared" ref="G342:R342" si="188">IF(D342&lt;0,"STOPP!","OK!")</f>
        <v>OK!</v>
      </c>
      <c r="H342" s="934" t="str">
        <f t="shared" si="188"/>
        <v>OK!</v>
      </c>
      <c r="I342" s="934" t="str">
        <f t="shared" si="188"/>
        <v>OK!</v>
      </c>
      <c r="J342" s="934" t="str">
        <f t="shared" si="188"/>
        <v>OK!</v>
      </c>
      <c r="K342" s="934" t="str">
        <f t="shared" si="188"/>
        <v>OK!</v>
      </c>
      <c r="L342" s="934" t="str">
        <f t="shared" si="188"/>
        <v>OK!</v>
      </c>
      <c r="M342" s="934" t="str">
        <f t="shared" si="188"/>
        <v>OK!</v>
      </c>
      <c r="N342" s="934" t="str">
        <f t="shared" si="188"/>
        <v>OK!</v>
      </c>
      <c r="O342" s="934" t="str">
        <f t="shared" si="188"/>
        <v>OK!</v>
      </c>
      <c r="P342" s="934" t="str">
        <f t="shared" si="188"/>
        <v>OK!</v>
      </c>
      <c r="Q342" s="934" t="str">
        <f t="shared" si="188"/>
        <v>OK!</v>
      </c>
      <c r="R342" s="934" t="str">
        <f t="shared" si="188"/>
        <v>OK!</v>
      </c>
      <c r="S342" s="934" t="str">
        <f>IF(D342&gt;D341,"STOPP!","OK!")</f>
        <v>OK!</v>
      </c>
      <c r="T342" s="934" t="str">
        <f>IF(E342&gt;E341,"STOPP!","OK!")</f>
        <v>OK!</v>
      </c>
    </row>
    <row r="343" spans="1:20" ht="15.75" hidden="1" customHeight="1" x14ac:dyDescent="0.15">
      <c r="A343" s="1089" t="str">
        <f>'(B3) Struktura Funksionale'!B104</f>
        <v>08230</v>
      </c>
      <c r="B343" s="1079" t="str">
        <f>'(B3) Struktura Funksionale'!C104</f>
        <v>Arti dhe kultura</v>
      </c>
      <c r="C343" s="1080"/>
      <c r="D343" s="1080"/>
      <c r="E343" s="1081"/>
      <c r="F343" s="934"/>
      <c r="G343" s="934"/>
      <c r="H343" s="934"/>
      <c r="I343" s="934"/>
      <c r="J343" s="934"/>
      <c r="K343" s="934"/>
      <c r="L343" s="934"/>
      <c r="M343" s="934"/>
      <c r="N343" s="934"/>
      <c r="O343" s="934"/>
      <c r="P343" s="934"/>
      <c r="Q343" s="934"/>
      <c r="R343" s="934"/>
      <c r="S343" s="934"/>
      <c r="T343" s="934"/>
    </row>
    <row r="344" spans="1:20" ht="12.75" hidden="1" customHeight="1" x14ac:dyDescent="0.15">
      <c r="A344" s="958" t="str">
        <f>A$8</f>
        <v>Pagat dhe sigurimet shoqërore</v>
      </c>
      <c r="B344" s="958"/>
      <c r="C344" s="966"/>
      <c r="D344" s="966"/>
      <c r="E344" s="966"/>
      <c r="F344" s="934" t="str">
        <f t="shared" ref="F344:R347" si="189">IF(C344&lt;0,"STOPP!","OK!")</f>
        <v>OK!</v>
      </c>
      <c r="G344" s="934" t="str">
        <f t="shared" si="189"/>
        <v>OK!</v>
      </c>
      <c r="H344" s="934" t="str">
        <f t="shared" si="189"/>
        <v>OK!</v>
      </c>
      <c r="I344" s="934" t="str">
        <f t="shared" si="189"/>
        <v>OK!</v>
      </c>
      <c r="J344" s="934" t="str">
        <f t="shared" si="189"/>
        <v>OK!</v>
      </c>
      <c r="K344" s="934" t="str">
        <f t="shared" si="189"/>
        <v>OK!</v>
      </c>
      <c r="L344" s="934" t="str">
        <f t="shared" si="189"/>
        <v>OK!</v>
      </c>
      <c r="M344" s="934" t="str">
        <f t="shared" si="189"/>
        <v>OK!</v>
      </c>
      <c r="N344" s="934" t="str">
        <f t="shared" si="189"/>
        <v>OK!</v>
      </c>
      <c r="O344" s="934" t="str">
        <f t="shared" si="189"/>
        <v>OK!</v>
      </c>
      <c r="P344" s="934" t="str">
        <f t="shared" si="189"/>
        <v>OK!</v>
      </c>
      <c r="Q344" s="934" t="str">
        <f t="shared" si="189"/>
        <v>OK!</v>
      </c>
      <c r="R344" s="934" t="str">
        <f t="shared" si="189"/>
        <v>OK!</v>
      </c>
      <c r="S344" s="934" t="str">
        <f t="shared" ref="S344:T347" si="190">IF(D344&lt;0,"STOPP!","OK!")</f>
        <v>OK!</v>
      </c>
      <c r="T344" s="934" t="str">
        <f t="shared" si="190"/>
        <v>OK!</v>
      </c>
    </row>
    <row r="345" spans="1:20" ht="12.75" hidden="1" customHeight="1" x14ac:dyDescent="0.15">
      <c r="A345" s="958" t="str">
        <f>A$9</f>
        <v>Të tjera shpenzime korrente</v>
      </c>
      <c r="B345" s="958"/>
      <c r="C345" s="967"/>
      <c r="D345" s="967"/>
      <c r="E345" s="967"/>
      <c r="F345" s="934" t="str">
        <f t="shared" si="189"/>
        <v>OK!</v>
      </c>
      <c r="G345" s="934" t="str">
        <f t="shared" si="189"/>
        <v>OK!</v>
      </c>
      <c r="H345" s="934" t="str">
        <f t="shared" si="189"/>
        <v>OK!</v>
      </c>
      <c r="I345" s="934" t="str">
        <f t="shared" si="189"/>
        <v>OK!</v>
      </c>
      <c r="J345" s="934" t="str">
        <f t="shared" si="189"/>
        <v>OK!</v>
      </c>
      <c r="K345" s="934" t="str">
        <f t="shared" si="189"/>
        <v>OK!</v>
      </c>
      <c r="L345" s="934" t="str">
        <f t="shared" si="189"/>
        <v>OK!</v>
      </c>
      <c r="M345" s="934" t="str">
        <f t="shared" si="189"/>
        <v>OK!</v>
      </c>
      <c r="N345" s="934" t="str">
        <f t="shared" si="189"/>
        <v>OK!</v>
      </c>
      <c r="O345" s="934" t="str">
        <f t="shared" si="189"/>
        <v>OK!</v>
      </c>
      <c r="P345" s="934" t="str">
        <f t="shared" si="189"/>
        <v>OK!</v>
      </c>
      <c r="Q345" s="934" t="str">
        <f t="shared" si="189"/>
        <v>OK!</v>
      </c>
      <c r="R345" s="934" t="str">
        <f t="shared" si="189"/>
        <v>OK!</v>
      </c>
      <c r="S345" s="934" t="str">
        <f t="shared" si="190"/>
        <v>OK!</v>
      </c>
      <c r="T345" s="934" t="str">
        <f t="shared" si="190"/>
        <v>OK!</v>
      </c>
    </row>
    <row r="346" spans="1:20" ht="12.75" hidden="1" customHeight="1" x14ac:dyDescent="0.15">
      <c r="A346" s="960" t="str">
        <f>A$10</f>
        <v>Shpenzimet kapitale</v>
      </c>
      <c r="B346" s="961"/>
      <c r="C346" s="959">
        <f>C347-C344-C345</f>
        <v>0</v>
      </c>
      <c r="D346" s="962">
        <f>D347-D344-D345</f>
        <v>0</v>
      </c>
      <c r="E346" s="962">
        <f>E347-E344-E345</f>
        <v>0</v>
      </c>
      <c r="F346" s="934" t="str">
        <f t="shared" si="189"/>
        <v>OK!</v>
      </c>
      <c r="G346" s="934" t="str">
        <f t="shared" si="189"/>
        <v>OK!</v>
      </c>
      <c r="H346" s="934" t="str">
        <f t="shared" si="189"/>
        <v>OK!</v>
      </c>
      <c r="I346" s="934" t="str">
        <f t="shared" si="189"/>
        <v>OK!</v>
      </c>
      <c r="J346" s="934" t="str">
        <f t="shared" si="189"/>
        <v>OK!</v>
      </c>
      <c r="K346" s="934" t="str">
        <f t="shared" si="189"/>
        <v>OK!</v>
      </c>
      <c r="L346" s="934" t="str">
        <f t="shared" si="189"/>
        <v>OK!</v>
      </c>
      <c r="M346" s="934" t="str">
        <f t="shared" si="189"/>
        <v>OK!</v>
      </c>
      <c r="N346" s="934" t="str">
        <f t="shared" si="189"/>
        <v>OK!</v>
      </c>
      <c r="O346" s="934" t="str">
        <f t="shared" si="189"/>
        <v>OK!</v>
      </c>
      <c r="P346" s="934" t="str">
        <f t="shared" si="189"/>
        <v>OK!</v>
      </c>
      <c r="Q346" s="934" t="str">
        <f t="shared" si="189"/>
        <v>OK!</v>
      </c>
      <c r="R346" s="934" t="str">
        <f t="shared" si="189"/>
        <v>OK!</v>
      </c>
      <c r="S346" s="934" t="str">
        <f t="shared" si="190"/>
        <v>OK!</v>
      </c>
      <c r="T346" s="934" t="str">
        <f t="shared" si="190"/>
        <v>OK!</v>
      </c>
    </row>
    <row r="347" spans="1:20" ht="12.75" hidden="1" customHeight="1" x14ac:dyDescent="0.15">
      <c r="A347" s="963" t="str">
        <f>A$11</f>
        <v>Tavanet e përgjithshme</v>
      </c>
      <c r="B347" s="964"/>
      <c r="C347" s="968"/>
      <c r="D347" s="969"/>
      <c r="E347" s="969"/>
      <c r="F347" s="934" t="str">
        <f t="shared" si="189"/>
        <v>OK!</v>
      </c>
      <c r="G347" s="934" t="str">
        <f t="shared" si="189"/>
        <v>OK!</v>
      </c>
      <c r="H347" s="934" t="str">
        <f t="shared" si="189"/>
        <v>OK!</v>
      </c>
      <c r="I347" s="934" t="str">
        <f t="shared" si="189"/>
        <v>OK!</v>
      </c>
      <c r="J347" s="934" t="str">
        <f t="shared" si="189"/>
        <v>OK!</v>
      </c>
      <c r="K347" s="934" t="str">
        <f t="shared" si="189"/>
        <v>OK!</v>
      </c>
      <c r="L347" s="934" t="str">
        <f t="shared" si="189"/>
        <v>OK!</v>
      </c>
      <c r="M347" s="934" t="str">
        <f t="shared" si="189"/>
        <v>OK!</v>
      </c>
      <c r="N347" s="934" t="str">
        <f t="shared" si="189"/>
        <v>OK!</v>
      </c>
      <c r="O347" s="934" t="str">
        <f t="shared" si="189"/>
        <v>OK!</v>
      </c>
      <c r="P347" s="934" t="str">
        <f t="shared" si="189"/>
        <v>OK!</v>
      </c>
      <c r="Q347" s="934" t="str">
        <f t="shared" si="189"/>
        <v>OK!</v>
      </c>
      <c r="R347" s="934" t="str">
        <f t="shared" si="189"/>
        <v>OK!</v>
      </c>
      <c r="S347" s="934" t="str">
        <f t="shared" si="190"/>
        <v>OK!</v>
      </c>
      <c r="T347" s="934" t="str">
        <f t="shared" si="190"/>
        <v>OK!</v>
      </c>
    </row>
    <row r="348" spans="1:20" ht="12.75" hidden="1" customHeight="1" x14ac:dyDescent="0.15">
      <c r="A348" s="965" t="str">
        <f>A$12</f>
        <v>Angazhimet kujtesë</v>
      </c>
      <c r="B348" s="959"/>
      <c r="C348" s="959">
        <f>'(C5) Angazhimet'!D118</f>
        <v>0</v>
      </c>
      <c r="D348" s="959">
        <f>'(C5) Angazhimet'!E118</f>
        <v>0</v>
      </c>
      <c r="E348" s="959">
        <f>'(C5) Angazhimet'!F118</f>
        <v>0</v>
      </c>
      <c r="F348" s="934" t="str">
        <f>IF(C348&gt;C347,"STOPP!","OK!")</f>
        <v>OK!</v>
      </c>
      <c r="G348" s="934" t="str">
        <f t="shared" ref="G348:R348" si="191">IF(D348&lt;0,"STOPP!","OK!")</f>
        <v>OK!</v>
      </c>
      <c r="H348" s="934" t="str">
        <f t="shared" si="191"/>
        <v>OK!</v>
      </c>
      <c r="I348" s="934" t="str">
        <f t="shared" si="191"/>
        <v>OK!</v>
      </c>
      <c r="J348" s="934" t="str">
        <f t="shared" si="191"/>
        <v>OK!</v>
      </c>
      <c r="K348" s="934" t="str">
        <f t="shared" si="191"/>
        <v>OK!</v>
      </c>
      <c r="L348" s="934" t="str">
        <f t="shared" si="191"/>
        <v>OK!</v>
      </c>
      <c r="M348" s="934" t="str">
        <f t="shared" si="191"/>
        <v>OK!</v>
      </c>
      <c r="N348" s="934" t="str">
        <f t="shared" si="191"/>
        <v>OK!</v>
      </c>
      <c r="O348" s="934" t="str">
        <f t="shared" si="191"/>
        <v>OK!</v>
      </c>
      <c r="P348" s="934" t="str">
        <f t="shared" si="191"/>
        <v>OK!</v>
      </c>
      <c r="Q348" s="934" t="str">
        <f t="shared" si="191"/>
        <v>OK!</v>
      </c>
      <c r="R348" s="934" t="str">
        <f t="shared" si="191"/>
        <v>OK!</v>
      </c>
      <c r="S348" s="934" t="str">
        <f>IF(D348&gt;D347,"STOPP!","OK!")</f>
        <v>OK!</v>
      </c>
      <c r="T348" s="934" t="str">
        <f>IF(E348&gt;E347,"STOPP!","OK!")</f>
        <v>OK!</v>
      </c>
    </row>
    <row r="349" spans="1:20" ht="15.75" hidden="1" customHeight="1" x14ac:dyDescent="0.15">
      <c r="A349" s="1089" t="str">
        <f>'(B3) Struktura Funksionale'!B105</f>
        <v>08280</v>
      </c>
      <c r="B349" s="1079" t="str">
        <f>'(B3) Struktura Funksionale'!C105</f>
        <v xml:space="preserve">Muzetë, teatrot dhe eventet kulturore </v>
      </c>
      <c r="C349" s="1080"/>
      <c r="D349" s="1080"/>
      <c r="E349" s="1081"/>
      <c r="F349" s="934"/>
      <c r="G349" s="934"/>
      <c r="H349" s="934"/>
      <c r="I349" s="934"/>
      <c r="J349" s="934"/>
      <c r="K349" s="934"/>
      <c r="L349" s="934"/>
      <c r="M349" s="934"/>
      <c r="N349" s="934"/>
      <c r="O349" s="934"/>
      <c r="P349" s="934"/>
      <c r="Q349" s="934"/>
      <c r="R349" s="934"/>
      <c r="S349" s="934"/>
      <c r="T349" s="934"/>
    </row>
    <row r="350" spans="1:20" ht="12.75" hidden="1" customHeight="1" x14ac:dyDescent="0.15">
      <c r="A350" s="958" t="str">
        <f>A$8</f>
        <v>Pagat dhe sigurimet shoqërore</v>
      </c>
      <c r="B350" s="958"/>
      <c r="C350" s="966"/>
      <c r="D350" s="966"/>
      <c r="E350" s="966"/>
      <c r="F350" s="934" t="str">
        <f t="shared" ref="F350:R353" si="192">IF(C350&lt;0,"STOPP!","OK!")</f>
        <v>OK!</v>
      </c>
      <c r="G350" s="934" t="str">
        <f t="shared" si="192"/>
        <v>OK!</v>
      </c>
      <c r="H350" s="934" t="str">
        <f t="shared" si="192"/>
        <v>OK!</v>
      </c>
      <c r="I350" s="934" t="str">
        <f t="shared" si="192"/>
        <v>OK!</v>
      </c>
      <c r="J350" s="934" t="str">
        <f t="shared" si="192"/>
        <v>OK!</v>
      </c>
      <c r="K350" s="934" t="str">
        <f t="shared" si="192"/>
        <v>OK!</v>
      </c>
      <c r="L350" s="934" t="str">
        <f t="shared" si="192"/>
        <v>OK!</v>
      </c>
      <c r="M350" s="934" t="str">
        <f t="shared" si="192"/>
        <v>OK!</v>
      </c>
      <c r="N350" s="934" t="str">
        <f t="shared" si="192"/>
        <v>OK!</v>
      </c>
      <c r="O350" s="934" t="str">
        <f t="shared" si="192"/>
        <v>OK!</v>
      </c>
      <c r="P350" s="934" t="str">
        <f t="shared" si="192"/>
        <v>OK!</v>
      </c>
      <c r="Q350" s="934" t="str">
        <f t="shared" si="192"/>
        <v>OK!</v>
      </c>
      <c r="R350" s="934" t="str">
        <f t="shared" si="192"/>
        <v>OK!</v>
      </c>
      <c r="S350" s="934" t="str">
        <f t="shared" ref="S350:T353" si="193">IF(D350&lt;0,"STOPP!","OK!")</f>
        <v>OK!</v>
      </c>
      <c r="T350" s="934" t="str">
        <f t="shared" si="193"/>
        <v>OK!</v>
      </c>
    </row>
    <row r="351" spans="1:20" ht="12.75" hidden="1" customHeight="1" x14ac:dyDescent="0.15">
      <c r="A351" s="958" t="str">
        <f>A$9</f>
        <v>Të tjera shpenzime korrente</v>
      </c>
      <c r="B351" s="958"/>
      <c r="C351" s="967"/>
      <c r="D351" s="967"/>
      <c r="E351" s="967"/>
      <c r="F351" s="934" t="str">
        <f t="shared" si="192"/>
        <v>OK!</v>
      </c>
      <c r="G351" s="934" t="str">
        <f t="shared" si="192"/>
        <v>OK!</v>
      </c>
      <c r="H351" s="934" t="str">
        <f t="shared" si="192"/>
        <v>OK!</v>
      </c>
      <c r="I351" s="934" t="str">
        <f t="shared" si="192"/>
        <v>OK!</v>
      </c>
      <c r="J351" s="934" t="str">
        <f t="shared" si="192"/>
        <v>OK!</v>
      </c>
      <c r="K351" s="934" t="str">
        <f t="shared" si="192"/>
        <v>OK!</v>
      </c>
      <c r="L351" s="934" t="str">
        <f t="shared" si="192"/>
        <v>OK!</v>
      </c>
      <c r="M351" s="934" t="str">
        <f t="shared" si="192"/>
        <v>OK!</v>
      </c>
      <c r="N351" s="934" t="str">
        <f t="shared" si="192"/>
        <v>OK!</v>
      </c>
      <c r="O351" s="934" t="str">
        <f t="shared" si="192"/>
        <v>OK!</v>
      </c>
      <c r="P351" s="934" t="str">
        <f t="shared" si="192"/>
        <v>OK!</v>
      </c>
      <c r="Q351" s="934" t="str">
        <f t="shared" si="192"/>
        <v>OK!</v>
      </c>
      <c r="R351" s="934" t="str">
        <f t="shared" si="192"/>
        <v>OK!</v>
      </c>
      <c r="S351" s="934" t="str">
        <f t="shared" si="193"/>
        <v>OK!</v>
      </c>
      <c r="T351" s="934" t="str">
        <f t="shared" si="193"/>
        <v>OK!</v>
      </c>
    </row>
    <row r="352" spans="1:20" ht="12.75" hidden="1" customHeight="1" x14ac:dyDescent="0.15">
      <c r="A352" s="960" t="str">
        <f>A$10</f>
        <v>Shpenzimet kapitale</v>
      </c>
      <c r="B352" s="961"/>
      <c r="C352" s="959">
        <f>C353-C350-C351</f>
        <v>0</v>
      </c>
      <c r="D352" s="962">
        <f>D353-D350-D351</f>
        <v>0</v>
      </c>
      <c r="E352" s="962">
        <f>E353-E350-E351</f>
        <v>0</v>
      </c>
      <c r="F352" s="934" t="str">
        <f t="shared" si="192"/>
        <v>OK!</v>
      </c>
      <c r="G352" s="934" t="str">
        <f t="shared" si="192"/>
        <v>OK!</v>
      </c>
      <c r="H352" s="934" t="str">
        <f t="shared" si="192"/>
        <v>OK!</v>
      </c>
      <c r="I352" s="934" t="str">
        <f t="shared" si="192"/>
        <v>OK!</v>
      </c>
      <c r="J352" s="934" t="str">
        <f t="shared" si="192"/>
        <v>OK!</v>
      </c>
      <c r="K352" s="934" t="str">
        <f t="shared" si="192"/>
        <v>OK!</v>
      </c>
      <c r="L352" s="934" t="str">
        <f t="shared" si="192"/>
        <v>OK!</v>
      </c>
      <c r="M352" s="934" t="str">
        <f t="shared" si="192"/>
        <v>OK!</v>
      </c>
      <c r="N352" s="934" t="str">
        <f t="shared" si="192"/>
        <v>OK!</v>
      </c>
      <c r="O352" s="934" t="str">
        <f t="shared" si="192"/>
        <v>OK!</v>
      </c>
      <c r="P352" s="934" t="str">
        <f t="shared" si="192"/>
        <v>OK!</v>
      </c>
      <c r="Q352" s="934" t="str">
        <f t="shared" si="192"/>
        <v>OK!</v>
      </c>
      <c r="R352" s="934" t="str">
        <f t="shared" si="192"/>
        <v>OK!</v>
      </c>
      <c r="S352" s="934" t="str">
        <f t="shared" si="193"/>
        <v>OK!</v>
      </c>
      <c r="T352" s="934" t="str">
        <f t="shared" si="193"/>
        <v>OK!</v>
      </c>
    </row>
    <row r="353" spans="1:24" ht="12.75" hidden="1" customHeight="1" x14ac:dyDescent="0.15">
      <c r="A353" s="963" t="str">
        <f>A$11</f>
        <v>Tavanet e përgjithshme</v>
      </c>
      <c r="B353" s="964"/>
      <c r="C353" s="968"/>
      <c r="D353" s="969"/>
      <c r="E353" s="969"/>
      <c r="F353" s="934" t="str">
        <f t="shared" si="192"/>
        <v>OK!</v>
      </c>
      <c r="G353" s="934" t="str">
        <f t="shared" si="192"/>
        <v>OK!</v>
      </c>
      <c r="H353" s="934" t="str">
        <f t="shared" si="192"/>
        <v>OK!</v>
      </c>
      <c r="I353" s="934" t="str">
        <f t="shared" si="192"/>
        <v>OK!</v>
      </c>
      <c r="J353" s="934" t="str">
        <f t="shared" si="192"/>
        <v>OK!</v>
      </c>
      <c r="K353" s="934" t="str">
        <f t="shared" si="192"/>
        <v>OK!</v>
      </c>
      <c r="L353" s="934" t="str">
        <f t="shared" si="192"/>
        <v>OK!</v>
      </c>
      <c r="M353" s="934" t="str">
        <f t="shared" si="192"/>
        <v>OK!</v>
      </c>
      <c r="N353" s="934" t="str">
        <f t="shared" si="192"/>
        <v>OK!</v>
      </c>
      <c r="O353" s="934" t="str">
        <f t="shared" si="192"/>
        <v>OK!</v>
      </c>
      <c r="P353" s="934" t="str">
        <f t="shared" si="192"/>
        <v>OK!</v>
      </c>
      <c r="Q353" s="934" t="str">
        <f t="shared" si="192"/>
        <v>OK!</v>
      </c>
      <c r="R353" s="934" t="str">
        <f t="shared" si="192"/>
        <v>OK!</v>
      </c>
      <c r="S353" s="934" t="str">
        <f t="shared" si="193"/>
        <v>OK!</v>
      </c>
      <c r="T353" s="934" t="str">
        <f t="shared" si="193"/>
        <v>OK!</v>
      </c>
    </row>
    <row r="354" spans="1:24" ht="12.75" hidden="1" customHeight="1" x14ac:dyDescent="0.15">
      <c r="A354" s="965" t="str">
        <f>A$12</f>
        <v>Angazhimet kujtesë</v>
      </c>
      <c r="B354" s="959"/>
      <c r="C354" s="959">
        <f>'(C5) Angazhimet'!D119</f>
        <v>0</v>
      </c>
      <c r="D354" s="959">
        <f>'(C5) Angazhimet'!E119</f>
        <v>0</v>
      </c>
      <c r="E354" s="959">
        <f>'(C5) Angazhimet'!F119</f>
        <v>0</v>
      </c>
      <c r="F354" s="934" t="str">
        <f>IF(C354&gt;C353,"STOPP!","OK!")</f>
        <v>OK!</v>
      </c>
      <c r="G354" s="934" t="str">
        <f t="shared" ref="G354:R354" si="194">IF(D354&lt;0,"STOPP!","OK!")</f>
        <v>OK!</v>
      </c>
      <c r="H354" s="934" t="str">
        <f t="shared" si="194"/>
        <v>OK!</v>
      </c>
      <c r="I354" s="934" t="str">
        <f t="shared" si="194"/>
        <v>OK!</v>
      </c>
      <c r="J354" s="934" t="str">
        <f t="shared" si="194"/>
        <v>OK!</v>
      </c>
      <c r="K354" s="934" t="str">
        <f t="shared" si="194"/>
        <v>OK!</v>
      </c>
      <c r="L354" s="934" t="str">
        <f t="shared" si="194"/>
        <v>OK!</v>
      </c>
      <c r="M354" s="934" t="str">
        <f t="shared" si="194"/>
        <v>OK!</v>
      </c>
      <c r="N354" s="934" t="str">
        <f t="shared" si="194"/>
        <v>OK!</v>
      </c>
      <c r="O354" s="934" t="str">
        <f t="shared" si="194"/>
        <v>OK!</v>
      </c>
      <c r="P354" s="934" t="str">
        <f t="shared" si="194"/>
        <v>OK!</v>
      </c>
      <c r="Q354" s="934" t="str">
        <f t="shared" si="194"/>
        <v>OK!</v>
      </c>
      <c r="R354" s="934" t="str">
        <f t="shared" si="194"/>
        <v>OK!</v>
      </c>
      <c r="S354" s="934" t="str">
        <f>IF(D354&gt;D353,"STOPP!","OK!")</f>
        <v>OK!</v>
      </c>
      <c r="T354" s="934" t="str">
        <f>IF(E354&gt;E353,"STOPP!","OK!")</f>
        <v>OK!</v>
      </c>
    </row>
    <row r="355" spans="1:24" ht="24" customHeight="1" x14ac:dyDescent="0.25">
      <c r="A355" s="1082" t="str">
        <f>'(B2) Struktura Organizative'!A27</f>
        <v>Nënfunksioni 21</v>
      </c>
      <c r="B355" s="1076" t="str">
        <f>'(B2) Struktura Organizative'!B27</f>
        <v>091 Arsimi bazë dhe parashkollor</v>
      </c>
      <c r="C355" s="1077"/>
      <c r="D355" s="1077"/>
      <c r="E355" s="1078"/>
      <c r="G355" s="933">
        <f>C359</f>
        <v>211383000</v>
      </c>
      <c r="H355" s="933">
        <f>D359</f>
        <v>217722000</v>
      </c>
      <c r="I355" s="933">
        <f>E359</f>
        <v>224469000</v>
      </c>
      <c r="J355" s="933">
        <f>C356</f>
        <v>161240000</v>
      </c>
      <c r="K355" s="933">
        <f>D356</f>
        <v>166075000</v>
      </c>
      <c r="L355" s="933">
        <f>E356</f>
        <v>171058000</v>
      </c>
      <c r="M355" s="933">
        <f>C357</f>
        <v>48293000</v>
      </c>
      <c r="N355" s="933">
        <f>D357</f>
        <v>49747000</v>
      </c>
      <c r="O355" s="933">
        <f>E357</f>
        <v>51311000</v>
      </c>
      <c r="P355" s="933">
        <f>C358</f>
        <v>1850000</v>
      </c>
      <c r="Q355" s="933">
        <f>D358</f>
        <v>1900000</v>
      </c>
      <c r="R355" s="933">
        <f>E358</f>
        <v>2100000</v>
      </c>
    </row>
    <row r="356" spans="1:24" x14ac:dyDescent="0.15">
      <c r="A356" s="958" t="str">
        <f>A$8</f>
        <v>Pagat dhe sigurimet shoqërore</v>
      </c>
      <c r="B356" s="958"/>
      <c r="C356" s="959">
        <f t="shared" ref="C356:E357" si="195">C362</f>
        <v>161240000</v>
      </c>
      <c r="D356" s="959">
        <f t="shared" si="195"/>
        <v>166075000</v>
      </c>
      <c r="E356" s="959">
        <f t="shared" si="195"/>
        <v>171058000</v>
      </c>
      <c r="F356" s="934" t="str">
        <f t="shared" ref="F356:R359" si="196">IF(C356&lt;0,"STOPP!","OK!")</f>
        <v>OK!</v>
      </c>
      <c r="G356" s="934" t="str">
        <f t="shared" si="196"/>
        <v>OK!</v>
      </c>
      <c r="H356" s="934" t="str">
        <f t="shared" si="196"/>
        <v>OK!</v>
      </c>
      <c r="I356" s="934" t="str">
        <f t="shared" si="196"/>
        <v>OK!</v>
      </c>
      <c r="J356" s="934" t="str">
        <f t="shared" si="196"/>
        <v>OK!</v>
      </c>
      <c r="K356" s="934" t="str">
        <f t="shared" si="196"/>
        <v>OK!</v>
      </c>
      <c r="L356" s="934" t="str">
        <f t="shared" si="196"/>
        <v>OK!</v>
      </c>
      <c r="M356" s="934" t="str">
        <f t="shared" si="196"/>
        <v>OK!</v>
      </c>
      <c r="N356" s="934" t="str">
        <f t="shared" si="196"/>
        <v>OK!</v>
      </c>
      <c r="O356" s="934" t="str">
        <f t="shared" si="196"/>
        <v>OK!</v>
      </c>
      <c r="P356" s="934" t="str">
        <f t="shared" si="196"/>
        <v>OK!</v>
      </c>
      <c r="Q356" s="934" t="str">
        <f t="shared" si="196"/>
        <v>OK!</v>
      </c>
      <c r="R356" s="934" t="str">
        <f t="shared" si="196"/>
        <v>OK!</v>
      </c>
      <c r="S356" s="934" t="str">
        <f t="shared" ref="S356:T359" si="197">IF(D356&lt;0,"STOPP!","OK!")</f>
        <v>OK!</v>
      </c>
      <c r="T356" s="934" t="str">
        <f t="shared" si="197"/>
        <v>OK!</v>
      </c>
    </row>
    <row r="357" spans="1:24" x14ac:dyDescent="0.15">
      <c r="A357" s="958" t="str">
        <f>A$9</f>
        <v>Të tjera shpenzime korrente</v>
      </c>
      <c r="B357" s="958"/>
      <c r="C357" s="959">
        <f t="shared" si="195"/>
        <v>48293000</v>
      </c>
      <c r="D357" s="959">
        <f t="shared" si="195"/>
        <v>49747000</v>
      </c>
      <c r="E357" s="959">
        <f t="shared" si="195"/>
        <v>51311000</v>
      </c>
      <c r="F357" s="934" t="str">
        <f t="shared" si="196"/>
        <v>OK!</v>
      </c>
      <c r="G357" s="934" t="str">
        <f t="shared" si="196"/>
        <v>OK!</v>
      </c>
      <c r="H357" s="934" t="str">
        <f t="shared" si="196"/>
        <v>OK!</v>
      </c>
      <c r="I357" s="934" t="str">
        <f t="shared" si="196"/>
        <v>OK!</v>
      </c>
      <c r="J357" s="934" t="str">
        <f t="shared" si="196"/>
        <v>OK!</v>
      </c>
      <c r="K357" s="934" t="str">
        <f t="shared" si="196"/>
        <v>OK!</v>
      </c>
      <c r="L357" s="934" t="str">
        <f t="shared" si="196"/>
        <v>OK!</v>
      </c>
      <c r="M357" s="934" t="str">
        <f t="shared" si="196"/>
        <v>OK!</v>
      </c>
      <c r="N357" s="934" t="str">
        <f t="shared" si="196"/>
        <v>OK!</v>
      </c>
      <c r="O357" s="934" t="str">
        <f t="shared" si="196"/>
        <v>OK!</v>
      </c>
      <c r="P357" s="934" t="str">
        <f t="shared" si="196"/>
        <v>OK!</v>
      </c>
      <c r="Q357" s="934" t="str">
        <f t="shared" si="196"/>
        <v>OK!</v>
      </c>
      <c r="R357" s="934" t="str">
        <f t="shared" si="196"/>
        <v>OK!</v>
      </c>
      <c r="S357" s="934" t="str">
        <f t="shared" si="197"/>
        <v>OK!</v>
      </c>
      <c r="T357" s="934" t="str">
        <f t="shared" si="197"/>
        <v>OK!</v>
      </c>
    </row>
    <row r="358" spans="1:24" x14ac:dyDescent="0.15">
      <c r="A358" s="960" t="str">
        <f>A$10</f>
        <v>Shpenzimet kapitale</v>
      </c>
      <c r="B358" s="961"/>
      <c r="C358" s="959">
        <f>C359-C356-C357</f>
        <v>1850000</v>
      </c>
      <c r="D358" s="962">
        <f>D359-D356-D357</f>
        <v>1900000</v>
      </c>
      <c r="E358" s="962">
        <f>E359-E356-E357</f>
        <v>2100000</v>
      </c>
      <c r="F358" s="934" t="str">
        <f t="shared" si="196"/>
        <v>OK!</v>
      </c>
      <c r="G358" s="934" t="str">
        <f t="shared" si="196"/>
        <v>OK!</v>
      </c>
      <c r="H358" s="934" t="str">
        <f t="shared" si="196"/>
        <v>OK!</v>
      </c>
      <c r="I358" s="934" t="str">
        <f t="shared" si="196"/>
        <v>OK!</v>
      </c>
      <c r="J358" s="934" t="str">
        <f t="shared" si="196"/>
        <v>OK!</v>
      </c>
      <c r="K358" s="934" t="str">
        <f t="shared" si="196"/>
        <v>OK!</v>
      </c>
      <c r="L358" s="934" t="str">
        <f t="shared" si="196"/>
        <v>OK!</v>
      </c>
      <c r="M358" s="934" t="str">
        <f t="shared" si="196"/>
        <v>OK!</v>
      </c>
      <c r="N358" s="934" t="str">
        <f t="shared" si="196"/>
        <v>OK!</v>
      </c>
      <c r="O358" s="934" t="str">
        <f t="shared" si="196"/>
        <v>OK!</v>
      </c>
      <c r="P358" s="934" t="str">
        <f t="shared" si="196"/>
        <v>OK!</v>
      </c>
      <c r="Q358" s="934" t="str">
        <f t="shared" si="196"/>
        <v>OK!</v>
      </c>
      <c r="R358" s="934" t="str">
        <f t="shared" si="196"/>
        <v>OK!</v>
      </c>
      <c r="S358" s="934" t="str">
        <f t="shared" si="197"/>
        <v>OK!</v>
      </c>
      <c r="T358" s="934" t="str">
        <f t="shared" si="197"/>
        <v>OK!</v>
      </c>
    </row>
    <row r="359" spans="1:24" x14ac:dyDescent="0.15">
      <c r="A359" s="963" t="str">
        <f>A$11</f>
        <v>Tavanet e përgjithshme</v>
      </c>
      <c r="B359" s="964"/>
      <c r="C359" s="959">
        <f>C365</f>
        <v>211383000</v>
      </c>
      <c r="D359" s="959">
        <f>D365</f>
        <v>217722000</v>
      </c>
      <c r="E359" s="959">
        <f>E365</f>
        <v>224469000</v>
      </c>
      <c r="F359" s="934" t="str">
        <f t="shared" si="196"/>
        <v>OK!</v>
      </c>
      <c r="G359" s="934" t="str">
        <f t="shared" si="196"/>
        <v>OK!</v>
      </c>
      <c r="H359" s="934" t="str">
        <f t="shared" si="196"/>
        <v>OK!</v>
      </c>
      <c r="I359" s="934" t="str">
        <f t="shared" si="196"/>
        <v>OK!</v>
      </c>
      <c r="J359" s="934" t="str">
        <f t="shared" si="196"/>
        <v>OK!</v>
      </c>
      <c r="K359" s="934" t="str">
        <f t="shared" si="196"/>
        <v>OK!</v>
      </c>
      <c r="L359" s="934" t="str">
        <f t="shared" si="196"/>
        <v>OK!</v>
      </c>
      <c r="M359" s="934" t="str">
        <f t="shared" si="196"/>
        <v>OK!</v>
      </c>
      <c r="N359" s="934" t="str">
        <f t="shared" si="196"/>
        <v>OK!</v>
      </c>
      <c r="O359" s="934" t="str">
        <f t="shared" si="196"/>
        <v>OK!</v>
      </c>
      <c r="P359" s="934" t="str">
        <f t="shared" si="196"/>
        <v>OK!</v>
      </c>
      <c r="Q359" s="934" t="str">
        <f t="shared" si="196"/>
        <v>OK!</v>
      </c>
      <c r="R359" s="934" t="str">
        <f t="shared" si="196"/>
        <v>OK!</v>
      </c>
      <c r="S359" s="934" t="str">
        <f t="shared" si="197"/>
        <v>OK!</v>
      </c>
      <c r="T359" s="934" t="str">
        <f t="shared" si="197"/>
        <v>OK!</v>
      </c>
    </row>
    <row r="360" spans="1:24" x14ac:dyDescent="0.15">
      <c r="A360" s="965" t="str">
        <f>A$12</f>
        <v>Angazhimet kujtesë</v>
      </c>
      <c r="B360" s="959"/>
      <c r="C360" s="959">
        <f>'(C5) Angazhimet'!D127</f>
        <v>0</v>
      </c>
      <c r="D360" s="962">
        <f>'(C5) Angazhimet'!E127</f>
        <v>0</v>
      </c>
      <c r="E360" s="962">
        <f>'(C5) Angazhimet'!F127</f>
        <v>0</v>
      </c>
      <c r="F360" s="934" t="str">
        <f>IF(C360&gt;C359,"STOPP!","OK!")</f>
        <v>OK!</v>
      </c>
      <c r="G360" s="934" t="str">
        <f t="shared" ref="G360:R360" si="198">IF(D360&lt;0,"STOPP!","OK!")</f>
        <v>OK!</v>
      </c>
      <c r="H360" s="934" t="str">
        <f t="shared" si="198"/>
        <v>OK!</v>
      </c>
      <c r="I360" s="934" t="str">
        <f t="shared" si="198"/>
        <v>OK!</v>
      </c>
      <c r="J360" s="934" t="str">
        <f t="shared" si="198"/>
        <v>OK!</v>
      </c>
      <c r="K360" s="934" t="str">
        <f t="shared" si="198"/>
        <v>OK!</v>
      </c>
      <c r="L360" s="934" t="str">
        <f t="shared" si="198"/>
        <v>OK!</v>
      </c>
      <c r="M360" s="934" t="str">
        <f t="shared" si="198"/>
        <v>OK!</v>
      </c>
      <c r="N360" s="934" t="str">
        <f t="shared" si="198"/>
        <v>OK!</v>
      </c>
      <c r="O360" s="934" t="str">
        <f t="shared" si="198"/>
        <v>OK!</v>
      </c>
      <c r="P360" s="934" t="str">
        <f t="shared" si="198"/>
        <v>OK!</v>
      </c>
      <c r="Q360" s="934" t="str">
        <f t="shared" si="198"/>
        <v>OK!</v>
      </c>
      <c r="R360" s="934" t="str">
        <f t="shared" si="198"/>
        <v>OK!</v>
      </c>
      <c r="S360" s="934" t="str">
        <f>IF(D360&gt;D359,"STOPP!","OK!")</f>
        <v>OK!</v>
      </c>
      <c r="T360" s="934" t="str">
        <f>IF(E360&gt;E359,"STOPP!","OK!")</f>
        <v>OK!</v>
      </c>
    </row>
    <row r="361" spans="1:24" ht="18.75" customHeight="1" x14ac:dyDescent="0.15">
      <c r="A361" s="1025" t="str">
        <f>'(B3) Struktura Funksionale'!B109</f>
        <v>09120</v>
      </c>
      <c r="B361" s="1076" t="str">
        <f>'(B3) Struktura Funksionale'!C109</f>
        <v>Arsimi bazë përfshirë arsimin parashkollor.</v>
      </c>
      <c r="C361" s="1077"/>
      <c r="D361" s="1077"/>
      <c r="E361" s="1078"/>
      <c r="F361" s="934"/>
      <c r="G361" s="934"/>
      <c r="H361" s="934"/>
      <c r="I361" s="934"/>
      <c r="J361" s="934"/>
      <c r="K361" s="934"/>
      <c r="L361" s="934"/>
      <c r="M361" s="934"/>
      <c r="N361" s="934"/>
      <c r="O361" s="934"/>
      <c r="P361" s="934"/>
      <c r="Q361" s="934"/>
      <c r="R361" s="934"/>
      <c r="S361" s="934"/>
      <c r="T361" s="934"/>
      <c r="V361" s="807"/>
      <c r="W361" s="807"/>
      <c r="X361" s="807"/>
    </row>
    <row r="362" spans="1:24" x14ac:dyDescent="0.15">
      <c r="A362" s="958" t="str">
        <f>A$8</f>
        <v>Pagat dhe sigurimet shoqërore</v>
      </c>
      <c r="B362" s="958"/>
      <c r="C362" s="966">
        <v>161240000</v>
      </c>
      <c r="D362" s="966">
        <v>166075000</v>
      </c>
      <c r="E362" s="966">
        <v>171058000</v>
      </c>
      <c r="F362" s="934" t="str">
        <f t="shared" ref="F362:R365" si="199">IF(C362&lt;0,"STOPP!","OK!")</f>
        <v>OK!</v>
      </c>
      <c r="G362" s="934" t="str">
        <f t="shared" si="199"/>
        <v>OK!</v>
      </c>
      <c r="H362" s="934" t="str">
        <f t="shared" si="199"/>
        <v>OK!</v>
      </c>
      <c r="I362" s="934" t="str">
        <f t="shared" si="199"/>
        <v>OK!</v>
      </c>
      <c r="J362" s="934" t="str">
        <f t="shared" si="199"/>
        <v>OK!</v>
      </c>
      <c r="K362" s="934" t="str">
        <f t="shared" si="199"/>
        <v>OK!</v>
      </c>
      <c r="L362" s="934" t="str">
        <f t="shared" si="199"/>
        <v>OK!</v>
      </c>
      <c r="M362" s="934" t="str">
        <f t="shared" si="199"/>
        <v>OK!</v>
      </c>
      <c r="N362" s="934" t="str">
        <f t="shared" si="199"/>
        <v>OK!</v>
      </c>
      <c r="O362" s="934" t="str">
        <f t="shared" si="199"/>
        <v>OK!</v>
      </c>
      <c r="P362" s="934" t="str">
        <f t="shared" si="199"/>
        <v>OK!</v>
      </c>
      <c r="Q362" s="934" t="str">
        <f t="shared" si="199"/>
        <v>OK!</v>
      </c>
      <c r="R362" s="934" t="str">
        <f t="shared" si="199"/>
        <v>OK!</v>
      </c>
      <c r="S362" s="934" t="str">
        <f t="shared" ref="S362:T365" si="200">IF(D362&lt;0,"STOPP!","OK!")</f>
        <v>OK!</v>
      </c>
      <c r="T362" s="934" t="str">
        <f t="shared" si="200"/>
        <v>OK!</v>
      </c>
      <c r="V362" s="1054"/>
      <c r="W362" s="1054"/>
      <c r="X362" s="1054"/>
    </row>
    <row r="363" spans="1:24" x14ac:dyDescent="0.15">
      <c r="A363" s="958" t="str">
        <f>A$9</f>
        <v>Të tjera shpenzime korrente</v>
      </c>
      <c r="B363" s="958"/>
      <c r="C363" s="976">
        <f>36500000+11793000</f>
        <v>48293000</v>
      </c>
      <c r="D363" s="976">
        <f>37600000+12147000</f>
        <v>49747000</v>
      </c>
      <c r="E363" s="976">
        <f>38800000+12511000</f>
        <v>51311000</v>
      </c>
      <c r="F363" s="934" t="str">
        <f t="shared" si="199"/>
        <v>OK!</v>
      </c>
      <c r="G363" s="934" t="str">
        <f t="shared" si="199"/>
        <v>OK!</v>
      </c>
      <c r="H363" s="934" t="str">
        <f t="shared" si="199"/>
        <v>OK!</v>
      </c>
      <c r="I363" s="934" t="str">
        <f t="shared" si="199"/>
        <v>OK!</v>
      </c>
      <c r="J363" s="934" t="str">
        <f t="shared" si="199"/>
        <v>OK!</v>
      </c>
      <c r="K363" s="934" t="str">
        <f t="shared" si="199"/>
        <v>OK!</v>
      </c>
      <c r="L363" s="934" t="str">
        <f t="shared" si="199"/>
        <v>OK!</v>
      </c>
      <c r="M363" s="934" t="str">
        <f t="shared" si="199"/>
        <v>OK!</v>
      </c>
      <c r="N363" s="934" t="str">
        <f t="shared" si="199"/>
        <v>OK!</v>
      </c>
      <c r="O363" s="934" t="str">
        <f t="shared" si="199"/>
        <v>OK!</v>
      </c>
      <c r="P363" s="934" t="str">
        <f t="shared" si="199"/>
        <v>OK!</v>
      </c>
      <c r="Q363" s="934" t="str">
        <f t="shared" si="199"/>
        <v>OK!</v>
      </c>
      <c r="R363" s="934" t="str">
        <f t="shared" si="199"/>
        <v>OK!</v>
      </c>
      <c r="S363" s="934" t="str">
        <f t="shared" si="200"/>
        <v>OK!</v>
      </c>
      <c r="T363" s="934" t="str">
        <f t="shared" si="200"/>
        <v>OK!</v>
      </c>
      <c r="V363" s="1055"/>
      <c r="W363" s="1055"/>
      <c r="X363" s="1055"/>
    </row>
    <row r="364" spans="1:24" x14ac:dyDescent="0.15">
      <c r="A364" s="960" t="str">
        <f>A$10</f>
        <v>Shpenzimet kapitale</v>
      </c>
      <c r="B364" s="961"/>
      <c r="C364" s="959">
        <f>C365-C362-C363</f>
        <v>1850000</v>
      </c>
      <c r="D364" s="962">
        <f>D365-D362-D363</f>
        <v>1900000</v>
      </c>
      <c r="E364" s="962">
        <f>E365-E362-E363</f>
        <v>2100000</v>
      </c>
      <c r="F364" s="934" t="str">
        <f t="shared" si="199"/>
        <v>OK!</v>
      </c>
      <c r="G364" s="934" t="str">
        <f t="shared" si="199"/>
        <v>OK!</v>
      </c>
      <c r="H364" s="934" t="str">
        <f t="shared" si="199"/>
        <v>OK!</v>
      </c>
      <c r="I364" s="934" t="str">
        <f t="shared" si="199"/>
        <v>OK!</v>
      </c>
      <c r="J364" s="934" t="str">
        <f t="shared" si="199"/>
        <v>OK!</v>
      </c>
      <c r="K364" s="934" t="str">
        <f t="shared" si="199"/>
        <v>OK!</v>
      </c>
      <c r="L364" s="934" t="str">
        <f t="shared" si="199"/>
        <v>OK!</v>
      </c>
      <c r="M364" s="934" t="str">
        <f t="shared" si="199"/>
        <v>OK!</v>
      </c>
      <c r="N364" s="934" t="str">
        <f t="shared" si="199"/>
        <v>OK!</v>
      </c>
      <c r="O364" s="934" t="str">
        <f t="shared" si="199"/>
        <v>OK!</v>
      </c>
      <c r="P364" s="934" t="str">
        <f t="shared" si="199"/>
        <v>OK!</v>
      </c>
      <c r="Q364" s="934" t="str">
        <f t="shared" si="199"/>
        <v>OK!</v>
      </c>
      <c r="R364" s="934" t="str">
        <f t="shared" si="199"/>
        <v>OK!</v>
      </c>
      <c r="S364" s="934" t="str">
        <f t="shared" si="200"/>
        <v>OK!</v>
      </c>
      <c r="T364" s="934" t="str">
        <f t="shared" si="200"/>
        <v>OK!</v>
      </c>
      <c r="V364" s="986"/>
      <c r="W364" s="986"/>
      <c r="X364" s="986"/>
    </row>
    <row r="365" spans="1:24" x14ac:dyDescent="0.15">
      <c r="A365" s="963" t="str">
        <f>A$11</f>
        <v>Tavanet e përgjithshme</v>
      </c>
      <c r="B365" s="964"/>
      <c r="C365" s="968">
        <f>211333000+50000</f>
        <v>211383000</v>
      </c>
      <c r="D365" s="969">
        <v>217722000</v>
      </c>
      <c r="E365" s="969">
        <v>224469000</v>
      </c>
      <c r="F365" s="934" t="str">
        <f t="shared" si="199"/>
        <v>OK!</v>
      </c>
      <c r="G365" s="934" t="str">
        <f t="shared" si="199"/>
        <v>OK!</v>
      </c>
      <c r="H365" s="934" t="str">
        <f t="shared" si="199"/>
        <v>OK!</v>
      </c>
      <c r="I365" s="934" t="str">
        <f t="shared" si="199"/>
        <v>OK!</v>
      </c>
      <c r="J365" s="934" t="str">
        <f t="shared" si="199"/>
        <v>OK!</v>
      </c>
      <c r="K365" s="934" t="str">
        <f t="shared" si="199"/>
        <v>OK!</v>
      </c>
      <c r="L365" s="934" t="str">
        <f t="shared" si="199"/>
        <v>OK!</v>
      </c>
      <c r="M365" s="934" t="str">
        <f t="shared" si="199"/>
        <v>OK!</v>
      </c>
      <c r="N365" s="934" t="str">
        <f t="shared" si="199"/>
        <v>OK!</v>
      </c>
      <c r="O365" s="934" t="str">
        <f t="shared" si="199"/>
        <v>OK!</v>
      </c>
      <c r="P365" s="934" t="str">
        <f t="shared" si="199"/>
        <v>OK!</v>
      </c>
      <c r="Q365" s="934" t="str">
        <f t="shared" si="199"/>
        <v>OK!</v>
      </c>
      <c r="R365" s="934" t="str">
        <f t="shared" si="199"/>
        <v>OK!</v>
      </c>
      <c r="S365" s="934" t="str">
        <f t="shared" si="200"/>
        <v>OK!</v>
      </c>
      <c r="T365" s="934" t="str">
        <f t="shared" si="200"/>
        <v>OK!</v>
      </c>
      <c r="V365" s="807"/>
      <c r="W365" s="807"/>
      <c r="X365" s="807"/>
    </row>
    <row r="366" spans="1:24" x14ac:dyDescent="0.15">
      <c r="A366" s="965" t="str">
        <f>A$12</f>
        <v>Angazhimet kujtesë</v>
      </c>
      <c r="B366" s="959"/>
      <c r="C366" s="959">
        <f>'(C5) Angazhimet'!D123</f>
        <v>0</v>
      </c>
      <c r="D366" s="959">
        <f>'(C5) Angazhimet'!E123</f>
        <v>0</v>
      </c>
      <c r="E366" s="959">
        <f>'(C5) Angazhimet'!F123</f>
        <v>0</v>
      </c>
      <c r="F366" s="934" t="str">
        <f>IF(C366&gt;C365,"STOPP!","OK!")</f>
        <v>OK!</v>
      </c>
      <c r="G366" s="934" t="str">
        <f t="shared" ref="G366:R366" si="201">IF(D366&lt;0,"STOPP!","OK!")</f>
        <v>OK!</v>
      </c>
      <c r="H366" s="934" t="str">
        <f t="shared" si="201"/>
        <v>OK!</v>
      </c>
      <c r="I366" s="934" t="str">
        <f t="shared" si="201"/>
        <v>OK!</v>
      </c>
      <c r="J366" s="934" t="str">
        <f t="shared" si="201"/>
        <v>OK!</v>
      </c>
      <c r="K366" s="934" t="str">
        <f t="shared" si="201"/>
        <v>OK!</v>
      </c>
      <c r="L366" s="934" t="str">
        <f t="shared" si="201"/>
        <v>OK!</v>
      </c>
      <c r="M366" s="934" t="str">
        <f t="shared" si="201"/>
        <v>OK!</v>
      </c>
      <c r="N366" s="934" t="str">
        <f t="shared" si="201"/>
        <v>OK!</v>
      </c>
      <c r="O366" s="934" t="str">
        <f t="shared" si="201"/>
        <v>OK!</v>
      </c>
      <c r="P366" s="934" t="str">
        <f t="shared" si="201"/>
        <v>OK!</v>
      </c>
      <c r="Q366" s="934" t="str">
        <f t="shared" si="201"/>
        <v>OK!</v>
      </c>
      <c r="R366" s="934" t="str">
        <f t="shared" si="201"/>
        <v>OK!</v>
      </c>
      <c r="S366" s="934" t="str">
        <f>IF(D366&gt;D365,"STOPP!","OK!")</f>
        <v>OK!</v>
      </c>
      <c r="T366" s="934" t="str">
        <f>IF(E366&gt;E365,"STOPP!","OK!")</f>
        <v>OK!</v>
      </c>
    </row>
    <row r="367" spans="1:24" ht="23.25" customHeight="1" x14ac:dyDescent="0.25">
      <c r="A367" s="1082" t="str">
        <f>'(B2) Struktura Organizative'!A28</f>
        <v>Nënfunksioni 22</v>
      </c>
      <c r="B367" s="1076" t="str">
        <f>'(B2) Struktura Organizative'!B28</f>
        <v>092 Arsimi  parauniversitar</v>
      </c>
      <c r="C367" s="1077"/>
      <c r="D367" s="1077"/>
      <c r="E367" s="1078"/>
      <c r="G367" s="933">
        <f>C371</f>
        <v>9835000</v>
      </c>
      <c r="H367" s="933">
        <f>D371</f>
        <v>10130000</v>
      </c>
      <c r="I367" s="933">
        <f>E371</f>
        <v>10435000</v>
      </c>
      <c r="J367" s="933">
        <f>C368</f>
        <v>9835000</v>
      </c>
      <c r="K367" s="933">
        <f>D368</f>
        <v>10130000</v>
      </c>
      <c r="L367" s="933">
        <f>E368</f>
        <v>10435000</v>
      </c>
      <c r="M367" s="933">
        <f>C369</f>
        <v>0</v>
      </c>
      <c r="N367" s="933">
        <f>D369</f>
        <v>0</v>
      </c>
      <c r="O367" s="933">
        <f>E369</f>
        <v>0</v>
      </c>
      <c r="P367" s="933">
        <f>C370</f>
        <v>0</v>
      </c>
      <c r="Q367" s="933">
        <f>D370</f>
        <v>0</v>
      </c>
      <c r="R367" s="933">
        <f>E370</f>
        <v>0</v>
      </c>
    </row>
    <row r="368" spans="1:24" x14ac:dyDescent="0.15">
      <c r="A368" s="958" t="str">
        <f>A$8</f>
        <v>Pagat dhe sigurimet shoqërore</v>
      </c>
      <c r="B368" s="958"/>
      <c r="C368" s="959">
        <f t="shared" ref="C368:E369" si="202">C374+C380+C386</f>
        <v>9835000</v>
      </c>
      <c r="D368" s="959">
        <f t="shared" si="202"/>
        <v>10130000</v>
      </c>
      <c r="E368" s="959">
        <f t="shared" si="202"/>
        <v>10435000</v>
      </c>
      <c r="F368" s="934" t="str">
        <f t="shared" ref="F368:R371" si="203">IF(C368&lt;0,"STOPP!","OK!")</f>
        <v>OK!</v>
      </c>
      <c r="G368" s="934" t="str">
        <f t="shared" si="203"/>
        <v>OK!</v>
      </c>
      <c r="H368" s="934" t="str">
        <f t="shared" si="203"/>
        <v>OK!</v>
      </c>
      <c r="I368" s="934" t="str">
        <f t="shared" si="203"/>
        <v>OK!</v>
      </c>
      <c r="J368" s="934" t="str">
        <f t="shared" si="203"/>
        <v>OK!</v>
      </c>
      <c r="K368" s="934" t="str">
        <f t="shared" si="203"/>
        <v>OK!</v>
      </c>
      <c r="L368" s="934" t="str">
        <f t="shared" si="203"/>
        <v>OK!</v>
      </c>
      <c r="M368" s="934" t="str">
        <f t="shared" si="203"/>
        <v>OK!</v>
      </c>
      <c r="N368" s="934" t="str">
        <f t="shared" si="203"/>
        <v>OK!</v>
      </c>
      <c r="O368" s="934" t="str">
        <f t="shared" si="203"/>
        <v>OK!</v>
      </c>
      <c r="P368" s="934" t="str">
        <f t="shared" si="203"/>
        <v>OK!</v>
      </c>
      <c r="Q368" s="934" t="str">
        <f t="shared" si="203"/>
        <v>OK!</v>
      </c>
      <c r="R368" s="934" t="str">
        <f t="shared" si="203"/>
        <v>OK!</v>
      </c>
      <c r="S368" s="934" t="str">
        <f t="shared" ref="S368:T371" si="204">IF(D368&lt;0,"STOPP!","OK!")</f>
        <v>OK!</v>
      </c>
      <c r="T368" s="934" t="str">
        <f t="shared" si="204"/>
        <v>OK!</v>
      </c>
    </row>
    <row r="369" spans="1:24" x14ac:dyDescent="0.15">
      <c r="A369" s="958" t="str">
        <f>A$9</f>
        <v>Të tjera shpenzime korrente</v>
      </c>
      <c r="B369" s="958"/>
      <c r="C369" s="959">
        <f t="shared" si="202"/>
        <v>0</v>
      </c>
      <c r="D369" s="959">
        <f t="shared" si="202"/>
        <v>0</v>
      </c>
      <c r="E369" s="959">
        <f t="shared" si="202"/>
        <v>0</v>
      </c>
      <c r="F369" s="934" t="str">
        <f t="shared" si="203"/>
        <v>OK!</v>
      </c>
      <c r="G369" s="934" t="str">
        <f t="shared" si="203"/>
        <v>OK!</v>
      </c>
      <c r="H369" s="934" t="str">
        <f t="shared" si="203"/>
        <v>OK!</v>
      </c>
      <c r="I369" s="934" t="str">
        <f t="shared" si="203"/>
        <v>OK!</v>
      </c>
      <c r="J369" s="934" t="str">
        <f t="shared" si="203"/>
        <v>OK!</v>
      </c>
      <c r="K369" s="934" t="str">
        <f t="shared" si="203"/>
        <v>OK!</v>
      </c>
      <c r="L369" s="934" t="str">
        <f t="shared" si="203"/>
        <v>OK!</v>
      </c>
      <c r="M369" s="934" t="str">
        <f t="shared" si="203"/>
        <v>OK!</v>
      </c>
      <c r="N369" s="934" t="str">
        <f t="shared" si="203"/>
        <v>OK!</v>
      </c>
      <c r="O369" s="934" t="str">
        <f t="shared" si="203"/>
        <v>OK!</v>
      </c>
      <c r="P369" s="934" t="str">
        <f t="shared" si="203"/>
        <v>OK!</v>
      </c>
      <c r="Q369" s="934" t="str">
        <f t="shared" si="203"/>
        <v>OK!</v>
      </c>
      <c r="R369" s="934" t="str">
        <f t="shared" si="203"/>
        <v>OK!</v>
      </c>
      <c r="S369" s="934" t="str">
        <f t="shared" si="204"/>
        <v>OK!</v>
      </c>
      <c r="T369" s="934" t="str">
        <f t="shared" si="204"/>
        <v>OK!</v>
      </c>
    </row>
    <row r="370" spans="1:24" x14ac:dyDescent="0.15">
      <c r="A370" s="960" t="str">
        <f>A$10</f>
        <v>Shpenzimet kapitale</v>
      </c>
      <c r="B370" s="961"/>
      <c r="C370" s="959">
        <f>C371-C368-C369</f>
        <v>0</v>
      </c>
      <c r="D370" s="962">
        <f>D371-D368-D369</f>
        <v>0</v>
      </c>
      <c r="E370" s="962">
        <f>E371-E368-E369</f>
        <v>0</v>
      </c>
      <c r="F370" s="934" t="str">
        <f t="shared" si="203"/>
        <v>OK!</v>
      </c>
      <c r="G370" s="934" t="str">
        <f t="shared" si="203"/>
        <v>OK!</v>
      </c>
      <c r="H370" s="934" t="str">
        <f t="shared" si="203"/>
        <v>OK!</v>
      </c>
      <c r="I370" s="934" t="str">
        <f t="shared" si="203"/>
        <v>OK!</v>
      </c>
      <c r="J370" s="934" t="str">
        <f t="shared" si="203"/>
        <v>OK!</v>
      </c>
      <c r="K370" s="934" t="str">
        <f t="shared" si="203"/>
        <v>OK!</v>
      </c>
      <c r="L370" s="934" t="str">
        <f t="shared" si="203"/>
        <v>OK!</v>
      </c>
      <c r="M370" s="934" t="str">
        <f t="shared" si="203"/>
        <v>OK!</v>
      </c>
      <c r="N370" s="934" t="str">
        <f t="shared" si="203"/>
        <v>OK!</v>
      </c>
      <c r="O370" s="934" t="str">
        <f t="shared" si="203"/>
        <v>OK!</v>
      </c>
      <c r="P370" s="934" t="str">
        <f t="shared" si="203"/>
        <v>OK!</v>
      </c>
      <c r="Q370" s="934" t="str">
        <f t="shared" si="203"/>
        <v>OK!</v>
      </c>
      <c r="R370" s="934" t="str">
        <f t="shared" si="203"/>
        <v>OK!</v>
      </c>
      <c r="S370" s="934" t="str">
        <f t="shared" si="204"/>
        <v>OK!</v>
      </c>
      <c r="T370" s="934" t="str">
        <f t="shared" si="204"/>
        <v>OK!</v>
      </c>
    </row>
    <row r="371" spans="1:24" x14ac:dyDescent="0.15">
      <c r="A371" s="963" t="str">
        <f>A$11</f>
        <v>Tavanet e përgjithshme</v>
      </c>
      <c r="B371" s="964"/>
      <c r="C371" s="959">
        <f>C377+C383+C389</f>
        <v>9835000</v>
      </c>
      <c r="D371" s="959">
        <f>D377+D383+D389</f>
        <v>10130000</v>
      </c>
      <c r="E371" s="959">
        <f>E377+E383+E389</f>
        <v>10435000</v>
      </c>
      <c r="F371" s="934" t="str">
        <f t="shared" si="203"/>
        <v>OK!</v>
      </c>
      <c r="G371" s="934" t="str">
        <f t="shared" si="203"/>
        <v>OK!</v>
      </c>
      <c r="H371" s="934" t="str">
        <f t="shared" si="203"/>
        <v>OK!</v>
      </c>
      <c r="I371" s="934" t="str">
        <f t="shared" si="203"/>
        <v>OK!</v>
      </c>
      <c r="J371" s="934" t="str">
        <f t="shared" si="203"/>
        <v>OK!</v>
      </c>
      <c r="K371" s="934" t="str">
        <f t="shared" si="203"/>
        <v>OK!</v>
      </c>
      <c r="L371" s="934" t="str">
        <f t="shared" si="203"/>
        <v>OK!</v>
      </c>
      <c r="M371" s="934" t="str">
        <f t="shared" si="203"/>
        <v>OK!</v>
      </c>
      <c r="N371" s="934" t="str">
        <f t="shared" si="203"/>
        <v>OK!</v>
      </c>
      <c r="O371" s="934" t="str">
        <f t="shared" si="203"/>
        <v>OK!</v>
      </c>
      <c r="P371" s="934" t="str">
        <f t="shared" si="203"/>
        <v>OK!</v>
      </c>
      <c r="Q371" s="934" t="str">
        <f t="shared" si="203"/>
        <v>OK!</v>
      </c>
      <c r="R371" s="934" t="str">
        <f t="shared" si="203"/>
        <v>OK!</v>
      </c>
      <c r="S371" s="934" t="str">
        <f t="shared" si="204"/>
        <v>OK!</v>
      </c>
      <c r="T371" s="934" t="str">
        <f t="shared" si="204"/>
        <v>OK!</v>
      </c>
    </row>
    <row r="372" spans="1:24" x14ac:dyDescent="0.15">
      <c r="A372" s="965" t="str">
        <f>A$12</f>
        <v>Angazhimet kujtesë</v>
      </c>
      <c r="B372" s="959"/>
      <c r="C372" s="959">
        <f>'(C5) Angazhimet'!D133</f>
        <v>0</v>
      </c>
      <c r="D372" s="962">
        <f>'(C5) Angazhimet'!E133</f>
        <v>0</v>
      </c>
      <c r="E372" s="962">
        <f>'(C5) Angazhimet'!F133</f>
        <v>0</v>
      </c>
      <c r="F372" s="934" t="str">
        <f>IF(C372&gt;C371,"STOPP!","OK!")</f>
        <v>OK!</v>
      </c>
      <c r="G372" s="934" t="str">
        <f t="shared" ref="G372:R372" si="205">IF(D372&lt;0,"STOPP!","OK!")</f>
        <v>OK!</v>
      </c>
      <c r="H372" s="934" t="str">
        <f t="shared" si="205"/>
        <v>OK!</v>
      </c>
      <c r="I372" s="934" t="str">
        <f t="shared" si="205"/>
        <v>OK!</v>
      </c>
      <c r="J372" s="934" t="str">
        <f t="shared" si="205"/>
        <v>OK!</v>
      </c>
      <c r="K372" s="934" t="str">
        <f t="shared" si="205"/>
        <v>OK!</v>
      </c>
      <c r="L372" s="934" t="str">
        <f t="shared" si="205"/>
        <v>OK!</v>
      </c>
      <c r="M372" s="934" t="str">
        <f t="shared" si="205"/>
        <v>OK!</v>
      </c>
      <c r="N372" s="934" t="str">
        <f t="shared" si="205"/>
        <v>OK!</v>
      </c>
      <c r="O372" s="934" t="str">
        <f t="shared" si="205"/>
        <v>OK!</v>
      </c>
      <c r="P372" s="934" t="str">
        <f t="shared" si="205"/>
        <v>OK!</v>
      </c>
      <c r="Q372" s="934" t="str">
        <f t="shared" si="205"/>
        <v>OK!</v>
      </c>
      <c r="R372" s="934" t="str">
        <f t="shared" si="205"/>
        <v>OK!</v>
      </c>
      <c r="S372" s="934" t="str">
        <f>IF(D372&gt;D371,"STOPP!","OK!")</f>
        <v>OK!</v>
      </c>
      <c r="T372" s="934" t="str">
        <f>IF(E372&gt;E371,"STOPP!","OK!")</f>
        <v>OK!</v>
      </c>
    </row>
    <row r="373" spans="1:24" ht="15.75" customHeight="1" x14ac:dyDescent="0.15">
      <c r="A373" s="1021" t="str">
        <f>'(B3) Struktura Funksionale'!B114</f>
        <v>09230</v>
      </c>
      <c r="B373" s="1079" t="str">
        <f>'(B3) Struktura Funksionale'!C114</f>
        <v>Arsimi i mesëm i përgjithshëm</v>
      </c>
      <c r="C373" s="1080"/>
      <c r="D373" s="1080"/>
      <c r="E373" s="1081"/>
      <c r="F373" s="934"/>
      <c r="G373" s="934"/>
      <c r="H373" s="934"/>
      <c r="I373" s="934"/>
      <c r="J373" s="934"/>
      <c r="K373" s="934"/>
      <c r="L373" s="934"/>
      <c r="M373" s="934"/>
      <c r="N373" s="934"/>
      <c r="O373" s="934"/>
      <c r="P373" s="934"/>
      <c r="Q373" s="934"/>
      <c r="R373" s="934"/>
      <c r="S373" s="934"/>
      <c r="T373" s="934"/>
    </row>
    <row r="374" spans="1:24" x14ac:dyDescent="0.15">
      <c r="A374" s="958" t="str">
        <f>A$8</f>
        <v>Pagat dhe sigurimet shoqërore</v>
      </c>
      <c r="B374" s="958"/>
      <c r="C374" s="966">
        <f>C377</f>
        <v>9835000</v>
      </c>
      <c r="D374" s="966">
        <f>D377</f>
        <v>10130000</v>
      </c>
      <c r="E374" s="966">
        <f>E377</f>
        <v>10435000</v>
      </c>
      <c r="F374" s="934" t="str">
        <f t="shared" ref="F374:R377" si="206">IF(C374&lt;0,"STOPP!","OK!")</f>
        <v>OK!</v>
      </c>
      <c r="G374" s="934" t="str">
        <f t="shared" si="206"/>
        <v>OK!</v>
      </c>
      <c r="H374" s="934" t="str">
        <f t="shared" si="206"/>
        <v>OK!</v>
      </c>
      <c r="I374" s="934" t="str">
        <f t="shared" si="206"/>
        <v>OK!</v>
      </c>
      <c r="J374" s="934" t="str">
        <f t="shared" si="206"/>
        <v>OK!</v>
      </c>
      <c r="K374" s="934" t="str">
        <f t="shared" si="206"/>
        <v>OK!</v>
      </c>
      <c r="L374" s="934" t="str">
        <f t="shared" si="206"/>
        <v>OK!</v>
      </c>
      <c r="M374" s="934" t="str">
        <f t="shared" si="206"/>
        <v>OK!</v>
      </c>
      <c r="N374" s="934" t="str">
        <f t="shared" si="206"/>
        <v>OK!</v>
      </c>
      <c r="O374" s="934" t="str">
        <f t="shared" si="206"/>
        <v>OK!</v>
      </c>
      <c r="P374" s="934" t="str">
        <f t="shared" si="206"/>
        <v>OK!</v>
      </c>
      <c r="Q374" s="934" t="str">
        <f t="shared" si="206"/>
        <v>OK!</v>
      </c>
      <c r="R374" s="934" t="str">
        <f t="shared" si="206"/>
        <v>OK!</v>
      </c>
      <c r="S374" s="934" t="str">
        <f t="shared" ref="S374:T377" si="207">IF(D374&lt;0,"STOPP!","OK!")</f>
        <v>OK!</v>
      </c>
      <c r="T374" s="934" t="str">
        <f t="shared" si="207"/>
        <v>OK!</v>
      </c>
      <c r="V374" s="977"/>
      <c r="W374" s="977"/>
      <c r="X374" s="977"/>
    </row>
    <row r="375" spans="1:24" x14ac:dyDescent="0.15">
      <c r="A375" s="958" t="str">
        <f>A$9</f>
        <v>Të tjera shpenzime korrente</v>
      </c>
      <c r="B375" s="958"/>
      <c r="C375" s="967"/>
      <c r="D375" s="967"/>
      <c r="E375" s="967"/>
      <c r="F375" s="934" t="str">
        <f t="shared" si="206"/>
        <v>OK!</v>
      </c>
      <c r="G375" s="934" t="str">
        <f t="shared" si="206"/>
        <v>OK!</v>
      </c>
      <c r="H375" s="934" t="str">
        <f t="shared" si="206"/>
        <v>OK!</v>
      </c>
      <c r="I375" s="934" t="str">
        <f t="shared" si="206"/>
        <v>OK!</v>
      </c>
      <c r="J375" s="934" t="str">
        <f t="shared" si="206"/>
        <v>OK!</v>
      </c>
      <c r="K375" s="934" t="str">
        <f t="shared" si="206"/>
        <v>OK!</v>
      </c>
      <c r="L375" s="934" t="str">
        <f t="shared" si="206"/>
        <v>OK!</v>
      </c>
      <c r="M375" s="934" t="str">
        <f t="shared" si="206"/>
        <v>OK!</v>
      </c>
      <c r="N375" s="934" t="str">
        <f t="shared" si="206"/>
        <v>OK!</v>
      </c>
      <c r="O375" s="934" t="str">
        <f t="shared" si="206"/>
        <v>OK!</v>
      </c>
      <c r="P375" s="934" t="str">
        <f t="shared" si="206"/>
        <v>OK!</v>
      </c>
      <c r="Q375" s="934" t="str">
        <f t="shared" si="206"/>
        <v>OK!</v>
      </c>
      <c r="R375" s="934" t="str">
        <f t="shared" si="206"/>
        <v>OK!</v>
      </c>
      <c r="S375" s="934" t="str">
        <f t="shared" si="207"/>
        <v>OK!</v>
      </c>
      <c r="T375" s="934" t="str">
        <f t="shared" si="207"/>
        <v>OK!</v>
      </c>
    </row>
    <row r="376" spans="1:24" x14ac:dyDescent="0.15">
      <c r="A376" s="960" t="str">
        <f>A$10</f>
        <v>Shpenzimet kapitale</v>
      </c>
      <c r="B376" s="961"/>
      <c r="C376" s="959">
        <f>C377-C374-C375</f>
        <v>0</v>
      </c>
      <c r="D376" s="962">
        <f>D377-D374-D375</f>
        <v>0</v>
      </c>
      <c r="E376" s="962">
        <f>E377-E374-E375</f>
        <v>0</v>
      </c>
      <c r="F376" s="934" t="str">
        <f t="shared" si="206"/>
        <v>OK!</v>
      </c>
      <c r="G376" s="934" t="str">
        <f t="shared" si="206"/>
        <v>OK!</v>
      </c>
      <c r="H376" s="934" t="str">
        <f t="shared" si="206"/>
        <v>OK!</v>
      </c>
      <c r="I376" s="934" t="str">
        <f t="shared" si="206"/>
        <v>OK!</v>
      </c>
      <c r="J376" s="934" t="str">
        <f t="shared" si="206"/>
        <v>OK!</v>
      </c>
      <c r="K376" s="934" t="str">
        <f t="shared" si="206"/>
        <v>OK!</v>
      </c>
      <c r="L376" s="934" t="str">
        <f t="shared" si="206"/>
        <v>OK!</v>
      </c>
      <c r="M376" s="934" t="str">
        <f t="shared" si="206"/>
        <v>OK!</v>
      </c>
      <c r="N376" s="934" t="str">
        <f t="shared" si="206"/>
        <v>OK!</v>
      </c>
      <c r="O376" s="934" t="str">
        <f t="shared" si="206"/>
        <v>OK!</v>
      </c>
      <c r="P376" s="934" t="str">
        <f t="shared" si="206"/>
        <v>OK!</v>
      </c>
      <c r="Q376" s="934" t="str">
        <f t="shared" si="206"/>
        <v>OK!</v>
      </c>
      <c r="R376" s="934" t="str">
        <f t="shared" si="206"/>
        <v>OK!</v>
      </c>
      <c r="S376" s="934" t="str">
        <f t="shared" si="207"/>
        <v>OK!</v>
      </c>
      <c r="T376" s="934" t="str">
        <f t="shared" si="207"/>
        <v>OK!</v>
      </c>
    </row>
    <row r="377" spans="1:24" x14ac:dyDescent="0.15">
      <c r="A377" s="963" t="str">
        <f>A$11</f>
        <v>Tavanet e përgjithshme</v>
      </c>
      <c r="B377" s="964"/>
      <c r="C377" s="966">
        <v>9835000</v>
      </c>
      <c r="D377" s="966">
        <v>10130000</v>
      </c>
      <c r="E377" s="966">
        <v>10435000</v>
      </c>
      <c r="F377" s="934" t="str">
        <f t="shared" si="206"/>
        <v>OK!</v>
      </c>
      <c r="G377" s="934" t="str">
        <f t="shared" si="206"/>
        <v>OK!</v>
      </c>
      <c r="H377" s="934" t="str">
        <f t="shared" si="206"/>
        <v>OK!</v>
      </c>
      <c r="I377" s="934" t="str">
        <f t="shared" si="206"/>
        <v>OK!</v>
      </c>
      <c r="J377" s="934" t="str">
        <f t="shared" si="206"/>
        <v>OK!</v>
      </c>
      <c r="K377" s="934" t="str">
        <f t="shared" si="206"/>
        <v>OK!</v>
      </c>
      <c r="L377" s="934" t="str">
        <f t="shared" si="206"/>
        <v>OK!</v>
      </c>
      <c r="M377" s="934" t="str">
        <f t="shared" si="206"/>
        <v>OK!</v>
      </c>
      <c r="N377" s="934" t="str">
        <f t="shared" si="206"/>
        <v>OK!</v>
      </c>
      <c r="O377" s="934" t="str">
        <f t="shared" si="206"/>
        <v>OK!</v>
      </c>
      <c r="P377" s="934" t="str">
        <f t="shared" si="206"/>
        <v>OK!</v>
      </c>
      <c r="Q377" s="934" t="str">
        <f t="shared" si="206"/>
        <v>OK!</v>
      </c>
      <c r="R377" s="934" t="str">
        <f t="shared" si="206"/>
        <v>OK!</v>
      </c>
      <c r="S377" s="934" t="str">
        <f t="shared" si="207"/>
        <v>OK!</v>
      </c>
      <c r="T377" s="934" t="str">
        <f t="shared" si="207"/>
        <v>OK!</v>
      </c>
    </row>
    <row r="378" spans="1:24" x14ac:dyDescent="0.15">
      <c r="A378" s="965" t="str">
        <f>A$12</f>
        <v>Angazhimet kujtesë</v>
      </c>
      <c r="B378" s="959"/>
      <c r="C378" s="959">
        <f>'(C5) Angazhimet'!D129</f>
        <v>0</v>
      </c>
      <c r="D378" s="959">
        <f>'(C5) Angazhimet'!E129</f>
        <v>0</v>
      </c>
      <c r="E378" s="959">
        <f>'(C5) Angazhimet'!F129</f>
        <v>0</v>
      </c>
      <c r="F378" s="934" t="str">
        <f>IF(C378&gt;C377,"STOPP!","OK!")</f>
        <v>OK!</v>
      </c>
      <c r="G378" s="934" t="str">
        <f t="shared" ref="G378:R378" si="208">IF(D378&lt;0,"STOPP!","OK!")</f>
        <v>OK!</v>
      </c>
      <c r="H378" s="934" t="str">
        <f t="shared" si="208"/>
        <v>OK!</v>
      </c>
      <c r="I378" s="934" t="str">
        <f t="shared" si="208"/>
        <v>OK!</v>
      </c>
      <c r="J378" s="934" t="str">
        <f t="shared" si="208"/>
        <v>OK!</v>
      </c>
      <c r="K378" s="934" t="str">
        <f t="shared" si="208"/>
        <v>OK!</v>
      </c>
      <c r="L378" s="934" t="str">
        <f t="shared" si="208"/>
        <v>OK!</v>
      </c>
      <c r="M378" s="934" t="str">
        <f t="shared" si="208"/>
        <v>OK!</v>
      </c>
      <c r="N378" s="934" t="str">
        <f t="shared" si="208"/>
        <v>OK!</v>
      </c>
      <c r="O378" s="934" t="str">
        <f t="shared" si="208"/>
        <v>OK!</v>
      </c>
      <c r="P378" s="934" t="str">
        <f t="shared" si="208"/>
        <v>OK!</v>
      </c>
      <c r="Q378" s="934" t="str">
        <f t="shared" si="208"/>
        <v>OK!</v>
      </c>
      <c r="R378" s="934" t="str">
        <f t="shared" si="208"/>
        <v>OK!</v>
      </c>
      <c r="S378" s="934" t="str">
        <f>IF(D378&gt;D377,"STOPP!","OK!")</f>
        <v>OK!</v>
      </c>
      <c r="T378" s="934" t="str">
        <f>IF(E378&gt;E377,"STOPP!","OK!")</f>
        <v>OK!</v>
      </c>
    </row>
    <row r="379" spans="1:24" ht="18.75" hidden="1" customHeight="1" x14ac:dyDescent="0.15">
      <c r="A379" s="1089" t="str">
        <f>'(B3) Struktura Funksionale'!B115</f>
        <v>09232</v>
      </c>
      <c r="B379" s="1079" t="str">
        <f>'(B3) Struktura Funksionale'!C115</f>
        <v>Pagat e stafit mbështetës</v>
      </c>
      <c r="C379" s="1080"/>
      <c r="D379" s="1080"/>
      <c r="E379" s="1081"/>
      <c r="F379" s="934"/>
      <c r="G379" s="934"/>
      <c r="H379" s="934"/>
      <c r="I379" s="934"/>
      <c r="J379" s="934"/>
      <c r="K379" s="934"/>
      <c r="L379" s="934"/>
      <c r="M379" s="934"/>
      <c r="N379" s="934"/>
      <c r="O379" s="934"/>
      <c r="P379" s="934"/>
      <c r="Q379" s="934"/>
      <c r="R379" s="934"/>
      <c r="S379" s="934"/>
      <c r="T379" s="934"/>
    </row>
    <row r="380" spans="1:24" ht="12.75" hidden="1" customHeight="1" x14ac:dyDescent="0.15">
      <c r="A380" s="958" t="str">
        <f>A$8</f>
        <v>Pagat dhe sigurimet shoqërore</v>
      </c>
      <c r="B380" s="958"/>
      <c r="C380" s="966"/>
      <c r="D380" s="966"/>
      <c r="E380" s="966"/>
      <c r="F380" s="934" t="str">
        <f t="shared" ref="F380:R383" si="209">IF(C380&lt;0,"STOPP!","OK!")</f>
        <v>OK!</v>
      </c>
      <c r="G380" s="934" t="str">
        <f t="shared" si="209"/>
        <v>OK!</v>
      </c>
      <c r="H380" s="934" t="str">
        <f t="shared" si="209"/>
        <v>OK!</v>
      </c>
      <c r="I380" s="934" t="str">
        <f t="shared" si="209"/>
        <v>OK!</v>
      </c>
      <c r="J380" s="934" t="str">
        <f t="shared" si="209"/>
        <v>OK!</v>
      </c>
      <c r="K380" s="934" t="str">
        <f t="shared" si="209"/>
        <v>OK!</v>
      </c>
      <c r="L380" s="934" t="str">
        <f t="shared" si="209"/>
        <v>OK!</v>
      </c>
      <c r="M380" s="934" t="str">
        <f t="shared" si="209"/>
        <v>OK!</v>
      </c>
      <c r="N380" s="934" t="str">
        <f t="shared" si="209"/>
        <v>OK!</v>
      </c>
      <c r="O380" s="934" t="str">
        <f t="shared" si="209"/>
        <v>OK!</v>
      </c>
      <c r="P380" s="934" t="str">
        <f t="shared" si="209"/>
        <v>OK!</v>
      </c>
      <c r="Q380" s="934" t="str">
        <f t="shared" si="209"/>
        <v>OK!</v>
      </c>
      <c r="R380" s="934" t="str">
        <f t="shared" si="209"/>
        <v>OK!</v>
      </c>
      <c r="S380" s="934" t="str">
        <f t="shared" ref="S380:T383" si="210">IF(D380&lt;0,"STOPP!","OK!")</f>
        <v>OK!</v>
      </c>
      <c r="T380" s="934" t="str">
        <f t="shared" si="210"/>
        <v>OK!</v>
      </c>
    </row>
    <row r="381" spans="1:24" ht="12.75" hidden="1" customHeight="1" x14ac:dyDescent="0.15">
      <c r="A381" s="958" t="str">
        <f>A$9</f>
        <v>Të tjera shpenzime korrente</v>
      </c>
      <c r="B381" s="958"/>
      <c r="C381" s="967"/>
      <c r="D381" s="967"/>
      <c r="E381" s="967"/>
      <c r="F381" s="934" t="str">
        <f t="shared" si="209"/>
        <v>OK!</v>
      </c>
      <c r="G381" s="934" t="str">
        <f t="shared" si="209"/>
        <v>OK!</v>
      </c>
      <c r="H381" s="934" t="str">
        <f t="shared" si="209"/>
        <v>OK!</v>
      </c>
      <c r="I381" s="934" t="str">
        <f t="shared" si="209"/>
        <v>OK!</v>
      </c>
      <c r="J381" s="934" t="str">
        <f t="shared" si="209"/>
        <v>OK!</v>
      </c>
      <c r="K381" s="934" t="str">
        <f t="shared" si="209"/>
        <v>OK!</v>
      </c>
      <c r="L381" s="934" t="str">
        <f t="shared" si="209"/>
        <v>OK!</v>
      </c>
      <c r="M381" s="934" t="str">
        <f t="shared" si="209"/>
        <v>OK!</v>
      </c>
      <c r="N381" s="934" t="str">
        <f t="shared" si="209"/>
        <v>OK!</v>
      </c>
      <c r="O381" s="934" t="str">
        <f t="shared" si="209"/>
        <v>OK!</v>
      </c>
      <c r="P381" s="934" t="str">
        <f t="shared" si="209"/>
        <v>OK!</v>
      </c>
      <c r="Q381" s="934" t="str">
        <f t="shared" si="209"/>
        <v>OK!</v>
      </c>
      <c r="R381" s="934" t="str">
        <f t="shared" si="209"/>
        <v>OK!</v>
      </c>
      <c r="S381" s="934" t="str">
        <f t="shared" si="210"/>
        <v>OK!</v>
      </c>
      <c r="T381" s="934" t="str">
        <f t="shared" si="210"/>
        <v>OK!</v>
      </c>
    </row>
    <row r="382" spans="1:24" ht="12.75" hidden="1" customHeight="1" x14ac:dyDescent="0.15">
      <c r="A382" s="960" t="str">
        <f>A$10</f>
        <v>Shpenzimet kapitale</v>
      </c>
      <c r="B382" s="961"/>
      <c r="C382" s="959">
        <f>C383-C380-C381</f>
        <v>0</v>
      </c>
      <c r="D382" s="962">
        <f>D383-D380-D381</f>
        <v>0</v>
      </c>
      <c r="E382" s="962">
        <f>E383-E380-E381</f>
        <v>0</v>
      </c>
      <c r="F382" s="934" t="str">
        <f t="shared" si="209"/>
        <v>OK!</v>
      </c>
      <c r="G382" s="934" t="str">
        <f t="shared" si="209"/>
        <v>OK!</v>
      </c>
      <c r="H382" s="934" t="str">
        <f t="shared" si="209"/>
        <v>OK!</v>
      </c>
      <c r="I382" s="934" t="str">
        <f t="shared" si="209"/>
        <v>OK!</v>
      </c>
      <c r="J382" s="934" t="str">
        <f t="shared" si="209"/>
        <v>OK!</v>
      </c>
      <c r="K382" s="934" t="str">
        <f t="shared" si="209"/>
        <v>OK!</v>
      </c>
      <c r="L382" s="934" t="str">
        <f t="shared" si="209"/>
        <v>OK!</v>
      </c>
      <c r="M382" s="934" t="str">
        <f t="shared" si="209"/>
        <v>OK!</v>
      </c>
      <c r="N382" s="934" t="str">
        <f t="shared" si="209"/>
        <v>OK!</v>
      </c>
      <c r="O382" s="934" t="str">
        <f t="shared" si="209"/>
        <v>OK!</v>
      </c>
      <c r="P382" s="934" t="str">
        <f t="shared" si="209"/>
        <v>OK!</v>
      </c>
      <c r="Q382" s="934" t="str">
        <f t="shared" si="209"/>
        <v>OK!</v>
      </c>
      <c r="R382" s="934" t="str">
        <f t="shared" si="209"/>
        <v>OK!</v>
      </c>
      <c r="S382" s="934" t="str">
        <f t="shared" si="210"/>
        <v>OK!</v>
      </c>
      <c r="T382" s="934" t="str">
        <f t="shared" si="210"/>
        <v>OK!</v>
      </c>
    </row>
    <row r="383" spans="1:24" ht="12.75" hidden="1" customHeight="1" x14ac:dyDescent="0.15">
      <c r="A383" s="963" t="str">
        <f>A$11</f>
        <v>Tavanet e përgjithshme</v>
      </c>
      <c r="B383" s="964"/>
      <c r="C383" s="968"/>
      <c r="D383" s="969"/>
      <c r="E383" s="969"/>
      <c r="F383" s="934" t="str">
        <f t="shared" si="209"/>
        <v>OK!</v>
      </c>
      <c r="G383" s="934" t="str">
        <f t="shared" si="209"/>
        <v>OK!</v>
      </c>
      <c r="H383" s="934" t="str">
        <f t="shared" si="209"/>
        <v>OK!</v>
      </c>
      <c r="I383" s="934" t="str">
        <f t="shared" si="209"/>
        <v>OK!</v>
      </c>
      <c r="J383" s="934" t="str">
        <f t="shared" si="209"/>
        <v>OK!</v>
      </c>
      <c r="K383" s="934" t="str">
        <f t="shared" si="209"/>
        <v>OK!</v>
      </c>
      <c r="L383" s="934" t="str">
        <f t="shared" si="209"/>
        <v>OK!</v>
      </c>
      <c r="M383" s="934" t="str">
        <f t="shared" si="209"/>
        <v>OK!</v>
      </c>
      <c r="N383" s="934" t="str">
        <f t="shared" si="209"/>
        <v>OK!</v>
      </c>
      <c r="O383" s="934" t="str">
        <f t="shared" si="209"/>
        <v>OK!</v>
      </c>
      <c r="P383" s="934" t="str">
        <f t="shared" si="209"/>
        <v>OK!</v>
      </c>
      <c r="Q383" s="934" t="str">
        <f t="shared" si="209"/>
        <v>OK!</v>
      </c>
      <c r="R383" s="934" t="str">
        <f t="shared" si="209"/>
        <v>OK!</v>
      </c>
      <c r="S383" s="934" t="str">
        <f t="shared" si="210"/>
        <v>OK!</v>
      </c>
      <c r="T383" s="934" t="str">
        <f t="shared" si="210"/>
        <v>OK!</v>
      </c>
    </row>
    <row r="384" spans="1:24" ht="12.75" hidden="1" customHeight="1" x14ac:dyDescent="0.15">
      <c r="A384" s="965" t="str">
        <f>A$12</f>
        <v>Angazhimet kujtesë</v>
      </c>
      <c r="B384" s="959"/>
      <c r="C384" s="959">
        <f>'(C5) Angazhimet'!D130</f>
        <v>0</v>
      </c>
      <c r="D384" s="959">
        <f>'(C5) Angazhimet'!E130</f>
        <v>0</v>
      </c>
      <c r="E384" s="959">
        <f>'(C5) Angazhimet'!F130</f>
        <v>0</v>
      </c>
      <c r="F384" s="934" t="str">
        <f>IF(C384&gt;C383,"STOPP!","OK!")</f>
        <v>OK!</v>
      </c>
      <c r="G384" s="934" t="str">
        <f t="shared" ref="G384:R384" si="211">IF(D384&lt;0,"STOPP!","OK!")</f>
        <v>OK!</v>
      </c>
      <c r="H384" s="934" t="str">
        <f t="shared" si="211"/>
        <v>OK!</v>
      </c>
      <c r="I384" s="934" t="str">
        <f t="shared" si="211"/>
        <v>OK!</v>
      </c>
      <c r="J384" s="934" t="str">
        <f t="shared" si="211"/>
        <v>OK!</v>
      </c>
      <c r="K384" s="934" t="str">
        <f t="shared" si="211"/>
        <v>OK!</v>
      </c>
      <c r="L384" s="934" t="str">
        <f t="shared" si="211"/>
        <v>OK!</v>
      </c>
      <c r="M384" s="934" t="str">
        <f t="shared" si="211"/>
        <v>OK!</v>
      </c>
      <c r="N384" s="934" t="str">
        <f t="shared" si="211"/>
        <v>OK!</v>
      </c>
      <c r="O384" s="934" t="str">
        <f t="shared" si="211"/>
        <v>OK!</v>
      </c>
      <c r="P384" s="934" t="str">
        <f t="shared" si="211"/>
        <v>OK!</v>
      </c>
      <c r="Q384" s="934" t="str">
        <f t="shared" si="211"/>
        <v>OK!</v>
      </c>
      <c r="R384" s="934" t="str">
        <f t="shared" si="211"/>
        <v>OK!</v>
      </c>
      <c r="S384" s="934" t="str">
        <f>IF(D384&gt;D383,"STOPP!","OK!")</f>
        <v>OK!</v>
      </c>
      <c r="T384" s="934" t="str">
        <f>IF(E384&gt;E383,"STOPP!","OK!")</f>
        <v>OK!</v>
      </c>
    </row>
    <row r="385" spans="1:20" ht="15.75" x14ac:dyDescent="0.15">
      <c r="A385" s="1089" t="str">
        <f>'(B3) Struktura Funksionale'!B116</f>
        <v>09240</v>
      </c>
      <c r="B385" s="1079" t="str">
        <f>'(B3) Struktura Funksionale'!C116</f>
        <v>Arsimi profesional</v>
      </c>
      <c r="C385" s="1080"/>
      <c r="D385" s="1080"/>
      <c r="E385" s="1081"/>
      <c r="F385" s="934"/>
      <c r="G385" s="934"/>
      <c r="H385" s="934"/>
      <c r="I385" s="934"/>
      <c r="J385" s="934"/>
      <c r="K385" s="934"/>
      <c r="L385" s="934"/>
      <c r="M385" s="934"/>
      <c r="N385" s="934"/>
      <c r="O385" s="934"/>
      <c r="P385" s="934"/>
      <c r="Q385" s="934"/>
      <c r="R385" s="934"/>
      <c r="S385" s="934"/>
      <c r="T385" s="934"/>
    </row>
    <row r="386" spans="1:20" x14ac:dyDescent="0.15">
      <c r="A386" s="958" t="str">
        <f>A$8</f>
        <v>Pagat dhe sigurimet shoqërore</v>
      </c>
      <c r="B386" s="958"/>
      <c r="C386" s="966"/>
      <c r="D386" s="966"/>
      <c r="E386" s="966"/>
      <c r="F386" s="934" t="str">
        <f t="shared" ref="F386:R389" si="212">IF(C386&lt;0,"STOPP!","OK!")</f>
        <v>OK!</v>
      </c>
      <c r="G386" s="934" t="str">
        <f t="shared" si="212"/>
        <v>OK!</v>
      </c>
      <c r="H386" s="934" t="str">
        <f t="shared" si="212"/>
        <v>OK!</v>
      </c>
      <c r="I386" s="934" t="str">
        <f t="shared" si="212"/>
        <v>OK!</v>
      </c>
      <c r="J386" s="934" t="str">
        <f t="shared" si="212"/>
        <v>OK!</v>
      </c>
      <c r="K386" s="934" t="str">
        <f t="shared" si="212"/>
        <v>OK!</v>
      </c>
      <c r="L386" s="934" t="str">
        <f t="shared" si="212"/>
        <v>OK!</v>
      </c>
      <c r="M386" s="934" t="str">
        <f t="shared" si="212"/>
        <v>OK!</v>
      </c>
      <c r="N386" s="934" t="str">
        <f t="shared" si="212"/>
        <v>OK!</v>
      </c>
      <c r="O386" s="934" t="str">
        <f t="shared" si="212"/>
        <v>OK!</v>
      </c>
      <c r="P386" s="934" t="str">
        <f t="shared" si="212"/>
        <v>OK!</v>
      </c>
      <c r="Q386" s="934" t="str">
        <f t="shared" si="212"/>
        <v>OK!</v>
      </c>
      <c r="R386" s="934" t="str">
        <f t="shared" si="212"/>
        <v>OK!</v>
      </c>
      <c r="S386" s="934" t="str">
        <f t="shared" ref="S386:T389" si="213">IF(D386&lt;0,"STOPP!","OK!")</f>
        <v>OK!</v>
      </c>
      <c r="T386" s="934" t="str">
        <f t="shared" si="213"/>
        <v>OK!</v>
      </c>
    </row>
    <row r="387" spans="1:20" x14ac:dyDescent="0.15">
      <c r="A387" s="958" t="str">
        <f>A$9</f>
        <v>Të tjera shpenzime korrente</v>
      </c>
      <c r="B387" s="958"/>
      <c r="C387" s="967"/>
      <c r="D387" s="967"/>
      <c r="E387" s="967"/>
      <c r="F387" s="934" t="str">
        <f t="shared" si="212"/>
        <v>OK!</v>
      </c>
      <c r="G387" s="934" t="str">
        <f t="shared" si="212"/>
        <v>OK!</v>
      </c>
      <c r="H387" s="934" t="str">
        <f t="shared" si="212"/>
        <v>OK!</v>
      </c>
      <c r="I387" s="934" t="str">
        <f t="shared" si="212"/>
        <v>OK!</v>
      </c>
      <c r="J387" s="934" t="str">
        <f t="shared" si="212"/>
        <v>OK!</v>
      </c>
      <c r="K387" s="934" t="str">
        <f t="shared" si="212"/>
        <v>OK!</v>
      </c>
      <c r="L387" s="934" t="str">
        <f t="shared" si="212"/>
        <v>OK!</v>
      </c>
      <c r="M387" s="934" t="str">
        <f t="shared" si="212"/>
        <v>OK!</v>
      </c>
      <c r="N387" s="934" t="str">
        <f t="shared" si="212"/>
        <v>OK!</v>
      </c>
      <c r="O387" s="934" t="str">
        <f t="shared" si="212"/>
        <v>OK!</v>
      </c>
      <c r="P387" s="934" t="str">
        <f t="shared" si="212"/>
        <v>OK!</v>
      </c>
      <c r="Q387" s="934" t="str">
        <f t="shared" si="212"/>
        <v>OK!</v>
      </c>
      <c r="R387" s="934" t="str">
        <f t="shared" si="212"/>
        <v>OK!</v>
      </c>
      <c r="S387" s="934" t="str">
        <f t="shared" si="213"/>
        <v>OK!</v>
      </c>
      <c r="T387" s="934" t="str">
        <f t="shared" si="213"/>
        <v>OK!</v>
      </c>
    </row>
    <row r="388" spans="1:20" x14ac:dyDescent="0.15">
      <c r="A388" s="960" t="str">
        <f>A$10</f>
        <v>Shpenzimet kapitale</v>
      </c>
      <c r="B388" s="961"/>
      <c r="C388" s="959">
        <f>C389-C386-C387</f>
        <v>0</v>
      </c>
      <c r="D388" s="962">
        <f>D389-D386-D387</f>
        <v>0</v>
      </c>
      <c r="E388" s="962">
        <f>E389-E386-E387</f>
        <v>0</v>
      </c>
      <c r="F388" s="934" t="str">
        <f t="shared" si="212"/>
        <v>OK!</v>
      </c>
      <c r="G388" s="934" t="str">
        <f t="shared" si="212"/>
        <v>OK!</v>
      </c>
      <c r="H388" s="934" t="str">
        <f t="shared" si="212"/>
        <v>OK!</v>
      </c>
      <c r="I388" s="934" t="str">
        <f t="shared" si="212"/>
        <v>OK!</v>
      </c>
      <c r="J388" s="934" t="str">
        <f t="shared" si="212"/>
        <v>OK!</v>
      </c>
      <c r="K388" s="934" t="str">
        <f t="shared" si="212"/>
        <v>OK!</v>
      </c>
      <c r="L388" s="934" t="str">
        <f t="shared" si="212"/>
        <v>OK!</v>
      </c>
      <c r="M388" s="934" t="str">
        <f t="shared" si="212"/>
        <v>OK!</v>
      </c>
      <c r="N388" s="934" t="str">
        <f t="shared" si="212"/>
        <v>OK!</v>
      </c>
      <c r="O388" s="934" t="str">
        <f t="shared" si="212"/>
        <v>OK!</v>
      </c>
      <c r="P388" s="934" t="str">
        <f t="shared" si="212"/>
        <v>OK!</v>
      </c>
      <c r="Q388" s="934" t="str">
        <f t="shared" si="212"/>
        <v>OK!</v>
      </c>
      <c r="R388" s="934" t="str">
        <f t="shared" si="212"/>
        <v>OK!</v>
      </c>
      <c r="S388" s="934" t="str">
        <f t="shared" si="213"/>
        <v>OK!</v>
      </c>
      <c r="T388" s="934" t="str">
        <f t="shared" si="213"/>
        <v>OK!</v>
      </c>
    </row>
    <row r="389" spans="1:20" x14ac:dyDescent="0.15">
      <c r="A389" s="963" t="str">
        <f>A$11</f>
        <v>Tavanet e përgjithshme</v>
      </c>
      <c r="B389" s="964"/>
      <c r="C389" s="968"/>
      <c r="D389" s="969"/>
      <c r="E389" s="969"/>
      <c r="F389" s="934" t="str">
        <f t="shared" si="212"/>
        <v>OK!</v>
      </c>
      <c r="G389" s="934" t="str">
        <f t="shared" si="212"/>
        <v>OK!</v>
      </c>
      <c r="H389" s="934" t="str">
        <f t="shared" si="212"/>
        <v>OK!</v>
      </c>
      <c r="I389" s="934" t="str">
        <f t="shared" si="212"/>
        <v>OK!</v>
      </c>
      <c r="J389" s="934" t="str">
        <f t="shared" si="212"/>
        <v>OK!</v>
      </c>
      <c r="K389" s="934" t="str">
        <f t="shared" si="212"/>
        <v>OK!</v>
      </c>
      <c r="L389" s="934" t="str">
        <f t="shared" si="212"/>
        <v>OK!</v>
      </c>
      <c r="M389" s="934" t="str">
        <f t="shared" si="212"/>
        <v>OK!</v>
      </c>
      <c r="N389" s="934" t="str">
        <f t="shared" si="212"/>
        <v>OK!</v>
      </c>
      <c r="O389" s="934" t="str">
        <f t="shared" si="212"/>
        <v>OK!</v>
      </c>
      <c r="P389" s="934" t="str">
        <f t="shared" si="212"/>
        <v>OK!</v>
      </c>
      <c r="Q389" s="934" t="str">
        <f t="shared" si="212"/>
        <v>OK!</v>
      </c>
      <c r="R389" s="934" t="str">
        <f t="shared" si="212"/>
        <v>OK!</v>
      </c>
      <c r="S389" s="934" t="str">
        <f t="shared" si="213"/>
        <v>OK!</v>
      </c>
      <c r="T389" s="934" t="str">
        <f t="shared" si="213"/>
        <v>OK!</v>
      </c>
    </row>
    <row r="390" spans="1:20" x14ac:dyDescent="0.15">
      <c r="A390" s="965" t="str">
        <f>A$12</f>
        <v>Angazhimet kujtesë</v>
      </c>
      <c r="B390" s="959"/>
      <c r="C390" s="959">
        <f>'(C5) Angazhimet'!D131</f>
        <v>0</v>
      </c>
      <c r="D390" s="959">
        <f>'(C5) Angazhimet'!E131</f>
        <v>0</v>
      </c>
      <c r="E390" s="959">
        <f>'(C5) Angazhimet'!F131</f>
        <v>0</v>
      </c>
      <c r="F390" s="934" t="str">
        <f>IF(C390&gt;C389,"STOPP!","OK!")</f>
        <v>OK!</v>
      </c>
      <c r="G390" s="934" t="str">
        <f t="shared" ref="G390:R390" si="214">IF(D390&lt;0,"STOPP!","OK!")</f>
        <v>OK!</v>
      </c>
      <c r="H390" s="934" t="str">
        <f t="shared" si="214"/>
        <v>OK!</v>
      </c>
      <c r="I390" s="934" t="str">
        <f t="shared" si="214"/>
        <v>OK!</v>
      </c>
      <c r="J390" s="934" t="str">
        <f t="shared" si="214"/>
        <v>OK!</v>
      </c>
      <c r="K390" s="934" t="str">
        <f t="shared" si="214"/>
        <v>OK!</v>
      </c>
      <c r="L390" s="934" t="str">
        <f t="shared" si="214"/>
        <v>OK!</v>
      </c>
      <c r="M390" s="934" t="str">
        <f t="shared" si="214"/>
        <v>OK!</v>
      </c>
      <c r="N390" s="934" t="str">
        <f t="shared" si="214"/>
        <v>OK!</v>
      </c>
      <c r="O390" s="934" t="str">
        <f t="shared" si="214"/>
        <v>OK!</v>
      </c>
      <c r="P390" s="934" t="str">
        <f t="shared" si="214"/>
        <v>OK!</v>
      </c>
      <c r="Q390" s="934" t="str">
        <f t="shared" si="214"/>
        <v>OK!</v>
      </c>
      <c r="R390" s="934" t="str">
        <f t="shared" si="214"/>
        <v>OK!</v>
      </c>
      <c r="S390" s="934" t="str">
        <f>IF(D390&gt;D389,"STOPP!","OK!")</f>
        <v>OK!</v>
      </c>
      <c r="T390" s="934" t="str">
        <f>IF(E390&gt;E389,"STOPP!","OK!")</f>
        <v>OK!</v>
      </c>
    </row>
    <row r="391" spans="1:20" ht="22.5" hidden="1" customHeight="1" x14ac:dyDescent="0.25">
      <c r="A391" s="1082" t="e">
        <f>'(B2) Struktura Organizative'!#REF!</f>
        <v>#REF!</v>
      </c>
      <c r="B391" s="1076" t="e">
        <f>'(B2) Struktura Organizative'!#REF!</f>
        <v>#REF!</v>
      </c>
      <c r="C391" s="1077"/>
      <c r="D391" s="1077"/>
      <c r="E391" s="1078"/>
      <c r="G391" s="933">
        <f>C395</f>
        <v>0</v>
      </c>
      <c r="H391" s="933">
        <f>D395</f>
        <v>0</v>
      </c>
      <c r="I391" s="933">
        <f>E395</f>
        <v>0</v>
      </c>
      <c r="J391" s="933">
        <f>C392</f>
        <v>0</v>
      </c>
      <c r="K391" s="933">
        <f>D392</f>
        <v>0</v>
      </c>
      <c r="L391" s="933">
        <f>E392</f>
        <v>0</v>
      </c>
      <c r="M391" s="933">
        <f>C393</f>
        <v>0</v>
      </c>
      <c r="N391" s="933">
        <f>D393</f>
        <v>0</v>
      </c>
      <c r="O391" s="933">
        <f>E393</f>
        <v>0</v>
      </c>
      <c r="P391" s="933">
        <f>C394</f>
        <v>0</v>
      </c>
      <c r="Q391" s="933">
        <f>D394</f>
        <v>0</v>
      </c>
      <c r="R391" s="933">
        <f>E394</f>
        <v>0</v>
      </c>
    </row>
    <row r="392" spans="1:20" ht="12.75" hidden="1" customHeight="1" x14ac:dyDescent="0.15">
      <c r="A392" s="958" t="str">
        <f>A$8</f>
        <v>Pagat dhe sigurimet shoqërore</v>
      </c>
      <c r="B392" s="958"/>
      <c r="C392" s="959">
        <f t="shared" ref="C392:E393" si="215">C398</f>
        <v>0</v>
      </c>
      <c r="D392" s="959">
        <f t="shared" si="215"/>
        <v>0</v>
      </c>
      <c r="E392" s="959">
        <f t="shared" si="215"/>
        <v>0</v>
      </c>
      <c r="F392" s="934" t="str">
        <f t="shared" ref="F392:R395" si="216">IF(C392&lt;0,"STOPP!","OK!")</f>
        <v>OK!</v>
      </c>
      <c r="G392" s="934" t="str">
        <f t="shared" si="216"/>
        <v>OK!</v>
      </c>
      <c r="H392" s="934" t="str">
        <f t="shared" si="216"/>
        <v>OK!</v>
      </c>
      <c r="I392" s="934" t="str">
        <f t="shared" si="216"/>
        <v>OK!</v>
      </c>
      <c r="J392" s="934" t="str">
        <f t="shared" si="216"/>
        <v>OK!</v>
      </c>
      <c r="K392" s="934" t="str">
        <f t="shared" si="216"/>
        <v>OK!</v>
      </c>
      <c r="L392" s="934" t="str">
        <f t="shared" si="216"/>
        <v>OK!</v>
      </c>
      <c r="M392" s="934" t="str">
        <f t="shared" si="216"/>
        <v>OK!</v>
      </c>
      <c r="N392" s="934" t="str">
        <f t="shared" si="216"/>
        <v>OK!</v>
      </c>
      <c r="O392" s="934" t="str">
        <f t="shared" si="216"/>
        <v>OK!</v>
      </c>
      <c r="P392" s="934" t="str">
        <f t="shared" si="216"/>
        <v>OK!</v>
      </c>
      <c r="Q392" s="934" t="str">
        <f t="shared" si="216"/>
        <v>OK!</v>
      </c>
      <c r="R392" s="934" t="str">
        <f t="shared" si="216"/>
        <v>OK!</v>
      </c>
      <c r="S392" s="934" t="str">
        <f t="shared" ref="S392:T395" si="217">IF(D392&lt;0,"STOPP!","OK!")</f>
        <v>OK!</v>
      </c>
      <c r="T392" s="934" t="str">
        <f t="shared" si="217"/>
        <v>OK!</v>
      </c>
    </row>
    <row r="393" spans="1:20" ht="12.75" hidden="1" customHeight="1" x14ac:dyDescent="0.15">
      <c r="A393" s="958" t="str">
        <f>A$9</f>
        <v>Të tjera shpenzime korrente</v>
      </c>
      <c r="B393" s="958"/>
      <c r="C393" s="959">
        <f t="shared" si="215"/>
        <v>0</v>
      </c>
      <c r="D393" s="959">
        <f t="shared" si="215"/>
        <v>0</v>
      </c>
      <c r="E393" s="959">
        <f t="shared" si="215"/>
        <v>0</v>
      </c>
      <c r="F393" s="934" t="str">
        <f t="shared" si="216"/>
        <v>OK!</v>
      </c>
      <c r="G393" s="934" t="str">
        <f t="shared" si="216"/>
        <v>OK!</v>
      </c>
      <c r="H393" s="934" t="str">
        <f t="shared" si="216"/>
        <v>OK!</v>
      </c>
      <c r="I393" s="934" t="str">
        <f t="shared" si="216"/>
        <v>OK!</v>
      </c>
      <c r="J393" s="934" t="str">
        <f t="shared" si="216"/>
        <v>OK!</v>
      </c>
      <c r="K393" s="934" t="str">
        <f t="shared" si="216"/>
        <v>OK!</v>
      </c>
      <c r="L393" s="934" t="str">
        <f t="shared" si="216"/>
        <v>OK!</v>
      </c>
      <c r="M393" s="934" t="str">
        <f t="shared" si="216"/>
        <v>OK!</v>
      </c>
      <c r="N393" s="934" t="str">
        <f t="shared" si="216"/>
        <v>OK!</v>
      </c>
      <c r="O393" s="934" t="str">
        <f t="shared" si="216"/>
        <v>OK!</v>
      </c>
      <c r="P393" s="934" t="str">
        <f t="shared" si="216"/>
        <v>OK!</v>
      </c>
      <c r="Q393" s="934" t="str">
        <f t="shared" si="216"/>
        <v>OK!</v>
      </c>
      <c r="R393" s="934" t="str">
        <f t="shared" si="216"/>
        <v>OK!</v>
      </c>
      <c r="S393" s="934" t="str">
        <f t="shared" si="217"/>
        <v>OK!</v>
      </c>
      <c r="T393" s="934" t="str">
        <f t="shared" si="217"/>
        <v>OK!</v>
      </c>
    </row>
    <row r="394" spans="1:20" ht="12.75" hidden="1" customHeight="1" x14ac:dyDescent="0.15">
      <c r="A394" s="960" t="str">
        <f>A$10</f>
        <v>Shpenzimet kapitale</v>
      </c>
      <c r="B394" s="961"/>
      <c r="C394" s="959">
        <f>C395-C392-C393</f>
        <v>0</v>
      </c>
      <c r="D394" s="962">
        <f>D395-D392-D393</f>
        <v>0</v>
      </c>
      <c r="E394" s="962">
        <f>E395-E392-E393</f>
        <v>0</v>
      </c>
      <c r="F394" s="934" t="str">
        <f t="shared" si="216"/>
        <v>OK!</v>
      </c>
      <c r="G394" s="934" t="str">
        <f t="shared" si="216"/>
        <v>OK!</v>
      </c>
      <c r="H394" s="934" t="str">
        <f t="shared" si="216"/>
        <v>OK!</v>
      </c>
      <c r="I394" s="934" t="str">
        <f t="shared" si="216"/>
        <v>OK!</v>
      </c>
      <c r="J394" s="934" t="str">
        <f t="shared" si="216"/>
        <v>OK!</v>
      </c>
      <c r="K394" s="934" t="str">
        <f t="shared" si="216"/>
        <v>OK!</v>
      </c>
      <c r="L394" s="934" t="str">
        <f t="shared" si="216"/>
        <v>OK!</v>
      </c>
      <c r="M394" s="934" t="str">
        <f t="shared" si="216"/>
        <v>OK!</v>
      </c>
      <c r="N394" s="934" t="str">
        <f t="shared" si="216"/>
        <v>OK!</v>
      </c>
      <c r="O394" s="934" t="str">
        <f t="shared" si="216"/>
        <v>OK!</v>
      </c>
      <c r="P394" s="934" t="str">
        <f t="shared" si="216"/>
        <v>OK!</v>
      </c>
      <c r="Q394" s="934" t="str">
        <f t="shared" si="216"/>
        <v>OK!</v>
      </c>
      <c r="R394" s="934" t="str">
        <f t="shared" si="216"/>
        <v>OK!</v>
      </c>
      <c r="S394" s="934" t="str">
        <f t="shared" si="217"/>
        <v>OK!</v>
      </c>
      <c r="T394" s="934" t="str">
        <f t="shared" si="217"/>
        <v>OK!</v>
      </c>
    </row>
    <row r="395" spans="1:20" ht="12.75" hidden="1" customHeight="1" x14ac:dyDescent="0.15">
      <c r="A395" s="963" t="str">
        <f>A$11</f>
        <v>Tavanet e përgjithshme</v>
      </c>
      <c r="B395" s="964"/>
      <c r="C395" s="959">
        <f>C401</f>
        <v>0</v>
      </c>
      <c r="D395" s="959">
        <f>D401</f>
        <v>0</v>
      </c>
      <c r="E395" s="959">
        <f>E401</f>
        <v>0</v>
      </c>
      <c r="F395" s="934" t="str">
        <f t="shared" si="216"/>
        <v>OK!</v>
      </c>
      <c r="G395" s="934" t="str">
        <f t="shared" si="216"/>
        <v>OK!</v>
      </c>
      <c r="H395" s="934" t="str">
        <f t="shared" si="216"/>
        <v>OK!</v>
      </c>
      <c r="I395" s="934" t="str">
        <f t="shared" si="216"/>
        <v>OK!</v>
      </c>
      <c r="J395" s="934" t="str">
        <f t="shared" si="216"/>
        <v>OK!</v>
      </c>
      <c r="K395" s="934" t="str">
        <f t="shared" si="216"/>
        <v>OK!</v>
      </c>
      <c r="L395" s="934" t="str">
        <f t="shared" si="216"/>
        <v>OK!</v>
      </c>
      <c r="M395" s="934" t="str">
        <f t="shared" si="216"/>
        <v>OK!</v>
      </c>
      <c r="N395" s="934" t="str">
        <f t="shared" si="216"/>
        <v>OK!</v>
      </c>
      <c r="O395" s="934" t="str">
        <f t="shared" si="216"/>
        <v>OK!</v>
      </c>
      <c r="P395" s="934" t="str">
        <f t="shared" si="216"/>
        <v>OK!</v>
      </c>
      <c r="Q395" s="934" t="str">
        <f t="shared" si="216"/>
        <v>OK!</v>
      </c>
      <c r="R395" s="934" t="str">
        <f t="shared" si="216"/>
        <v>OK!</v>
      </c>
      <c r="S395" s="934" t="str">
        <f t="shared" si="217"/>
        <v>OK!</v>
      </c>
      <c r="T395" s="934" t="str">
        <f t="shared" si="217"/>
        <v>OK!</v>
      </c>
    </row>
    <row r="396" spans="1:20" ht="12.75" hidden="1" customHeight="1" x14ac:dyDescent="0.15">
      <c r="A396" s="965" t="str">
        <f>A$12</f>
        <v>Angazhimet kujtesë</v>
      </c>
      <c r="B396" s="959"/>
      <c r="C396" s="959">
        <f>'(C5) Angazhimet'!D138</f>
        <v>0</v>
      </c>
      <c r="D396" s="962">
        <f>'(C5) Angazhimet'!E138</f>
        <v>0</v>
      </c>
      <c r="E396" s="962">
        <f>'(C5) Angazhimet'!F138</f>
        <v>0</v>
      </c>
      <c r="F396" s="934" t="str">
        <f>IF(C396&gt;C395,"STOPP!","OK!")</f>
        <v>OK!</v>
      </c>
      <c r="G396" s="934" t="str">
        <f t="shared" ref="G396:R396" si="218">IF(D396&lt;0,"STOPP!","OK!")</f>
        <v>OK!</v>
      </c>
      <c r="H396" s="934" t="str">
        <f t="shared" si="218"/>
        <v>OK!</v>
      </c>
      <c r="I396" s="934" t="str">
        <f t="shared" si="218"/>
        <v>OK!</v>
      </c>
      <c r="J396" s="934" t="str">
        <f t="shared" si="218"/>
        <v>OK!</v>
      </c>
      <c r="K396" s="934" t="str">
        <f t="shared" si="218"/>
        <v>OK!</v>
      </c>
      <c r="L396" s="934" t="str">
        <f t="shared" si="218"/>
        <v>OK!</v>
      </c>
      <c r="M396" s="934" t="str">
        <f t="shared" si="218"/>
        <v>OK!</v>
      </c>
      <c r="N396" s="934" t="str">
        <f t="shared" si="218"/>
        <v>OK!</v>
      </c>
      <c r="O396" s="934" t="str">
        <f t="shared" si="218"/>
        <v>OK!</v>
      </c>
      <c r="P396" s="934" t="str">
        <f t="shared" si="218"/>
        <v>OK!</v>
      </c>
      <c r="Q396" s="934" t="str">
        <f t="shared" si="218"/>
        <v>OK!</v>
      </c>
      <c r="R396" s="934" t="str">
        <f t="shared" si="218"/>
        <v>OK!</v>
      </c>
      <c r="S396" s="934" t="str">
        <f>IF(D396&gt;D395,"STOPP!","OK!")</f>
        <v>OK!</v>
      </c>
      <c r="T396" s="934" t="str">
        <f>IF(E396&gt;E395,"STOPP!","OK!")</f>
        <v>OK!</v>
      </c>
    </row>
    <row r="397" spans="1:20" ht="15.75" hidden="1" customHeight="1" x14ac:dyDescent="0.15">
      <c r="A397" s="1089" t="str">
        <f>'(B3) Struktura Funksionale'!B119</f>
        <v>09660</v>
      </c>
      <c r="B397" s="1079" t="str">
        <f>'(B3) Struktura Funksionale'!C119</f>
        <v xml:space="preserve">Programe arsimore për trajnimin e mësuesve dhe edukatorëve </v>
      </c>
      <c r="C397" s="1080"/>
      <c r="D397" s="1080"/>
      <c r="E397" s="1081"/>
      <c r="F397" s="934"/>
      <c r="G397" s="934"/>
      <c r="H397" s="934"/>
      <c r="I397" s="934"/>
      <c r="J397" s="934"/>
      <c r="K397" s="934"/>
      <c r="L397" s="934"/>
      <c r="M397" s="934"/>
      <c r="N397" s="934"/>
      <c r="O397" s="934"/>
      <c r="P397" s="934"/>
      <c r="Q397" s="934"/>
      <c r="R397" s="934"/>
      <c r="S397" s="934"/>
      <c r="T397" s="934"/>
    </row>
    <row r="398" spans="1:20" ht="12.75" hidden="1" customHeight="1" x14ac:dyDescent="0.15">
      <c r="A398" s="958" t="str">
        <f>A$8</f>
        <v>Pagat dhe sigurimet shoqërore</v>
      </c>
      <c r="B398" s="958"/>
      <c r="C398" s="966"/>
      <c r="D398" s="966"/>
      <c r="E398" s="966"/>
      <c r="F398" s="934" t="str">
        <f t="shared" ref="F398:R401" si="219">IF(C398&lt;0,"STOPP!","OK!")</f>
        <v>OK!</v>
      </c>
      <c r="G398" s="934" t="str">
        <f t="shared" si="219"/>
        <v>OK!</v>
      </c>
      <c r="H398" s="934" t="str">
        <f t="shared" si="219"/>
        <v>OK!</v>
      </c>
      <c r="I398" s="934" t="str">
        <f t="shared" si="219"/>
        <v>OK!</v>
      </c>
      <c r="J398" s="934" t="str">
        <f t="shared" si="219"/>
        <v>OK!</v>
      </c>
      <c r="K398" s="934" t="str">
        <f t="shared" si="219"/>
        <v>OK!</v>
      </c>
      <c r="L398" s="934" t="str">
        <f t="shared" si="219"/>
        <v>OK!</v>
      </c>
      <c r="M398" s="934" t="str">
        <f t="shared" si="219"/>
        <v>OK!</v>
      </c>
      <c r="N398" s="934" t="str">
        <f t="shared" si="219"/>
        <v>OK!</v>
      </c>
      <c r="O398" s="934" t="str">
        <f t="shared" si="219"/>
        <v>OK!</v>
      </c>
      <c r="P398" s="934" t="str">
        <f t="shared" si="219"/>
        <v>OK!</v>
      </c>
      <c r="Q398" s="934" t="str">
        <f t="shared" si="219"/>
        <v>OK!</v>
      </c>
      <c r="R398" s="934" t="str">
        <f t="shared" si="219"/>
        <v>OK!</v>
      </c>
      <c r="S398" s="934" t="str">
        <f t="shared" ref="S398:T401" si="220">IF(D398&lt;0,"STOPP!","OK!")</f>
        <v>OK!</v>
      </c>
      <c r="T398" s="934" t="str">
        <f t="shared" si="220"/>
        <v>OK!</v>
      </c>
    </row>
    <row r="399" spans="1:20" ht="12.75" hidden="1" customHeight="1" x14ac:dyDescent="0.15">
      <c r="A399" s="958" t="str">
        <f>A$9</f>
        <v>Të tjera shpenzime korrente</v>
      </c>
      <c r="B399" s="958"/>
      <c r="C399" s="967"/>
      <c r="D399" s="967"/>
      <c r="E399" s="967"/>
      <c r="F399" s="934" t="str">
        <f t="shared" si="219"/>
        <v>OK!</v>
      </c>
      <c r="G399" s="934" t="str">
        <f t="shared" si="219"/>
        <v>OK!</v>
      </c>
      <c r="H399" s="934" t="str">
        <f t="shared" si="219"/>
        <v>OK!</v>
      </c>
      <c r="I399" s="934" t="str">
        <f t="shared" si="219"/>
        <v>OK!</v>
      </c>
      <c r="J399" s="934" t="str">
        <f t="shared" si="219"/>
        <v>OK!</v>
      </c>
      <c r="K399" s="934" t="str">
        <f t="shared" si="219"/>
        <v>OK!</v>
      </c>
      <c r="L399" s="934" t="str">
        <f t="shared" si="219"/>
        <v>OK!</v>
      </c>
      <c r="M399" s="934" t="str">
        <f t="shared" si="219"/>
        <v>OK!</v>
      </c>
      <c r="N399" s="934" t="str">
        <f t="shared" si="219"/>
        <v>OK!</v>
      </c>
      <c r="O399" s="934" t="str">
        <f t="shared" si="219"/>
        <v>OK!</v>
      </c>
      <c r="P399" s="934" t="str">
        <f t="shared" si="219"/>
        <v>OK!</v>
      </c>
      <c r="Q399" s="934" t="str">
        <f t="shared" si="219"/>
        <v>OK!</v>
      </c>
      <c r="R399" s="934" t="str">
        <f t="shared" si="219"/>
        <v>OK!</v>
      </c>
      <c r="S399" s="934" t="str">
        <f t="shared" si="220"/>
        <v>OK!</v>
      </c>
      <c r="T399" s="934" t="str">
        <f t="shared" si="220"/>
        <v>OK!</v>
      </c>
    </row>
    <row r="400" spans="1:20" ht="12.75" hidden="1" customHeight="1" x14ac:dyDescent="0.15">
      <c r="A400" s="960" t="str">
        <f>A$10</f>
        <v>Shpenzimet kapitale</v>
      </c>
      <c r="B400" s="961"/>
      <c r="C400" s="959">
        <f>C401-C398-C399</f>
        <v>0</v>
      </c>
      <c r="D400" s="962">
        <f>D401-D398-D399</f>
        <v>0</v>
      </c>
      <c r="E400" s="962">
        <f>E401-E398-E399</f>
        <v>0</v>
      </c>
      <c r="F400" s="934" t="str">
        <f t="shared" si="219"/>
        <v>OK!</v>
      </c>
      <c r="G400" s="934" t="str">
        <f t="shared" si="219"/>
        <v>OK!</v>
      </c>
      <c r="H400" s="934" t="str">
        <f t="shared" si="219"/>
        <v>OK!</v>
      </c>
      <c r="I400" s="934" t="str">
        <f t="shared" si="219"/>
        <v>OK!</v>
      </c>
      <c r="J400" s="934" t="str">
        <f t="shared" si="219"/>
        <v>OK!</v>
      </c>
      <c r="K400" s="934" t="str">
        <f t="shared" si="219"/>
        <v>OK!</v>
      </c>
      <c r="L400" s="934" t="str">
        <f t="shared" si="219"/>
        <v>OK!</v>
      </c>
      <c r="M400" s="934" t="str">
        <f t="shared" si="219"/>
        <v>OK!</v>
      </c>
      <c r="N400" s="934" t="str">
        <f t="shared" si="219"/>
        <v>OK!</v>
      </c>
      <c r="O400" s="934" t="str">
        <f t="shared" si="219"/>
        <v>OK!</v>
      </c>
      <c r="P400" s="934" t="str">
        <f t="shared" si="219"/>
        <v>OK!</v>
      </c>
      <c r="Q400" s="934" t="str">
        <f t="shared" si="219"/>
        <v>OK!</v>
      </c>
      <c r="R400" s="934" t="str">
        <f t="shared" si="219"/>
        <v>OK!</v>
      </c>
      <c r="S400" s="934" t="str">
        <f t="shared" si="220"/>
        <v>OK!</v>
      </c>
      <c r="T400" s="934" t="str">
        <f t="shared" si="220"/>
        <v>OK!</v>
      </c>
    </row>
    <row r="401" spans="1:20" ht="12.75" hidden="1" customHeight="1" x14ac:dyDescent="0.15">
      <c r="A401" s="963" t="str">
        <f>A$11</f>
        <v>Tavanet e përgjithshme</v>
      </c>
      <c r="B401" s="964"/>
      <c r="C401" s="968"/>
      <c r="D401" s="969"/>
      <c r="E401" s="969"/>
      <c r="F401" s="934" t="str">
        <f t="shared" si="219"/>
        <v>OK!</v>
      </c>
      <c r="G401" s="934" t="str">
        <f t="shared" si="219"/>
        <v>OK!</v>
      </c>
      <c r="H401" s="934" t="str">
        <f t="shared" si="219"/>
        <v>OK!</v>
      </c>
      <c r="I401" s="934" t="str">
        <f t="shared" si="219"/>
        <v>OK!</v>
      </c>
      <c r="J401" s="934" t="str">
        <f t="shared" si="219"/>
        <v>OK!</v>
      </c>
      <c r="K401" s="934" t="str">
        <f t="shared" si="219"/>
        <v>OK!</v>
      </c>
      <c r="L401" s="934" t="str">
        <f t="shared" si="219"/>
        <v>OK!</v>
      </c>
      <c r="M401" s="934" t="str">
        <f t="shared" si="219"/>
        <v>OK!</v>
      </c>
      <c r="N401" s="934" t="str">
        <f t="shared" si="219"/>
        <v>OK!</v>
      </c>
      <c r="O401" s="934" t="str">
        <f t="shared" si="219"/>
        <v>OK!</v>
      </c>
      <c r="P401" s="934" t="str">
        <f t="shared" si="219"/>
        <v>OK!</v>
      </c>
      <c r="Q401" s="934" t="str">
        <f t="shared" si="219"/>
        <v>OK!</v>
      </c>
      <c r="R401" s="934" t="str">
        <f t="shared" si="219"/>
        <v>OK!</v>
      </c>
      <c r="S401" s="934" t="str">
        <f t="shared" si="220"/>
        <v>OK!</v>
      </c>
      <c r="T401" s="934" t="str">
        <f t="shared" si="220"/>
        <v>OK!</v>
      </c>
    </row>
    <row r="402" spans="1:20" ht="12.75" hidden="1" customHeight="1" x14ac:dyDescent="0.15">
      <c r="A402" s="965" t="str">
        <f>A$12</f>
        <v>Angazhimet kujtesë</v>
      </c>
      <c r="B402" s="959"/>
      <c r="C402" s="959">
        <f>'(C5) Angazhimet'!D135</f>
        <v>0</v>
      </c>
      <c r="D402" s="959">
        <f>'(C5) Angazhimet'!E135</f>
        <v>0</v>
      </c>
      <c r="E402" s="959">
        <f>'(C5) Angazhimet'!F135</f>
        <v>0</v>
      </c>
      <c r="F402" s="934" t="str">
        <f>IF(C402&gt;C401,"STOPP!","OK!")</f>
        <v>OK!</v>
      </c>
      <c r="G402" s="934" t="str">
        <f t="shared" ref="G402:R402" si="221">IF(D402&lt;0,"STOPP!","OK!")</f>
        <v>OK!</v>
      </c>
      <c r="H402" s="934" t="str">
        <f t="shared" si="221"/>
        <v>OK!</v>
      </c>
      <c r="I402" s="934" t="str">
        <f t="shared" si="221"/>
        <v>OK!</v>
      </c>
      <c r="J402" s="934" t="str">
        <f t="shared" si="221"/>
        <v>OK!</v>
      </c>
      <c r="K402" s="934" t="str">
        <f t="shared" si="221"/>
        <v>OK!</v>
      </c>
      <c r="L402" s="934" t="str">
        <f t="shared" si="221"/>
        <v>OK!</v>
      </c>
      <c r="M402" s="934" t="str">
        <f t="shared" si="221"/>
        <v>OK!</v>
      </c>
      <c r="N402" s="934" t="str">
        <f t="shared" si="221"/>
        <v>OK!</v>
      </c>
      <c r="O402" s="934" t="str">
        <f t="shared" si="221"/>
        <v>OK!</v>
      </c>
      <c r="P402" s="934" t="str">
        <f t="shared" si="221"/>
        <v>OK!</v>
      </c>
      <c r="Q402" s="934" t="str">
        <f t="shared" si="221"/>
        <v>OK!</v>
      </c>
      <c r="R402" s="934" t="str">
        <f t="shared" si="221"/>
        <v>OK!</v>
      </c>
      <c r="S402" s="934" t="str">
        <f>IF(D402&gt;D401,"STOPP!","OK!")</f>
        <v>OK!</v>
      </c>
      <c r="T402" s="934" t="str">
        <f>IF(E402&gt;E401,"STOPP!","OK!")</f>
        <v>OK!</v>
      </c>
    </row>
    <row r="403" spans="1:20" ht="22.5" customHeight="1" x14ac:dyDescent="0.25">
      <c r="A403" s="1082" t="str">
        <f>'(B2) Struktura Organizative'!A29</f>
        <v>Nënfunksioni 23</v>
      </c>
      <c r="B403" s="1076" t="str">
        <f>'(B2) Struktura Organizative'!B29</f>
        <v>101 Sëmundje dhe paaftësi</v>
      </c>
      <c r="C403" s="1077"/>
      <c r="D403" s="1077"/>
      <c r="E403" s="1078"/>
      <c r="G403" s="933">
        <f>C407</f>
        <v>0</v>
      </c>
      <c r="H403" s="933">
        <f>D407</f>
        <v>0</v>
      </c>
      <c r="I403" s="933">
        <f>E407</f>
        <v>0</v>
      </c>
      <c r="J403" s="933">
        <f>C404</f>
        <v>0</v>
      </c>
      <c r="K403" s="933">
        <f>D404</f>
        <v>0</v>
      </c>
      <c r="L403" s="933">
        <f>E404</f>
        <v>0</v>
      </c>
      <c r="M403" s="933">
        <f>C405</f>
        <v>0</v>
      </c>
      <c r="N403" s="933">
        <f>D405</f>
        <v>0</v>
      </c>
      <c r="O403" s="933">
        <f>E405</f>
        <v>0</v>
      </c>
      <c r="P403" s="933">
        <f>C406</f>
        <v>0</v>
      </c>
      <c r="Q403" s="933">
        <f>D406</f>
        <v>0</v>
      </c>
      <c r="R403" s="933">
        <f>E406</f>
        <v>0</v>
      </c>
    </row>
    <row r="404" spans="1:20" x14ac:dyDescent="0.15">
      <c r="A404" s="958" t="str">
        <f>A$8</f>
        <v>Pagat dhe sigurimet shoqërore</v>
      </c>
      <c r="B404" s="958"/>
      <c r="C404" s="959">
        <f t="shared" ref="C404:E405" si="222">C410</f>
        <v>0</v>
      </c>
      <c r="D404" s="959">
        <f t="shared" si="222"/>
        <v>0</v>
      </c>
      <c r="E404" s="959">
        <f t="shared" si="222"/>
        <v>0</v>
      </c>
      <c r="F404" s="934" t="str">
        <f t="shared" ref="F404:R407" si="223">IF(C404&lt;0,"STOPP!","OK!")</f>
        <v>OK!</v>
      </c>
      <c r="G404" s="934" t="str">
        <f t="shared" si="223"/>
        <v>OK!</v>
      </c>
      <c r="H404" s="934" t="str">
        <f t="shared" si="223"/>
        <v>OK!</v>
      </c>
      <c r="I404" s="934" t="str">
        <f t="shared" si="223"/>
        <v>OK!</v>
      </c>
      <c r="J404" s="934" t="str">
        <f t="shared" si="223"/>
        <v>OK!</v>
      </c>
      <c r="K404" s="934" t="str">
        <f t="shared" si="223"/>
        <v>OK!</v>
      </c>
      <c r="L404" s="934" t="str">
        <f t="shared" si="223"/>
        <v>OK!</v>
      </c>
      <c r="M404" s="934" t="str">
        <f t="shared" si="223"/>
        <v>OK!</v>
      </c>
      <c r="N404" s="934" t="str">
        <f t="shared" si="223"/>
        <v>OK!</v>
      </c>
      <c r="O404" s="934" t="str">
        <f t="shared" si="223"/>
        <v>OK!</v>
      </c>
      <c r="P404" s="934" t="str">
        <f t="shared" si="223"/>
        <v>OK!</v>
      </c>
      <c r="Q404" s="934" t="str">
        <f t="shared" si="223"/>
        <v>OK!</v>
      </c>
      <c r="R404" s="934" t="str">
        <f t="shared" si="223"/>
        <v>OK!</v>
      </c>
      <c r="S404" s="934" t="str">
        <f t="shared" ref="S404:T407" si="224">IF(D404&lt;0,"STOPP!","OK!")</f>
        <v>OK!</v>
      </c>
      <c r="T404" s="934" t="str">
        <f t="shared" si="224"/>
        <v>OK!</v>
      </c>
    </row>
    <row r="405" spans="1:20" x14ac:dyDescent="0.15">
      <c r="A405" s="958" t="str">
        <f>A$9</f>
        <v>Të tjera shpenzime korrente</v>
      </c>
      <c r="B405" s="958"/>
      <c r="C405" s="959">
        <f t="shared" si="222"/>
        <v>0</v>
      </c>
      <c r="D405" s="959">
        <f t="shared" si="222"/>
        <v>0</v>
      </c>
      <c r="E405" s="959">
        <f t="shared" si="222"/>
        <v>0</v>
      </c>
      <c r="F405" s="934" t="str">
        <f t="shared" si="223"/>
        <v>OK!</v>
      </c>
      <c r="G405" s="934" t="str">
        <f t="shared" si="223"/>
        <v>OK!</v>
      </c>
      <c r="H405" s="934" t="str">
        <f t="shared" si="223"/>
        <v>OK!</v>
      </c>
      <c r="I405" s="934" t="str">
        <f t="shared" si="223"/>
        <v>OK!</v>
      </c>
      <c r="J405" s="934" t="str">
        <f t="shared" si="223"/>
        <v>OK!</v>
      </c>
      <c r="K405" s="934" t="str">
        <f t="shared" si="223"/>
        <v>OK!</v>
      </c>
      <c r="L405" s="934" t="str">
        <f t="shared" si="223"/>
        <v>OK!</v>
      </c>
      <c r="M405" s="934" t="str">
        <f t="shared" si="223"/>
        <v>OK!</v>
      </c>
      <c r="N405" s="934" t="str">
        <f t="shared" si="223"/>
        <v>OK!</v>
      </c>
      <c r="O405" s="934" t="str">
        <f t="shared" si="223"/>
        <v>OK!</v>
      </c>
      <c r="P405" s="934" t="str">
        <f t="shared" si="223"/>
        <v>OK!</v>
      </c>
      <c r="Q405" s="934" t="str">
        <f t="shared" si="223"/>
        <v>OK!</v>
      </c>
      <c r="R405" s="934" t="str">
        <f t="shared" si="223"/>
        <v>OK!</v>
      </c>
      <c r="S405" s="934" t="str">
        <f t="shared" si="224"/>
        <v>OK!</v>
      </c>
      <c r="T405" s="934" t="str">
        <f t="shared" si="224"/>
        <v>OK!</v>
      </c>
    </row>
    <row r="406" spans="1:20" x14ac:dyDescent="0.15">
      <c r="A406" s="960" t="str">
        <f>A$10</f>
        <v>Shpenzimet kapitale</v>
      </c>
      <c r="B406" s="961"/>
      <c r="C406" s="959">
        <f>C407-C404-C405</f>
        <v>0</v>
      </c>
      <c r="D406" s="962">
        <f>D407-D404-D405</f>
        <v>0</v>
      </c>
      <c r="E406" s="962">
        <f>E407-E404-E405</f>
        <v>0</v>
      </c>
      <c r="F406" s="934" t="str">
        <f t="shared" si="223"/>
        <v>OK!</v>
      </c>
      <c r="G406" s="934" t="str">
        <f t="shared" si="223"/>
        <v>OK!</v>
      </c>
      <c r="H406" s="934" t="str">
        <f t="shared" si="223"/>
        <v>OK!</v>
      </c>
      <c r="I406" s="934" t="str">
        <f t="shared" si="223"/>
        <v>OK!</v>
      </c>
      <c r="J406" s="934" t="str">
        <f t="shared" si="223"/>
        <v>OK!</v>
      </c>
      <c r="K406" s="934" t="str">
        <f t="shared" si="223"/>
        <v>OK!</v>
      </c>
      <c r="L406" s="934" t="str">
        <f t="shared" si="223"/>
        <v>OK!</v>
      </c>
      <c r="M406" s="934" t="str">
        <f t="shared" si="223"/>
        <v>OK!</v>
      </c>
      <c r="N406" s="934" t="str">
        <f t="shared" si="223"/>
        <v>OK!</v>
      </c>
      <c r="O406" s="934" t="str">
        <f t="shared" si="223"/>
        <v>OK!</v>
      </c>
      <c r="P406" s="934" t="str">
        <f t="shared" si="223"/>
        <v>OK!</v>
      </c>
      <c r="Q406" s="934" t="str">
        <f t="shared" si="223"/>
        <v>OK!</v>
      </c>
      <c r="R406" s="934" t="str">
        <f t="shared" si="223"/>
        <v>OK!</v>
      </c>
      <c r="S406" s="934" t="str">
        <f t="shared" si="224"/>
        <v>OK!</v>
      </c>
      <c r="T406" s="934" t="str">
        <f t="shared" si="224"/>
        <v>OK!</v>
      </c>
    </row>
    <row r="407" spans="1:20" x14ac:dyDescent="0.15">
      <c r="A407" s="963" t="str">
        <f>A$11</f>
        <v>Tavanet e përgjithshme</v>
      </c>
      <c r="B407" s="964"/>
      <c r="C407" s="959">
        <f>C413</f>
        <v>0</v>
      </c>
      <c r="D407" s="959">
        <f>D413</f>
        <v>0</v>
      </c>
      <c r="E407" s="959">
        <f>E413</f>
        <v>0</v>
      </c>
      <c r="F407" s="934" t="str">
        <f t="shared" si="223"/>
        <v>OK!</v>
      </c>
      <c r="G407" s="934" t="str">
        <f t="shared" si="223"/>
        <v>OK!</v>
      </c>
      <c r="H407" s="934" t="str">
        <f t="shared" si="223"/>
        <v>OK!</v>
      </c>
      <c r="I407" s="934" t="str">
        <f t="shared" si="223"/>
        <v>OK!</v>
      </c>
      <c r="J407" s="934" t="str">
        <f t="shared" si="223"/>
        <v>OK!</v>
      </c>
      <c r="K407" s="934" t="str">
        <f t="shared" si="223"/>
        <v>OK!</v>
      </c>
      <c r="L407" s="934" t="str">
        <f t="shared" si="223"/>
        <v>OK!</v>
      </c>
      <c r="M407" s="934" t="str">
        <f t="shared" si="223"/>
        <v>OK!</v>
      </c>
      <c r="N407" s="934" t="str">
        <f t="shared" si="223"/>
        <v>OK!</v>
      </c>
      <c r="O407" s="934" t="str">
        <f t="shared" si="223"/>
        <v>OK!</v>
      </c>
      <c r="P407" s="934" t="str">
        <f t="shared" si="223"/>
        <v>OK!</v>
      </c>
      <c r="Q407" s="934" t="str">
        <f t="shared" si="223"/>
        <v>OK!</v>
      </c>
      <c r="R407" s="934" t="str">
        <f t="shared" si="223"/>
        <v>OK!</v>
      </c>
      <c r="S407" s="934" t="str">
        <f t="shared" si="224"/>
        <v>OK!</v>
      </c>
      <c r="T407" s="934" t="str">
        <f t="shared" si="224"/>
        <v>OK!</v>
      </c>
    </row>
    <row r="408" spans="1:20" x14ac:dyDescent="0.15">
      <c r="A408" s="965" t="str">
        <f>A$12</f>
        <v>Angazhimet kujtesë</v>
      </c>
      <c r="B408" s="959"/>
      <c r="C408" s="959">
        <f>'(C5) Angazhimet'!D143</f>
        <v>0</v>
      </c>
      <c r="D408" s="962">
        <f>'(C5) Angazhimet'!E143</f>
        <v>0</v>
      </c>
      <c r="E408" s="962">
        <f>'(C5) Angazhimet'!F143</f>
        <v>0</v>
      </c>
      <c r="F408" s="934" t="str">
        <f>IF(C408&gt;C407,"STOPP!","OK!")</f>
        <v>OK!</v>
      </c>
      <c r="G408" s="934" t="str">
        <f t="shared" ref="G408:R408" si="225">IF(D408&lt;0,"STOPP!","OK!")</f>
        <v>OK!</v>
      </c>
      <c r="H408" s="934" t="str">
        <f t="shared" si="225"/>
        <v>OK!</v>
      </c>
      <c r="I408" s="934" t="str">
        <f t="shared" si="225"/>
        <v>OK!</v>
      </c>
      <c r="J408" s="934" t="str">
        <f t="shared" si="225"/>
        <v>OK!</v>
      </c>
      <c r="K408" s="934" t="str">
        <f t="shared" si="225"/>
        <v>OK!</v>
      </c>
      <c r="L408" s="934" t="str">
        <f t="shared" si="225"/>
        <v>OK!</v>
      </c>
      <c r="M408" s="934" t="str">
        <f t="shared" si="225"/>
        <v>OK!</v>
      </c>
      <c r="N408" s="934" t="str">
        <f t="shared" si="225"/>
        <v>OK!</v>
      </c>
      <c r="O408" s="934" t="str">
        <f t="shared" si="225"/>
        <v>OK!</v>
      </c>
      <c r="P408" s="934" t="str">
        <f t="shared" si="225"/>
        <v>OK!</v>
      </c>
      <c r="Q408" s="934" t="str">
        <f t="shared" si="225"/>
        <v>OK!</v>
      </c>
      <c r="R408" s="934" t="str">
        <f t="shared" si="225"/>
        <v>OK!</v>
      </c>
      <c r="S408" s="934" t="str">
        <f>IF(D408&gt;D407,"STOPP!","OK!")</f>
        <v>OK!</v>
      </c>
      <c r="T408" s="934" t="str">
        <f>IF(E408&gt;E407,"STOPP!","OK!")</f>
        <v>OK!</v>
      </c>
    </row>
    <row r="409" spans="1:20" ht="15.75" customHeight="1" x14ac:dyDescent="0.15">
      <c r="A409" s="1089" t="str">
        <f>'(B3) Struktura Funksionale'!B124</f>
        <v>10140</v>
      </c>
      <c r="B409" s="1079" t="str">
        <f>'(B3) Struktura Funksionale'!C124</f>
        <v>Kujdesi social për personat e sëmurë dhe me aftësi të kufizuara</v>
      </c>
      <c r="C409" s="1080"/>
      <c r="D409" s="1080"/>
      <c r="E409" s="1081"/>
      <c r="F409" s="934"/>
      <c r="G409" s="934"/>
      <c r="H409" s="934"/>
      <c r="I409" s="934"/>
      <c r="J409" s="934"/>
      <c r="K409" s="934"/>
      <c r="L409" s="934"/>
      <c r="M409" s="934"/>
      <c r="N409" s="934"/>
      <c r="O409" s="934"/>
      <c r="P409" s="934"/>
      <c r="Q409" s="934"/>
      <c r="R409" s="934"/>
      <c r="S409" s="934"/>
      <c r="T409" s="934"/>
    </row>
    <row r="410" spans="1:20" x14ac:dyDescent="0.15">
      <c r="A410" s="958" t="str">
        <f>A$8</f>
        <v>Pagat dhe sigurimet shoqërore</v>
      </c>
      <c r="B410" s="958"/>
      <c r="C410" s="966"/>
      <c r="D410" s="966"/>
      <c r="E410" s="966"/>
      <c r="F410" s="934" t="str">
        <f t="shared" ref="F410:R413" si="226">IF(C410&lt;0,"STOPP!","OK!")</f>
        <v>OK!</v>
      </c>
      <c r="G410" s="934" t="str">
        <f t="shared" si="226"/>
        <v>OK!</v>
      </c>
      <c r="H410" s="934" t="str">
        <f t="shared" si="226"/>
        <v>OK!</v>
      </c>
      <c r="I410" s="934" t="str">
        <f t="shared" si="226"/>
        <v>OK!</v>
      </c>
      <c r="J410" s="934" t="str">
        <f t="shared" si="226"/>
        <v>OK!</v>
      </c>
      <c r="K410" s="934" t="str">
        <f t="shared" si="226"/>
        <v>OK!</v>
      </c>
      <c r="L410" s="934" t="str">
        <f t="shared" si="226"/>
        <v>OK!</v>
      </c>
      <c r="M410" s="934" t="str">
        <f t="shared" si="226"/>
        <v>OK!</v>
      </c>
      <c r="N410" s="934" t="str">
        <f t="shared" si="226"/>
        <v>OK!</v>
      </c>
      <c r="O410" s="934" t="str">
        <f t="shared" si="226"/>
        <v>OK!</v>
      </c>
      <c r="P410" s="934" t="str">
        <f t="shared" si="226"/>
        <v>OK!</v>
      </c>
      <c r="Q410" s="934" t="str">
        <f t="shared" si="226"/>
        <v>OK!</v>
      </c>
      <c r="R410" s="934" t="str">
        <f t="shared" si="226"/>
        <v>OK!</v>
      </c>
      <c r="S410" s="934" t="str">
        <f t="shared" ref="S410:T413" si="227">IF(D410&lt;0,"STOPP!","OK!")</f>
        <v>OK!</v>
      </c>
      <c r="T410" s="934" t="str">
        <f t="shared" si="227"/>
        <v>OK!</v>
      </c>
    </row>
    <row r="411" spans="1:20" x14ac:dyDescent="0.15">
      <c r="A411" s="958" t="str">
        <f>A$9</f>
        <v>Të tjera shpenzime korrente</v>
      </c>
      <c r="B411" s="958"/>
      <c r="C411" s="967"/>
      <c r="D411" s="967"/>
      <c r="E411" s="967"/>
      <c r="F411" s="934" t="str">
        <f t="shared" si="226"/>
        <v>OK!</v>
      </c>
      <c r="G411" s="934" t="str">
        <f t="shared" si="226"/>
        <v>OK!</v>
      </c>
      <c r="H411" s="934" t="str">
        <f t="shared" si="226"/>
        <v>OK!</v>
      </c>
      <c r="I411" s="934" t="str">
        <f t="shared" si="226"/>
        <v>OK!</v>
      </c>
      <c r="J411" s="934" t="str">
        <f t="shared" si="226"/>
        <v>OK!</v>
      </c>
      <c r="K411" s="934" t="str">
        <f t="shared" si="226"/>
        <v>OK!</v>
      </c>
      <c r="L411" s="934" t="str">
        <f t="shared" si="226"/>
        <v>OK!</v>
      </c>
      <c r="M411" s="934" t="str">
        <f t="shared" si="226"/>
        <v>OK!</v>
      </c>
      <c r="N411" s="934" t="str">
        <f t="shared" si="226"/>
        <v>OK!</v>
      </c>
      <c r="O411" s="934" t="str">
        <f t="shared" si="226"/>
        <v>OK!</v>
      </c>
      <c r="P411" s="934" t="str">
        <f t="shared" si="226"/>
        <v>OK!</v>
      </c>
      <c r="Q411" s="934" t="str">
        <f t="shared" si="226"/>
        <v>OK!</v>
      </c>
      <c r="R411" s="934" t="str">
        <f t="shared" si="226"/>
        <v>OK!</v>
      </c>
      <c r="S411" s="934" t="str">
        <f t="shared" si="227"/>
        <v>OK!</v>
      </c>
      <c r="T411" s="934" t="str">
        <f t="shared" si="227"/>
        <v>OK!</v>
      </c>
    </row>
    <row r="412" spans="1:20" x14ac:dyDescent="0.15">
      <c r="A412" s="960" t="str">
        <f>A$10</f>
        <v>Shpenzimet kapitale</v>
      </c>
      <c r="B412" s="961"/>
      <c r="C412" s="959">
        <f>C413-C410-C411</f>
        <v>0</v>
      </c>
      <c r="D412" s="962">
        <f>D413-D410-D411</f>
        <v>0</v>
      </c>
      <c r="E412" s="962">
        <f>E413-E410-E411</f>
        <v>0</v>
      </c>
      <c r="F412" s="934" t="str">
        <f t="shared" si="226"/>
        <v>OK!</v>
      </c>
      <c r="G412" s="934" t="str">
        <f t="shared" si="226"/>
        <v>OK!</v>
      </c>
      <c r="H412" s="934" t="str">
        <f t="shared" si="226"/>
        <v>OK!</v>
      </c>
      <c r="I412" s="934" t="str">
        <f t="shared" si="226"/>
        <v>OK!</v>
      </c>
      <c r="J412" s="934" t="str">
        <f t="shared" si="226"/>
        <v>OK!</v>
      </c>
      <c r="K412" s="934" t="str">
        <f t="shared" si="226"/>
        <v>OK!</v>
      </c>
      <c r="L412" s="934" t="str">
        <f t="shared" si="226"/>
        <v>OK!</v>
      </c>
      <c r="M412" s="934" t="str">
        <f t="shared" si="226"/>
        <v>OK!</v>
      </c>
      <c r="N412" s="934" t="str">
        <f t="shared" si="226"/>
        <v>OK!</v>
      </c>
      <c r="O412" s="934" t="str">
        <f t="shared" si="226"/>
        <v>OK!</v>
      </c>
      <c r="P412" s="934" t="str">
        <f t="shared" si="226"/>
        <v>OK!</v>
      </c>
      <c r="Q412" s="934" t="str">
        <f t="shared" si="226"/>
        <v>OK!</v>
      </c>
      <c r="R412" s="934" t="str">
        <f t="shared" si="226"/>
        <v>OK!</v>
      </c>
      <c r="S412" s="934" t="str">
        <f t="shared" si="227"/>
        <v>OK!</v>
      </c>
      <c r="T412" s="934" t="str">
        <f t="shared" si="227"/>
        <v>OK!</v>
      </c>
    </row>
    <row r="413" spans="1:20" x14ac:dyDescent="0.15">
      <c r="A413" s="963" t="str">
        <f>A$11</f>
        <v>Tavanet e përgjithshme</v>
      </c>
      <c r="B413" s="964"/>
      <c r="C413" s="968">
        <f>C410+C411</f>
        <v>0</v>
      </c>
      <c r="D413" s="968">
        <f>D410+D411</f>
        <v>0</v>
      </c>
      <c r="E413" s="968">
        <f>E410+E411</f>
        <v>0</v>
      </c>
      <c r="F413" s="934" t="str">
        <f t="shared" si="226"/>
        <v>OK!</v>
      </c>
      <c r="G413" s="934" t="str">
        <f t="shared" si="226"/>
        <v>OK!</v>
      </c>
      <c r="H413" s="934" t="str">
        <f t="shared" si="226"/>
        <v>OK!</v>
      </c>
      <c r="I413" s="934" t="str">
        <f t="shared" si="226"/>
        <v>OK!</v>
      </c>
      <c r="J413" s="934" t="str">
        <f t="shared" si="226"/>
        <v>OK!</v>
      </c>
      <c r="K413" s="934" t="str">
        <f t="shared" si="226"/>
        <v>OK!</v>
      </c>
      <c r="L413" s="934" t="str">
        <f t="shared" si="226"/>
        <v>OK!</v>
      </c>
      <c r="M413" s="934" t="str">
        <f t="shared" si="226"/>
        <v>OK!</v>
      </c>
      <c r="N413" s="934" t="str">
        <f t="shared" si="226"/>
        <v>OK!</v>
      </c>
      <c r="O413" s="934" t="str">
        <f t="shared" si="226"/>
        <v>OK!</v>
      </c>
      <c r="P413" s="934" t="str">
        <f t="shared" si="226"/>
        <v>OK!</v>
      </c>
      <c r="Q413" s="934" t="str">
        <f t="shared" si="226"/>
        <v>OK!</v>
      </c>
      <c r="R413" s="934" t="str">
        <f t="shared" si="226"/>
        <v>OK!</v>
      </c>
      <c r="S413" s="934" t="str">
        <f t="shared" si="227"/>
        <v>OK!</v>
      </c>
      <c r="T413" s="934" t="str">
        <f t="shared" si="227"/>
        <v>OK!</v>
      </c>
    </row>
    <row r="414" spans="1:20" x14ac:dyDescent="0.15">
      <c r="A414" s="965" t="str">
        <f>A$12</f>
        <v>Angazhimet kujtesë</v>
      </c>
      <c r="B414" s="959"/>
      <c r="C414" s="959">
        <f>'(C5) Angazhimet'!D140</f>
        <v>0</v>
      </c>
      <c r="D414" s="959">
        <f>'(C5) Angazhimet'!E140</f>
        <v>0</v>
      </c>
      <c r="E414" s="959">
        <f>'(C5) Angazhimet'!F140</f>
        <v>0</v>
      </c>
      <c r="F414" s="934" t="str">
        <f>IF(C414&gt;C413,"STOPP!","OK!")</f>
        <v>OK!</v>
      </c>
      <c r="G414" s="934" t="str">
        <f t="shared" ref="G414:R414" si="228">IF(D414&lt;0,"STOPP!","OK!")</f>
        <v>OK!</v>
      </c>
      <c r="H414" s="934" t="str">
        <f t="shared" si="228"/>
        <v>OK!</v>
      </c>
      <c r="I414" s="934" t="str">
        <f t="shared" si="228"/>
        <v>OK!</v>
      </c>
      <c r="J414" s="934" t="str">
        <f t="shared" si="228"/>
        <v>OK!</v>
      </c>
      <c r="K414" s="934" t="str">
        <f t="shared" si="228"/>
        <v>OK!</v>
      </c>
      <c r="L414" s="934" t="str">
        <f t="shared" si="228"/>
        <v>OK!</v>
      </c>
      <c r="M414" s="934" t="str">
        <f t="shared" si="228"/>
        <v>OK!</v>
      </c>
      <c r="N414" s="934" t="str">
        <f t="shared" si="228"/>
        <v>OK!</v>
      </c>
      <c r="O414" s="934" t="str">
        <f t="shared" si="228"/>
        <v>OK!</v>
      </c>
      <c r="P414" s="934" t="str">
        <f t="shared" si="228"/>
        <v>OK!</v>
      </c>
      <c r="Q414" s="934" t="str">
        <f t="shared" si="228"/>
        <v>OK!</v>
      </c>
      <c r="R414" s="934" t="str">
        <f t="shared" si="228"/>
        <v>OK!</v>
      </c>
      <c r="S414" s="934" t="str">
        <f>IF(D414&gt;D413,"STOPP!","OK!")</f>
        <v>OK!</v>
      </c>
      <c r="T414" s="934" t="str">
        <f>IF(E414&gt;E413,"STOPP!","OK!")</f>
        <v>OK!</v>
      </c>
    </row>
    <row r="415" spans="1:20" ht="24" customHeight="1" x14ac:dyDescent="0.25">
      <c r="A415" s="1082" t="str">
        <f>'(B2) Struktura Organizative'!A30</f>
        <v>Nënfunksioni 24</v>
      </c>
      <c r="B415" s="1076" t="str">
        <f>'(B2) Struktura Organizative'!B30</f>
        <v>102 Të moshuarit</v>
      </c>
      <c r="C415" s="1077"/>
      <c r="D415" s="1077"/>
      <c r="E415" s="1078"/>
      <c r="G415" s="933">
        <f>C419</f>
        <v>0</v>
      </c>
      <c r="H415" s="933">
        <f>D419</f>
        <v>0</v>
      </c>
      <c r="I415" s="933">
        <f>E419</f>
        <v>0</v>
      </c>
      <c r="J415" s="933">
        <f>C416</f>
        <v>0</v>
      </c>
      <c r="K415" s="933">
        <f>D416</f>
        <v>0</v>
      </c>
      <c r="L415" s="933">
        <f>E416</f>
        <v>0</v>
      </c>
      <c r="M415" s="933">
        <f>C417</f>
        <v>0</v>
      </c>
      <c r="N415" s="933">
        <f>D417</f>
        <v>0</v>
      </c>
      <c r="O415" s="933">
        <f>E417</f>
        <v>0</v>
      </c>
      <c r="P415" s="933">
        <f>C418</f>
        <v>0</v>
      </c>
      <c r="Q415" s="933">
        <f>D418</f>
        <v>0</v>
      </c>
      <c r="R415" s="933">
        <f>E418</f>
        <v>0</v>
      </c>
    </row>
    <row r="416" spans="1:20" x14ac:dyDescent="0.15">
      <c r="A416" s="958" t="str">
        <f>A$8</f>
        <v>Pagat dhe sigurimet shoqërore</v>
      </c>
      <c r="B416" s="958"/>
      <c r="C416" s="959">
        <f t="shared" ref="C416:E417" si="229">C422</f>
        <v>0</v>
      </c>
      <c r="D416" s="959">
        <f t="shared" si="229"/>
        <v>0</v>
      </c>
      <c r="E416" s="959">
        <f t="shared" si="229"/>
        <v>0</v>
      </c>
      <c r="F416" s="934" t="str">
        <f t="shared" ref="F416:R419" si="230">IF(C416&lt;0,"STOPP!","OK!")</f>
        <v>OK!</v>
      </c>
      <c r="G416" s="934" t="str">
        <f t="shared" si="230"/>
        <v>OK!</v>
      </c>
      <c r="H416" s="934" t="str">
        <f t="shared" si="230"/>
        <v>OK!</v>
      </c>
      <c r="I416" s="934" t="str">
        <f t="shared" si="230"/>
        <v>OK!</v>
      </c>
      <c r="J416" s="934" t="str">
        <f t="shared" si="230"/>
        <v>OK!</v>
      </c>
      <c r="K416" s="934" t="str">
        <f t="shared" si="230"/>
        <v>OK!</v>
      </c>
      <c r="L416" s="934" t="str">
        <f t="shared" si="230"/>
        <v>OK!</v>
      </c>
      <c r="M416" s="934" t="str">
        <f t="shared" si="230"/>
        <v>OK!</v>
      </c>
      <c r="N416" s="934" t="str">
        <f t="shared" si="230"/>
        <v>OK!</v>
      </c>
      <c r="O416" s="934" t="str">
        <f t="shared" si="230"/>
        <v>OK!</v>
      </c>
      <c r="P416" s="934" t="str">
        <f t="shared" si="230"/>
        <v>OK!</v>
      </c>
      <c r="Q416" s="934" t="str">
        <f t="shared" si="230"/>
        <v>OK!</v>
      </c>
      <c r="R416" s="934" t="str">
        <f t="shared" si="230"/>
        <v>OK!</v>
      </c>
      <c r="S416" s="934" t="str">
        <f t="shared" ref="S416:T419" si="231">IF(D416&lt;0,"STOPP!","OK!")</f>
        <v>OK!</v>
      </c>
      <c r="T416" s="934" t="str">
        <f t="shared" si="231"/>
        <v>OK!</v>
      </c>
    </row>
    <row r="417" spans="1:20" x14ac:dyDescent="0.15">
      <c r="A417" s="958" t="str">
        <f>A$9</f>
        <v>Të tjera shpenzime korrente</v>
      </c>
      <c r="B417" s="958"/>
      <c r="C417" s="959">
        <f t="shared" si="229"/>
        <v>0</v>
      </c>
      <c r="D417" s="959">
        <f t="shared" si="229"/>
        <v>0</v>
      </c>
      <c r="E417" s="959">
        <f t="shared" si="229"/>
        <v>0</v>
      </c>
      <c r="F417" s="934" t="str">
        <f t="shared" si="230"/>
        <v>OK!</v>
      </c>
      <c r="G417" s="934" t="str">
        <f t="shared" si="230"/>
        <v>OK!</v>
      </c>
      <c r="H417" s="934" t="str">
        <f t="shared" si="230"/>
        <v>OK!</v>
      </c>
      <c r="I417" s="934" t="str">
        <f t="shared" si="230"/>
        <v>OK!</v>
      </c>
      <c r="J417" s="934" t="str">
        <f t="shared" si="230"/>
        <v>OK!</v>
      </c>
      <c r="K417" s="934" t="str">
        <f t="shared" si="230"/>
        <v>OK!</v>
      </c>
      <c r="L417" s="934" t="str">
        <f t="shared" si="230"/>
        <v>OK!</v>
      </c>
      <c r="M417" s="934" t="str">
        <f t="shared" si="230"/>
        <v>OK!</v>
      </c>
      <c r="N417" s="934" t="str">
        <f t="shared" si="230"/>
        <v>OK!</v>
      </c>
      <c r="O417" s="934" t="str">
        <f t="shared" si="230"/>
        <v>OK!</v>
      </c>
      <c r="P417" s="934" t="str">
        <f t="shared" si="230"/>
        <v>OK!</v>
      </c>
      <c r="Q417" s="934" t="str">
        <f t="shared" si="230"/>
        <v>OK!</v>
      </c>
      <c r="R417" s="934" t="str">
        <f t="shared" si="230"/>
        <v>OK!</v>
      </c>
      <c r="S417" s="934" t="str">
        <f t="shared" si="231"/>
        <v>OK!</v>
      </c>
      <c r="T417" s="934" t="str">
        <f t="shared" si="231"/>
        <v>OK!</v>
      </c>
    </row>
    <row r="418" spans="1:20" x14ac:dyDescent="0.15">
      <c r="A418" s="960" t="str">
        <f>A$10</f>
        <v>Shpenzimet kapitale</v>
      </c>
      <c r="B418" s="961"/>
      <c r="C418" s="959">
        <f>C419-C416-C417</f>
        <v>0</v>
      </c>
      <c r="D418" s="962">
        <f>D419-D416-D417</f>
        <v>0</v>
      </c>
      <c r="E418" s="962">
        <f>E419-E416-E417</f>
        <v>0</v>
      </c>
      <c r="F418" s="934" t="str">
        <f t="shared" si="230"/>
        <v>OK!</v>
      </c>
      <c r="G418" s="934" t="str">
        <f t="shared" si="230"/>
        <v>OK!</v>
      </c>
      <c r="H418" s="934" t="str">
        <f t="shared" si="230"/>
        <v>OK!</v>
      </c>
      <c r="I418" s="934" t="str">
        <f t="shared" si="230"/>
        <v>OK!</v>
      </c>
      <c r="J418" s="934" t="str">
        <f t="shared" si="230"/>
        <v>OK!</v>
      </c>
      <c r="K418" s="934" t="str">
        <f t="shared" si="230"/>
        <v>OK!</v>
      </c>
      <c r="L418" s="934" t="str">
        <f t="shared" si="230"/>
        <v>OK!</v>
      </c>
      <c r="M418" s="934" t="str">
        <f t="shared" si="230"/>
        <v>OK!</v>
      </c>
      <c r="N418" s="934" t="str">
        <f t="shared" si="230"/>
        <v>OK!</v>
      </c>
      <c r="O418" s="934" t="str">
        <f t="shared" si="230"/>
        <v>OK!</v>
      </c>
      <c r="P418" s="934" t="str">
        <f t="shared" si="230"/>
        <v>OK!</v>
      </c>
      <c r="Q418" s="934" t="str">
        <f t="shared" si="230"/>
        <v>OK!</v>
      </c>
      <c r="R418" s="934" t="str">
        <f t="shared" si="230"/>
        <v>OK!</v>
      </c>
      <c r="S418" s="934" t="str">
        <f t="shared" si="231"/>
        <v>OK!</v>
      </c>
      <c r="T418" s="934" t="str">
        <f t="shared" si="231"/>
        <v>OK!</v>
      </c>
    </row>
    <row r="419" spans="1:20" x14ac:dyDescent="0.15">
      <c r="A419" s="963" t="str">
        <f>A$11</f>
        <v>Tavanet e përgjithshme</v>
      </c>
      <c r="B419" s="964"/>
      <c r="C419" s="959">
        <f>C425</f>
        <v>0</v>
      </c>
      <c r="D419" s="959">
        <f>D425</f>
        <v>0</v>
      </c>
      <c r="E419" s="959">
        <f>E425</f>
        <v>0</v>
      </c>
      <c r="F419" s="934" t="str">
        <f t="shared" si="230"/>
        <v>OK!</v>
      </c>
      <c r="G419" s="934" t="str">
        <f t="shared" si="230"/>
        <v>OK!</v>
      </c>
      <c r="H419" s="934" t="str">
        <f t="shared" si="230"/>
        <v>OK!</v>
      </c>
      <c r="I419" s="934" t="str">
        <f t="shared" si="230"/>
        <v>OK!</v>
      </c>
      <c r="J419" s="934" t="str">
        <f t="shared" si="230"/>
        <v>OK!</v>
      </c>
      <c r="K419" s="934" t="str">
        <f t="shared" si="230"/>
        <v>OK!</v>
      </c>
      <c r="L419" s="934" t="str">
        <f t="shared" si="230"/>
        <v>OK!</v>
      </c>
      <c r="M419" s="934" t="str">
        <f t="shared" si="230"/>
        <v>OK!</v>
      </c>
      <c r="N419" s="934" t="str">
        <f t="shared" si="230"/>
        <v>OK!</v>
      </c>
      <c r="O419" s="934" t="str">
        <f t="shared" si="230"/>
        <v>OK!</v>
      </c>
      <c r="P419" s="934" t="str">
        <f t="shared" si="230"/>
        <v>OK!</v>
      </c>
      <c r="Q419" s="934" t="str">
        <f t="shared" si="230"/>
        <v>OK!</v>
      </c>
      <c r="R419" s="934" t="str">
        <f t="shared" si="230"/>
        <v>OK!</v>
      </c>
      <c r="S419" s="934" t="str">
        <f t="shared" si="231"/>
        <v>OK!</v>
      </c>
      <c r="T419" s="934" t="str">
        <f t="shared" si="231"/>
        <v>OK!</v>
      </c>
    </row>
    <row r="420" spans="1:20" x14ac:dyDescent="0.15">
      <c r="A420" s="965" t="str">
        <f>A$12</f>
        <v>Angazhimet kujtesë</v>
      </c>
      <c r="B420" s="959"/>
      <c r="C420" s="959">
        <f>'(C5) Angazhimet'!D148</f>
        <v>0</v>
      </c>
      <c r="D420" s="962">
        <f>'(C5) Angazhimet'!E148</f>
        <v>0</v>
      </c>
      <c r="E420" s="962">
        <f>'(C5) Angazhimet'!F148</f>
        <v>0</v>
      </c>
      <c r="F420" s="934" t="str">
        <f>IF(C420&gt;C419,"STOPP!","OK!")</f>
        <v>OK!</v>
      </c>
      <c r="G420" s="934" t="str">
        <f t="shared" ref="G420:R420" si="232">IF(D420&lt;0,"STOPP!","OK!")</f>
        <v>OK!</v>
      </c>
      <c r="H420" s="934" t="str">
        <f t="shared" si="232"/>
        <v>OK!</v>
      </c>
      <c r="I420" s="934" t="str">
        <f t="shared" si="232"/>
        <v>OK!</v>
      </c>
      <c r="J420" s="934" t="str">
        <f t="shared" si="232"/>
        <v>OK!</v>
      </c>
      <c r="K420" s="934" t="str">
        <f t="shared" si="232"/>
        <v>OK!</v>
      </c>
      <c r="L420" s="934" t="str">
        <f t="shared" si="232"/>
        <v>OK!</v>
      </c>
      <c r="M420" s="934" t="str">
        <f t="shared" si="232"/>
        <v>OK!</v>
      </c>
      <c r="N420" s="934" t="str">
        <f t="shared" si="232"/>
        <v>OK!</v>
      </c>
      <c r="O420" s="934" t="str">
        <f t="shared" si="232"/>
        <v>OK!</v>
      </c>
      <c r="P420" s="934" t="str">
        <f t="shared" si="232"/>
        <v>OK!</v>
      </c>
      <c r="Q420" s="934" t="str">
        <f t="shared" si="232"/>
        <v>OK!</v>
      </c>
      <c r="R420" s="934" t="str">
        <f t="shared" si="232"/>
        <v>OK!</v>
      </c>
      <c r="S420" s="934" t="str">
        <f>IF(D420&gt;D419,"STOPP!","OK!")</f>
        <v>OK!</v>
      </c>
      <c r="T420" s="934" t="str">
        <f>IF(E420&gt;E419,"STOPP!","OK!")</f>
        <v>OK!</v>
      </c>
    </row>
    <row r="421" spans="1:20" ht="15.75" x14ac:dyDescent="0.15">
      <c r="A421" s="1089" t="str">
        <f>'(B3) Struktura Funksionale'!B128</f>
        <v>10220</v>
      </c>
      <c r="B421" s="1079" t="str">
        <f>'(B3) Struktura Funksionale'!C128</f>
        <v>Sigurimi shoqëror</v>
      </c>
      <c r="C421" s="1080"/>
      <c r="D421" s="1080"/>
      <c r="E421" s="1081"/>
      <c r="F421" s="934"/>
      <c r="G421" s="934"/>
      <c r="H421" s="934"/>
      <c r="I421" s="934"/>
      <c r="J421" s="934"/>
      <c r="K421" s="934"/>
      <c r="L421" s="934"/>
      <c r="M421" s="934"/>
      <c r="N421" s="934"/>
      <c r="O421" s="934"/>
      <c r="P421" s="934"/>
      <c r="Q421" s="934"/>
      <c r="R421" s="934"/>
      <c r="S421" s="934"/>
      <c r="T421" s="934"/>
    </row>
    <row r="422" spans="1:20" x14ac:dyDescent="0.15">
      <c r="A422" s="958" t="str">
        <f>A$8</f>
        <v>Pagat dhe sigurimet shoqërore</v>
      </c>
      <c r="B422" s="958"/>
      <c r="C422" s="966"/>
      <c r="D422" s="966"/>
      <c r="E422" s="966"/>
      <c r="F422" s="934" t="str">
        <f t="shared" ref="F422:R425" si="233">IF(C422&lt;0,"STOPP!","OK!")</f>
        <v>OK!</v>
      </c>
      <c r="G422" s="934" t="str">
        <f t="shared" si="233"/>
        <v>OK!</v>
      </c>
      <c r="H422" s="934" t="str">
        <f t="shared" si="233"/>
        <v>OK!</v>
      </c>
      <c r="I422" s="934" t="str">
        <f t="shared" si="233"/>
        <v>OK!</v>
      </c>
      <c r="J422" s="934" t="str">
        <f t="shared" si="233"/>
        <v>OK!</v>
      </c>
      <c r="K422" s="934" t="str">
        <f t="shared" si="233"/>
        <v>OK!</v>
      </c>
      <c r="L422" s="934" t="str">
        <f t="shared" si="233"/>
        <v>OK!</v>
      </c>
      <c r="M422" s="934" t="str">
        <f t="shared" si="233"/>
        <v>OK!</v>
      </c>
      <c r="N422" s="934" t="str">
        <f t="shared" si="233"/>
        <v>OK!</v>
      </c>
      <c r="O422" s="934" t="str">
        <f t="shared" si="233"/>
        <v>OK!</v>
      </c>
      <c r="P422" s="934" t="str">
        <f t="shared" si="233"/>
        <v>OK!</v>
      </c>
      <c r="Q422" s="934" t="str">
        <f t="shared" si="233"/>
        <v>OK!</v>
      </c>
      <c r="R422" s="934" t="str">
        <f t="shared" si="233"/>
        <v>OK!</v>
      </c>
      <c r="S422" s="934" t="str">
        <f t="shared" ref="S422:T425" si="234">IF(D422&lt;0,"STOPP!","OK!")</f>
        <v>OK!</v>
      </c>
      <c r="T422" s="934" t="str">
        <f t="shared" si="234"/>
        <v>OK!</v>
      </c>
    </row>
    <row r="423" spans="1:20" x14ac:dyDescent="0.15">
      <c r="A423" s="958" t="str">
        <f>A$9</f>
        <v>Të tjera shpenzime korrente</v>
      </c>
      <c r="B423" s="958"/>
      <c r="C423" s="967"/>
      <c r="D423" s="967"/>
      <c r="E423" s="967"/>
      <c r="F423" s="934" t="str">
        <f t="shared" si="233"/>
        <v>OK!</v>
      </c>
      <c r="G423" s="934" t="str">
        <f t="shared" si="233"/>
        <v>OK!</v>
      </c>
      <c r="H423" s="934" t="str">
        <f t="shared" si="233"/>
        <v>OK!</v>
      </c>
      <c r="I423" s="934" t="str">
        <f t="shared" si="233"/>
        <v>OK!</v>
      </c>
      <c r="J423" s="934" t="str">
        <f t="shared" si="233"/>
        <v>OK!</v>
      </c>
      <c r="K423" s="934" t="str">
        <f t="shared" si="233"/>
        <v>OK!</v>
      </c>
      <c r="L423" s="934" t="str">
        <f t="shared" si="233"/>
        <v>OK!</v>
      </c>
      <c r="M423" s="934" t="str">
        <f t="shared" si="233"/>
        <v>OK!</v>
      </c>
      <c r="N423" s="934" t="str">
        <f t="shared" si="233"/>
        <v>OK!</v>
      </c>
      <c r="O423" s="934" t="str">
        <f t="shared" si="233"/>
        <v>OK!</v>
      </c>
      <c r="P423" s="934" t="str">
        <f t="shared" si="233"/>
        <v>OK!</v>
      </c>
      <c r="Q423" s="934" t="str">
        <f t="shared" si="233"/>
        <v>OK!</v>
      </c>
      <c r="R423" s="934" t="str">
        <f t="shared" si="233"/>
        <v>OK!</v>
      </c>
      <c r="S423" s="934" t="str">
        <f t="shared" si="234"/>
        <v>OK!</v>
      </c>
      <c r="T423" s="934" t="str">
        <f t="shared" si="234"/>
        <v>OK!</v>
      </c>
    </row>
    <row r="424" spans="1:20" x14ac:dyDescent="0.15">
      <c r="A424" s="960" t="str">
        <f>A$10</f>
        <v>Shpenzimet kapitale</v>
      </c>
      <c r="B424" s="961"/>
      <c r="C424" s="959">
        <f>C425-C422-C423</f>
        <v>0</v>
      </c>
      <c r="D424" s="962">
        <f>D425-D422-D423</f>
        <v>0</v>
      </c>
      <c r="E424" s="962">
        <f>E425-E422-E423</f>
        <v>0</v>
      </c>
      <c r="F424" s="934" t="str">
        <f t="shared" si="233"/>
        <v>OK!</v>
      </c>
      <c r="G424" s="934" t="str">
        <f t="shared" si="233"/>
        <v>OK!</v>
      </c>
      <c r="H424" s="934" t="str">
        <f t="shared" si="233"/>
        <v>OK!</v>
      </c>
      <c r="I424" s="934" t="str">
        <f t="shared" si="233"/>
        <v>OK!</v>
      </c>
      <c r="J424" s="934" t="str">
        <f t="shared" si="233"/>
        <v>OK!</v>
      </c>
      <c r="K424" s="934" t="str">
        <f t="shared" si="233"/>
        <v>OK!</v>
      </c>
      <c r="L424" s="934" t="str">
        <f t="shared" si="233"/>
        <v>OK!</v>
      </c>
      <c r="M424" s="934" t="str">
        <f t="shared" si="233"/>
        <v>OK!</v>
      </c>
      <c r="N424" s="934" t="str">
        <f t="shared" si="233"/>
        <v>OK!</v>
      </c>
      <c r="O424" s="934" t="str">
        <f t="shared" si="233"/>
        <v>OK!</v>
      </c>
      <c r="P424" s="934" t="str">
        <f t="shared" si="233"/>
        <v>OK!</v>
      </c>
      <c r="Q424" s="934" t="str">
        <f t="shared" si="233"/>
        <v>OK!</v>
      </c>
      <c r="R424" s="934" t="str">
        <f t="shared" si="233"/>
        <v>OK!</v>
      </c>
      <c r="S424" s="934" t="str">
        <f t="shared" si="234"/>
        <v>OK!</v>
      </c>
      <c r="T424" s="934" t="str">
        <f t="shared" si="234"/>
        <v>OK!</v>
      </c>
    </row>
    <row r="425" spans="1:20" x14ac:dyDescent="0.15">
      <c r="A425" s="963" t="str">
        <f>A$11</f>
        <v>Tavanet e përgjithshme</v>
      </c>
      <c r="B425" s="964"/>
      <c r="C425" s="968"/>
      <c r="D425" s="969"/>
      <c r="E425" s="969"/>
      <c r="F425" s="934" t="str">
        <f t="shared" si="233"/>
        <v>OK!</v>
      </c>
      <c r="G425" s="934" t="str">
        <f t="shared" si="233"/>
        <v>OK!</v>
      </c>
      <c r="H425" s="934" t="str">
        <f t="shared" si="233"/>
        <v>OK!</v>
      </c>
      <c r="I425" s="934" t="str">
        <f t="shared" si="233"/>
        <v>OK!</v>
      </c>
      <c r="J425" s="934" t="str">
        <f t="shared" si="233"/>
        <v>OK!</v>
      </c>
      <c r="K425" s="934" t="str">
        <f t="shared" si="233"/>
        <v>OK!</v>
      </c>
      <c r="L425" s="934" t="str">
        <f t="shared" si="233"/>
        <v>OK!</v>
      </c>
      <c r="M425" s="934" t="str">
        <f t="shared" si="233"/>
        <v>OK!</v>
      </c>
      <c r="N425" s="934" t="str">
        <f t="shared" si="233"/>
        <v>OK!</v>
      </c>
      <c r="O425" s="934" t="str">
        <f t="shared" si="233"/>
        <v>OK!</v>
      </c>
      <c r="P425" s="934" t="str">
        <f t="shared" si="233"/>
        <v>OK!</v>
      </c>
      <c r="Q425" s="934" t="str">
        <f t="shared" si="233"/>
        <v>OK!</v>
      </c>
      <c r="R425" s="934" t="str">
        <f t="shared" si="233"/>
        <v>OK!</v>
      </c>
      <c r="S425" s="934" t="str">
        <f t="shared" si="234"/>
        <v>OK!</v>
      </c>
      <c r="T425" s="934" t="str">
        <f t="shared" si="234"/>
        <v>OK!</v>
      </c>
    </row>
    <row r="426" spans="1:20" x14ac:dyDescent="0.15">
      <c r="A426" s="965" t="str">
        <f>A$12</f>
        <v>Angazhimet kujtesë</v>
      </c>
      <c r="B426" s="959"/>
      <c r="C426" s="959">
        <f>'(C5) Angazhimet'!D145</f>
        <v>0</v>
      </c>
      <c r="D426" s="959">
        <f>'(C5) Angazhimet'!E145</f>
        <v>0</v>
      </c>
      <c r="E426" s="959">
        <f>'(C5) Angazhimet'!F145</f>
        <v>0</v>
      </c>
      <c r="F426" s="934" t="str">
        <f>IF(C426&gt;C425,"STOPP!","OK!")</f>
        <v>OK!</v>
      </c>
      <c r="G426" s="934" t="str">
        <f t="shared" ref="G426:R426" si="235">IF(D426&lt;0,"STOPP!","OK!")</f>
        <v>OK!</v>
      </c>
      <c r="H426" s="934" t="str">
        <f t="shared" si="235"/>
        <v>OK!</v>
      </c>
      <c r="I426" s="934" t="str">
        <f t="shared" si="235"/>
        <v>OK!</v>
      </c>
      <c r="J426" s="934" t="str">
        <f t="shared" si="235"/>
        <v>OK!</v>
      </c>
      <c r="K426" s="934" t="str">
        <f t="shared" si="235"/>
        <v>OK!</v>
      </c>
      <c r="L426" s="934" t="str">
        <f t="shared" si="235"/>
        <v>OK!</v>
      </c>
      <c r="M426" s="934" t="str">
        <f t="shared" si="235"/>
        <v>OK!</v>
      </c>
      <c r="N426" s="934" t="str">
        <f t="shared" si="235"/>
        <v>OK!</v>
      </c>
      <c r="O426" s="934" t="str">
        <f t="shared" si="235"/>
        <v>OK!</v>
      </c>
      <c r="P426" s="934" t="str">
        <f t="shared" si="235"/>
        <v>OK!</v>
      </c>
      <c r="Q426" s="934" t="str">
        <f t="shared" si="235"/>
        <v>OK!</v>
      </c>
      <c r="R426" s="934" t="str">
        <f t="shared" si="235"/>
        <v>OK!</v>
      </c>
      <c r="S426" s="934" t="str">
        <f>IF(D426&gt;D425,"STOPP!","OK!")</f>
        <v>OK!</v>
      </c>
      <c r="T426" s="934" t="str">
        <f>IF(E426&gt;E425,"STOPP!","OK!")</f>
        <v>OK!</v>
      </c>
    </row>
    <row r="427" spans="1:20" ht="21" customHeight="1" x14ac:dyDescent="0.25">
      <c r="A427" s="1082" t="str">
        <f>'(B2) Struktura Organizative'!A31</f>
        <v>Nënfunksioni 25</v>
      </c>
      <c r="B427" s="1076" t="str">
        <f>'(B2) Struktura Organizative'!B31</f>
        <v>104 Familje dhe fëmijë</v>
      </c>
      <c r="C427" s="1077"/>
      <c r="D427" s="1077"/>
      <c r="E427" s="1078"/>
      <c r="G427" s="933">
        <f>C431</f>
        <v>957789000</v>
      </c>
      <c r="H427" s="933">
        <f>D431</f>
        <v>957789000</v>
      </c>
      <c r="I427" s="933">
        <f>E431</f>
        <v>957789000</v>
      </c>
      <c r="J427" s="933">
        <f>C428</f>
        <v>6347000</v>
      </c>
      <c r="K427" s="933">
        <f>D428</f>
        <v>6347000</v>
      </c>
      <c r="L427" s="933">
        <f>E428</f>
        <v>6347000</v>
      </c>
      <c r="M427" s="933">
        <f>C429</f>
        <v>951442000</v>
      </c>
      <c r="N427" s="933">
        <f>D429</f>
        <v>951442000</v>
      </c>
      <c r="O427" s="933">
        <f>E429</f>
        <v>951442000</v>
      </c>
      <c r="P427" s="933">
        <f>C430</f>
        <v>0</v>
      </c>
      <c r="Q427" s="933">
        <f>D430</f>
        <v>0</v>
      </c>
      <c r="R427" s="933">
        <f>E430</f>
        <v>0</v>
      </c>
    </row>
    <row r="428" spans="1:20" x14ac:dyDescent="0.15">
      <c r="A428" s="958" t="str">
        <f>A$8</f>
        <v>Pagat dhe sigurimet shoqërore</v>
      </c>
      <c r="B428" s="958"/>
      <c r="C428" s="959">
        <f t="shared" ref="C428:E429" si="236">C434+C440</f>
        <v>6347000</v>
      </c>
      <c r="D428" s="959">
        <f t="shared" si="236"/>
        <v>6347000</v>
      </c>
      <c r="E428" s="959">
        <f t="shared" si="236"/>
        <v>6347000</v>
      </c>
      <c r="F428" s="934" t="str">
        <f t="shared" ref="F428:R431" si="237">IF(C428&lt;0,"STOPP!","OK!")</f>
        <v>OK!</v>
      </c>
      <c r="G428" s="934" t="str">
        <f t="shared" si="237"/>
        <v>OK!</v>
      </c>
      <c r="H428" s="934" t="str">
        <f t="shared" si="237"/>
        <v>OK!</v>
      </c>
      <c r="I428" s="934" t="str">
        <f t="shared" si="237"/>
        <v>OK!</v>
      </c>
      <c r="J428" s="934" t="str">
        <f t="shared" si="237"/>
        <v>OK!</v>
      </c>
      <c r="K428" s="934" t="str">
        <f t="shared" si="237"/>
        <v>OK!</v>
      </c>
      <c r="L428" s="934" t="str">
        <f t="shared" si="237"/>
        <v>OK!</v>
      </c>
      <c r="M428" s="934" t="str">
        <f t="shared" si="237"/>
        <v>OK!</v>
      </c>
      <c r="N428" s="934" t="str">
        <f t="shared" si="237"/>
        <v>OK!</v>
      </c>
      <c r="O428" s="934" t="str">
        <f t="shared" si="237"/>
        <v>OK!</v>
      </c>
      <c r="P428" s="934" t="str">
        <f t="shared" si="237"/>
        <v>OK!</v>
      </c>
      <c r="Q428" s="934" t="str">
        <f t="shared" si="237"/>
        <v>OK!</v>
      </c>
      <c r="R428" s="934" t="str">
        <f t="shared" si="237"/>
        <v>OK!</v>
      </c>
      <c r="S428" s="934" t="str">
        <f t="shared" ref="S428:T431" si="238">IF(D428&lt;0,"STOPP!","OK!")</f>
        <v>OK!</v>
      </c>
      <c r="T428" s="934" t="str">
        <f t="shared" si="238"/>
        <v>OK!</v>
      </c>
    </row>
    <row r="429" spans="1:20" x14ac:dyDescent="0.15">
      <c r="A429" s="958" t="str">
        <f>A$9</f>
        <v>Të tjera shpenzime korrente</v>
      </c>
      <c r="B429" s="958"/>
      <c r="C429" s="959">
        <f t="shared" si="236"/>
        <v>951442000</v>
      </c>
      <c r="D429" s="959">
        <f t="shared" si="236"/>
        <v>951442000</v>
      </c>
      <c r="E429" s="959">
        <f t="shared" si="236"/>
        <v>951442000</v>
      </c>
      <c r="F429" s="934" t="str">
        <f t="shared" si="237"/>
        <v>OK!</v>
      </c>
      <c r="G429" s="934" t="str">
        <f t="shared" si="237"/>
        <v>OK!</v>
      </c>
      <c r="H429" s="934" t="str">
        <f t="shared" si="237"/>
        <v>OK!</v>
      </c>
      <c r="I429" s="934" t="str">
        <f t="shared" si="237"/>
        <v>OK!</v>
      </c>
      <c r="J429" s="934" t="str">
        <f t="shared" si="237"/>
        <v>OK!</v>
      </c>
      <c r="K429" s="934" t="str">
        <f t="shared" si="237"/>
        <v>OK!</v>
      </c>
      <c r="L429" s="934" t="str">
        <f t="shared" si="237"/>
        <v>OK!</v>
      </c>
      <c r="M429" s="934" t="str">
        <f t="shared" si="237"/>
        <v>OK!</v>
      </c>
      <c r="N429" s="934" t="str">
        <f t="shared" si="237"/>
        <v>OK!</v>
      </c>
      <c r="O429" s="934" t="str">
        <f t="shared" si="237"/>
        <v>OK!</v>
      </c>
      <c r="P429" s="934" t="str">
        <f t="shared" si="237"/>
        <v>OK!</v>
      </c>
      <c r="Q429" s="934" t="str">
        <f t="shared" si="237"/>
        <v>OK!</v>
      </c>
      <c r="R429" s="934" t="str">
        <f t="shared" si="237"/>
        <v>OK!</v>
      </c>
      <c r="S429" s="934" t="str">
        <f t="shared" si="238"/>
        <v>OK!</v>
      </c>
      <c r="T429" s="934" t="str">
        <f t="shared" si="238"/>
        <v>OK!</v>
      </c>
    </row>
    <row r="430" spans="1:20" x14ac:dyDescent="0.15">
      <c r="A430" s="960" t="str">
        <f>A$10</f>
        <v>Shpenzimet kapitale</v>
      </c>
      <c r="B430" s="961"/>
      <c r="C430" s="959">
        <f>C431-C428-C429</f>
        <v>0</v>
      </c>
      <c r="D430" s="962">
        <f>D431-D428-D429</f>
        <v>0</v>
      </c>
      <c r="E430" s="962">
        <f>E431-E428-E429</f>
        <v>0</v>
      </c>
      <c r="F430" s="934" t="str">
        <f t="shared" si="237"/>
        <v>OK!</v>
      </c>
      <c r="G430" s="934" t="str">
        <f t="shared" si="237"/>
        <v>OK!</v>
      </c>
      <c r="H430" s="934" t="str">
        <f t="shared" si="237"/>
        <v>OK!</v>
      </c>
      <c r="I430" s="934" t="str">
        <f t="shared" si="237"/>
        <v>OK!</v>
      </c>
      <c r="J430" s="934" t="str">
        <f t="shared" si="237"/>
        <v>OK!</v>
      </c>
      <c r="K430" s="934" t="str">
        <f t="shared" si="237"/>
        <v>OK!</v>
      </c>
      <c r="L430" s="934" t="str">
        <f t="shared" si="237"/>
        <v>OK!</v>
      </c>
      <c r="M430" s="934" t="str">
        <f t="shared" si="237"/>
        <v>OK!</v>
      </c>
      <c r="N430" s="934" t="str">
        <f t="shared" si="237"/>
        <v>OK!</v>
      </c>
      <c r="O430" s="934" t="str">
        <f t="shared" si="237"/>
        <v>OK!</v>
      </c>
      <c r="P430" s="934" t="str">
        <f t="shared" si="237"/>
        <v>OK!</v>
      </c>
      <c r="Q430" s="934" t="str">
        <f t="shared" si="237"/>
        <v>OK!</v>
      </c>
      <c r="R430" s="934" t="str">
        <f t="shared" si="237"/>
        <v>OK!</v>
      </c>
      <c r="S430" s="934" t="str">
        <f t="shared" si="238"/>
        <v>OK!</v>
      </c>
      <c r="T430" s="934" t="str">
        <f t="shared" si="238"/>
        <v>OK!</v>
      </c>
    </row>
    <row r="431" spans="1:20" x14ac:dyDescent="0.15">
      <c r="A431" s="963" t="str">
        <f>A$11</f>
        <v>Tavanet e përgjithshme</v>
      </c>
      <c r="B431" s="964"/>
      <c r="C431" s="959">
        <f>C437+C443</f>
        <v>957789000</v>
      </c>
      <c r="D431" s="959">
        <f>D437+D443</f>
        <v>957789000</v>
      </c>
      <c r="E431" s="959">
        <f>E437+E443</f>
        <v>957789000</v>
      </c>
      <c r="F431" s="934" t="str">
        <f t="shared" si="237"/>
        <v>OK!</v>
      </c>
      <c r="G431" s="934" t="str">
        <f t="shared" si="237"/>
        <v>OK!</v>
      </c>
      <c r="H431" s="934" t="str">
        <f t="shared" si="237"/>
        <v>OK!</v>
      </c>
      <c r="I431" s="934" t="str">
        <f t="shared" si="237"/>
        <v>OK!</v>
      </c>
      <c r="J431" s="934" t="str">
        <f t="shared" si="237"/>
        <v>OK!</v>
      </c>
      <c r="K431" s="934" t="str">
        <f t="shared" si="237"/>
        <v>OK!</v>
      </c>
      <c r="L431" s="934" t="str">
        <f t="shared" si="237"/>
        <v>OK!</v>
      </c>
      <c r="M431" s="934" t="str">
        <f t="shared" si="237"/>
        <v>OK!</v>
      </c>
      <c r="N431" s="934" t="str">
        <f t="shared" si="237"/>
        <v>OK!</v>
      </c>
      <c r="O431" s="934" t="str">
        <f t="shared" si="237"/>
        <v>OK!</v>
      </c>
      <c r="P431" s="934" t="str">
        <f t="shared" si="237"/>
        <v>OK!</v>
      </c>
      <c r="Q431" s="934" t="str">
        <f t="shared" si="237"/>
        <v>OK!</v>
      </c>
      <c r="R431" s="934" t="str">
        <f t="shared" si="237"/>
        <v>OK!</v>
      </c>
      <c r="S431" s="934" t="str">
        <f t="shared" si="238"/>
        <v>OK!</v>
      </c>
      <c r="T431" s="934" t="str">
        <f t="shared" si="238"/>
        <v>OK!</v>
      </c>
    </row>
    <row r="432" spans="1:20" x14ac:dyDescent="0.15">
      <c r="A432" s="965" t="str">
        <f>A$12</f>
        <v>Angazhimet kujtesë</v>
      </c>
      <c r="B432" s="959"/>
      <c r="C432" s="959">
        <f>'(C5) Angazhimet'!D153</f>
        <v>0</v>
      </c>
      <c r="D432" s="962">
        <f>'(C5) Angazhimet'!E153</f>
        <v>0</v>
      </c>
      <c r="E432" s="962">
        <f>'(C5) Angazhimet'!F153</f>
        <v>0</v>
      </c>
      <c r="F432" s="934" t="str">
        <f>IF(C432&gt;C431,"STOPP!","OK!")</f>
        <v>OK!</v>
      </c>
      <c r="G432" s="934" t="str">
        <f t="shared" ref="G432:R432" si="239">IF(D432&lt;0,"STOPP!","OK!")</f>
        <v>OK!</v>
      </c>
      <c r="H432" s="934" t="str">
        <f t="shared" si="239"/>
        <v>OK!</v>
      </c>
      <c r="I432" s="934" t="str">
        <f t="shared" si="239"/>
        <v>OK!</v>
      </c>
      <c r="J432" s="934" t="str">
        <f t="shared" si="239"/>
        <v>OK!</v>
      </c>
      <c r="K432" s="934" t="str">
        <f t="shared" si="239"/>
        <v>OK!</v>
      </c>
      <c r="L432" s="934" t="str">
        <f t="shared" si="239"/>
        <v>OK!</v>
      </c>
      <c r="M432" s="934" t="str">
        <f t="shared" si="239"/>
        <v>OK!</v>
      </c>
      <c r="N432" s="934" t="str">
        <f t="shared" si="239"/>
        <v>OK!</v>
      </c>
      <c r="O432" s="934" t="str">
        <f t="shared" si="239"/>
        <v>OK!</v>
      </c>
      <c r="P432" s="934" t="str">
        <f t="shared" si="239"/>
        <v>OK!</v>
      </c>
      <c r="Q432" s="934" t="str">
        <f t="shared" si="239"/>
        <v>OK!</v>
      </c>
      <c r="R432" s="934" t="str">
        <f t="shared" si="239"/>
        <v>OK!</v>
      </c>
      <c r="S432" s="934" t="str">
        <f>IF(D432&gt;D431,"STOPP!","OK!")</f>
        <v>OK!</v>
      </c>
      <c r="T432" s="934" t="str">
        <f>IF(E432&gt;E431,"STOPP!","OK!")</f>
        <v>OK!</v>
      </c>
    </row>
    <row r="433" spans="1:24" ht="15.75" customHeight="1" x14ac:dyDescent="0.15">
      <c r="A433" s="1021" t="str">
        <f>'(B3) Struktura Funksionale'!B132</f>
        <v>10430</v>
      </c>
      <c r="B433" s="1079" t="str">
        <f>'(B3) Struktura Funksionale'!C132</f>
        <v>Kujdesi social për familjet dhe fëmijët</v>
      </c>
      <c r="C433" s="1080"/>
      <c r="D433" s="1080"/>
      <c r="E433" s="1081"/>
      <c r="F433" s="934"/>
      <c r="G433" s="934"/>
      <c r="H433" s="934"/>
      <c r="I433" s="934"/>
      <c r="J433" s="934"/>
      <c r="K433" s="934"/>
      <c r="L433" s="934"/>
      <c r="M433" s="934"/>
      <c r="N433" s="934"/>
      <c r="O433" s="934"/>
      <c r="P433" s="934"/>
      <c r="Q433" s="934"/>
      <c r="R433" s="934"/>
      <c r="S433" s="934"/>
      <c r="T433" s="934"/>
      <c r="V433" s="807"/>
      <c r="W433" s="807"/>
      <c r="X433" s="807"/>
    </row>
    <row r="434" spans="1:24" x14ac:dyDescent="0.15">
      <c r="A434" s="958" t="str">
        <f>A$8</f>
        <v>Pagat dhe sigurimet shoqërore</v>
      </c>
      <c r="B434" s="958"/>
      <c r="C434" s="966">
        <v>6347000</v>
      </c>
      <c r="D434" s="966">
        <v>6347000</v>
      </c>
      <c r="E434" s="966">
        <v>6347000</v>
      </c>
      <c r="F434" s="934" t="str">
        <f t="shared" ref="F434:R437" si="240">IF(C434&lt;0,"STOPP!","OK!")</f>
        <v>OK!</v>
      </c>
      <c r="G434" s="934" t="str">
        <f t="shared" si="240"/>
        <v>OK!</v>
      </c>
      <c r="H434" s="934" t="str">
        <f t="shared" si="240"/>
        <v>OK!</v>
      </c>
      <c r="I434" s="934" t="str">
        <f t="shared" si="240"/>
        <v>OK!</v>
      </c>
      <c r="J434" s="934" t="str">
        <f t="shared" si="240"/>
        <v>OK!</v>
      </c>
      <c r="K434" s="934" t="str">
        <f t="shared" si="240"/>
        <v>OK!</v>
      </c>
      <c r="L434" s="934" t="str">
        <f t="shared" si="240"/>
        <v>OK!</v>
      </c>
      <c r="M434" s="934" t="str">
        <f t="shared" si="240"/>
        <v>OK!</v>
      </c>
      <c r="N434" s="934" t="str">
        <f t="shared" si="240"/>
        <v>OK!</v>
      </c>
      <c r="O434" s="934" t="str">
        <f t="shared" si="240"/>
        <v>OK!</v>
      </c>
      <c r="P434" s="934" t="str">
        <f t="shared" si="240"/>
        <v>OK!</v>
      </c>
      <c r="Q434" s="934" t="str">
        <f t="shared" si="240"/>
        <v>OK!</v>
      </c>
      <c r="R434" s="934" t="str">
        <f t="shared" si="240"/>
        <v>OK!</v>
      </c>
      <c r="S434" s="934" t="str">
        <f t="shared" ref="S434:T437" si="241">IF(D434&lt;0,"STOPP!","OK!")</f>
        <v>OK!</v>
      </c>
      <c r="T434" s="934" t="str">
        <f t="shared" si="241"/>
        <v>OK!</v>
      </c>
      <c r="V434" s="977"/>
      <c r="W434" s="977"/>
      <c r="X434" s="977"/>
    </row>
    <row r="435" spans="1:24" x14ac:dyDescent="0.15">
      <c r="A435" s="958" t="str">
        <f>A$9</f>
        <v>Të tjera shpenzime korrente</v>
      </c>
      <c r="B435" s="958"/>
      <c r="C435" s="967">
        <f>1442000+950000000</f>
        <v>951442000</v>
      </c>
      <c r="D435" s="967">
        <f>1442000+950000000</f>
        <v>951442000</v>
      </c>
      <c r="E435" s="967">
        <f>1442000+950000000</f>
        <v>951442000</v>
      </c>
      <c r="F435" s="934" t="str">
        <f t="shared" si="240"/>
        <v>OK!</v>
      </c>
      <c r="G435" s="934" t="str">
        <f t="shared" si="240"/>
        <v>OK!</v>
      </c>
      <c r="H435" s="934" t="str">
        <f t="shared" si="240"/>
        <v>OK!</v>
      </c>
      <c r="I435" s="934" t="str">
        <f t="shared" si="240"/>
        <v>OK!</v>
      </c>
      <c r="J435" s="934" t="str">
        <f t="shared" si="240"/>
        <v>OK!</v>
      </c>
      <c r="K435" s="934" t="str">
        <f t="shared" si="240"/>
        <v>OK!</v>
      </c>
      <c r="L435" s="934" t="str">
        <f t="shared" si="240"/>
        <v>OK!</v>
      </c>
      <c r="M435" s="934" t="str">
        <f t="shared" si="240"/>
        <v>OK!</v>
      </c>
      <c r="N435" s="934" t="str">
        <f t="shared" si="240"/>
        <v>OK!</v>
      </c>
      <c r="O435" s="934" t="str">
        <f t="shared" si="240"/>
        <v>OK!</v>
      </c>
      <c r="P435" s="934" t="str">
        <f t="shared" si="240"/>
        <v>OK!</v>
      </c>
      <c r="Q435" s="934" t="str">
        <f t="shared" si="240"/>
        <v>OK!</v>
      </c>
      <c r="R435" s="934" t="str">
        <f t="shared" si="240"/>
        <v>OK!</v>
      </c>
      <c r="S435" s="934" t="str">
        <f t="shared" si="241"/>
        <v>OK!</v>
      </c>
      <c r="T435" s="934" t="str">
        <f t="shared" si="241"/>
        <v>OK!</v>
      </c>
      <c r="V435" s="985"/>
      <c r="W435" s="985"/>
      <c r="X435" s="985"/>
    </row>
    <row r="436" spans="1:24" x14ac:dyDescent="0.15">
      <c r="A436" s="960" t="str">
        <f>A$10</f>
        <v>Shpenzimet kapitale</v>
      </c>
      <c r="B436" s="961"/>
      <c r="C436" s="959">
        <f>C437-C434-C435</f>
        <v>0</v>
      </c>
      <c r="D436" s="962">
        <f>D437-D434-D435</f>
        <v>0</v>
      </c>
      <c r="E436" s="962">
        <f>E437-E434-E435</f>
        <v>0</v>
      </c>
      <c r="F436" s="934" t="str">
        <f t="shared" si="240"/>
        <v>OK!</v>
      </c>
      <c r="G436" s="934" t="str">
        <f t="shared" si="240"/>
        <v>OK!</v>
      </c>
      <c r="H436" s="934" t="str">
        <f t="shared" si="240"/>
        <v>OK!</v>
      </c>
      <c r="I436" s="934" t="str">
        <f t="shared" si="240"/>
        <v>OK!</v>
      </c>
      <c r="J436" s="934" t="str">
        <f t="shared" si="240"/>
        <v>OK!</v>
      </c>
      <c r="K436" s="934" t="str">
        <f t="shared" si="240"/>
        <v>OK!</v>
      </c>
      <c r="L436" s="934" t="str">
        <f t="shared" si="240"/>
        <v>OK!</v>
      </c>
      <c r="M436" s="934" t="str">
        <f t="shared" si="240"/>
        <v>OK!</v>
      </c>
      <c r="N436" s="934" t="str">
        <f t="shared" si="240"/>
        <v>OK!</v>
      </c>
      <c r="O436" s="934" t="str">
        <f t="shared" si="240"/>
        <v>OK!</v>
      </c>
      <c r="P436" s="934" t="str">
        <f t="shared" si="240"/>
        <v>OK!</v>
      </c>
      <c r="Q436" s="934" t="str">
        <f t="shared" si="240"/>
        <v>OK!</v>
      </c>
      <c r="R436" s="934" t="str">
        <f t="shared" si="240"/>
        <v>OK!</v>
      </c>
      <c r="S436" s="934" t="str">
        <f t="shared" si="241"/>
        <v>OK!</v>
      </c>
      <c r="T436" s="934" t="str">
        <f t="shared" si="241"/>
        <v>OK!</v>
      </c>
    </row>
    <row r="437" spans="1:24" x14ac:dyDescent="0.15">
      <c r="A437" s="963" t="str">
        <f>A$11</f>
        <v>Tavanet e përgjithshme</v>
      </c>
      <c r="B437" s="964"/>
      <c r="C437" s="968">
        <v>957789000</v>
      </c>
      <c r="D437" s="968">
        <v>957789000</v>
      </c>
      <c r="E437" s="968">
        <v>957789000</v>
      </c>
      <c r="F437" s="934" t="str">
        <f t="shared" si="240"/>
        <v>OK!</v>
      </c>
      <c r="G437" s="934" t="str">
        <f t="shared" si="240"/>
        <v>OK!</v>
      </c>
      <c r="H437" s="934" t="str">
        <f t="shared" si="240"/>
        <v>OK!</v>
      </c>
      <c r="I437" s="934" t="str">
        <f t="shared" si="240"/>
        <v>OK!</v>
      </c>
      <c r="J437" s="934" t="str">
        <f t="shared" si="240"/>
        <v>OK!</v>
      </c>
      <c r="K437" s="934" t="str">
        <f t="shared" si="240"/>
        <v>OK!</v>
      </c>
      <c r="L437" s="934" t="str">
        <f t="shared" si="240"/>
        <v>OK!</v>
      </c>
      <c r="M437" s="934" t="str">
        <f t="shared" si="240"/>
        <v>OK!</v>
      </c>
      <c r="N437" s="934" t="str">
        <f t="shared" si="240"/>
        <v>OK!</v>
      </c>
      <c r="O437" s="934" t="str">
        <f t="shared" si="240"/>
        <v>OK!</v>
      </c>
      <c r="P437" s="934" t="str">
        <f t="shared" si="240"/>
        <v>OK!</v>
      </c>
      <c r="Q437" s="934" t="str">
        <f t="shared" si="240"/>
        <v>OK!</v>
      </c>
      <c r="R437" s="934" t="str">
        <f t="shared" si="240"/>
        <v>OK!</v>
      </c>
      <c r="S437" s="934" t="str">
        <f t="shared" si="241"/>
        <v>OK!</v>
      </c>
      <c r="T437" s="934" t="str">
        <f t="shared" si="241"/>
        <v>OK!</v>
      </c>
    </row>
    <row r="438" spans="1:24" x14ac:dyDescent="0.15">
      <c r="A438" s="965" t="str">
        <f>A$12</f>
        <v>Angazhimet kujtesë</v>
      </c>
      <c r="B438" s="959"/>
      <c r="C438" s="959">
        <f>'(C5) Angazhimet'!D150</f>
        <v>0</v>
      </c>
      <c r="D438" s="959">
        <f>'(C5) Angazhimet'!E150</f>
        <v>0</v>
      </c>
      <c r="E438" s="959">
        <f>'(C5) Angazhimet'!F150</f>
        <v>0</v>
      </c>
      <c r="F438" s="934" t="str">
        <f>IF(C438&gt;C437,"STOPP!","OK!")</f>
        <v>OK!</v>
      </c>
      <c r="G438" s="934" t="str">
        <f t="shared" ref="G438:R438" si="242">IF(D438&lt;0,"STOPP!","OK!")</f>
        <v>OK!</v>
      </c>
      <c r="H438" s="934" t="str">
        <f t="shared" si="242"/>
        <v>OK!</v>
      </c>
      <c r="I438" s="934" t="str">
        <f t="shared" si="242"/>
        <v>OK!</v>
      </c>
      <c r="J438" s="934" t="str">
        <f t="shared" si="242"/>
        <v>OK!</v>
      </c>
      <c r="K438" s="934" t="str">
        <f t="shared" si="242"/>
        <v>OK!</v>
      </c>
      <c r="L438" s="934" t="str">
        <f t="shared" si="242"/>
        <v>OK!</v>
      </c>
      <c r="M438" s="934" t="str">
        <f t="shared" si="242"/>
        <v>OK!</v>
      </c>
      <c r="N438" s="934" t="str">
        <f t="shared" si="242"/>
        <v>OK!</v>
      </c>
      <c r="O438" s="934" t="str">
        <f t="shared" si="242"/>
        <v>OK!</v>
      </c>
      <c r="P438" s="934" t="str">
        <f t="shared" si="242"/>
        <v>OK!</v>
      </c>
      <c r="Q438" s="934" t="str">
        <f t="shared" si="242"/>
        <v>OK!</v>
      </c>
      <c r="R438" s="934" t="str">
        <f t="shared" si="242"/>
        <v>OK!</v>
      </c>
      <c r="S438" s="934" t="str">
        <f>IF(D438&gt;D437,"STOPP!","OK!")</f>
        <v>OK!</v>
      </c>
      <c r="T438" s="934" t="str">
        <f>IF(E438&gt;E437,"STOPP!","OK!")</f>
        <v>OK!</v>
      </c>
    </row>
    <row r="439" spans="1:24" ht="15.75" hidden="1" customHeight="1" x14ac:dyDescent="0.15">
      <c r="A439" s="1089" t="str">
        <f>'(B3) Struktura Funksionale'!B133</f>
        <v>10460</v>
      </c>
      <c r="B439" s="1079" t="str">
        <f>'(B3) Struktura Funksionale'!C133</f>
        <v>Përfshirja sociale</v>
      </c>
      <c r="C439" s="1080"/>
      <c r="D439" s="1080"/>
      <c r="E439" s="1081"/>
      <c r="F439" s="934"/>
      <c r="G439" s="934"/>
      <c r="H439" s="934"/>
      <c r="I439" s="934"/>
      <c r="J439" s="934"/>
      <c r="K439" s="934"/>
      <c r="L439" s="934"/>
      <c r="M439" s="934"/>
      <c r="N439" s="934"/>
      <c r="O439" s="934"/>
      <c r="P439" s="934"/>
      <c r="Q439" s="934"/>
      <c r="R439" s="934"/>
      <c r="S439" s="934"/>
      <c r="T439" s="934"/>
    </row>
    <row r="440" spans="1:24" ht="12.75" hidden="1" customHeight="1" x14ac:dyDescent="0.15">
      <c r="A440" s="958" t="str">
        <f>A$8</f>
        <v>Pagat dhe sigurimet shoqërore</v>
      </c>
      <c r="B440" s="958"/>
      <c r="C440" s="966"/>
      <c r="D440" s="966"/>
      <c r="E440" s="966"/>
      <c r="F440" s="934" t="str">
        <f t="shared" ref="F440:R443" si="243">IF(C440&lt;0,"STOPP!","OK!")</f>
        <v>OK!</v>
      </c>
      <c r="G440" s="934" t="str">
        <f t="shared" si="243"/>
        <v>OK!</v>
      </c>
      <c r="H440" s="934" t="str">
        <f t="shared" si="243"/>
        <v>OK!</v>
      </c>
      <c r="I440" s="934" t="str">
        <f t="shared" si="243"/>
        <v>OK!</v>
      </c>
      <c r="J440" s="934" t="str">
        <f t="shared" si="243"/>
        <v>OK!</v>
      </c>
      <c r="K440" s="934" t="str">
        <f t="shared" si="243"/>
        <v>OK!</v>
      </c>
      <c r="L440" s="934" t="str">
        <f t="shared" si="243"/>
        <v>OK!</v>
      </c>
      <c r="M440" s="934" t="str">
        <f t="shared" si="243"/>
        <v>OK!</v>
      </c>
      <c r="N440" s="934" t="str">
        <f t="shared" si="243"/>
        <v>OK!</v>
      </c>
      <c r="O440" s="934" t="str">
        <f t="shared" si="243"/>
        <v>OK!</v>
      </c>
      <c r="P440" s="934" t="str">
        <f t="shared" si="243"/>
        <v>OK!</v>
      </c>
      <c r="Q440" s="934" t="str">
        <f t="shared" si="243"/>
        <v>OK!</v>
      </c>
      <c r="R440" s="934" t="str">
        <f t="shared" si="243"/>
        <v>OK!</v>
      </c>
      <c r="S440" s="934" t="str">
        <f t="shared" ref="S440:T443" si="244">IF(D440&lt;0,"STOPP!","OK!")</f>
        <v>OK!</v>
      </c>
      <c r="T440" s="934" t="str">
        <f t="shared" si="244"/>
        <v>OK!</v>
      </c>
    </row>
    <row r="441" spans="1:24" ht="12.75" hidden="1" customHeight="1" x14ac:dyDescent="0.15">
      <c r="A441" s="958" t="str">
        <f>A$9</f>
        <v>Të tjera shpenzime korrente</v>
      </c>
      <c r="B441" s="958"/>
      <c r="C441" s="967"/>
      <c r="D441" s="967"/>
      <c r="E441" s="967"/>
      <c r="F441" s="934" t="str">
        <f t="shared" si="243"/>
        <v>OK!</v>
      </c>
      <c r="G441" s="934" t="str">
        <f t="shared" si="243"/>
        <v>OK!</v>
      </c>
      <c r="H441" s="934" t="str">
        <f t="shared" si="243"/>
        <v>OK!</v>
      </c>
      <c r="I441" s="934" t="str">
        <f t="shared" si="243"/>
        <v>OK!</v>
      </c>
      <c r="J441" s="934" t="str">
        <f t="shared" si="243"/>
        <v>OK!</v>
      </c>
      <c r="K441" s="934" t="str">
        <f t="shared" si="243"/>
        <v>OK!</v>
      </c>
      <c r="L441" s="934" t="str">
        <f t="shared" si="243"/>
        <v>OK!</v>
      </c>
      <c r="M441" s="934" t="str">
        <f t="shared" si="243"/>
        <v>OK!</v>
      </c>
      <c r="N441" s="934" t="str">
        <f t="shared" si="243"/>
        <v>OK!</v>
      </c>
      <c r="O441" s="934" t="str">
        <f t="shared" si="243"/>
        <v>OK!</v>
      </c>
      <c r="P441" s="934" t="str">
        <f t="shared" si="243"/>
        <v>OK!</v>
      </c>
      <c r="Q441" s="934" t="str">
        <f t="shared" si="243"/>
        <v>OK!</v>
      </c>
      <c r="R441" s="934" t="str">
        <f t="shared" si="243"/>
        <v>OK!</v>
      </c>
      <c r="S441" s="934" t="str">
        <f t="shared" si="244"/>
        <v>OK!</v>
      </c>
      <c r="T441" s="934" t="str">
        <f t="shared" si="244"/>
        <v>OK!</v>
      </c>
    </row>
    <row r="442" spans="1:24" ht="12.75" hidden="1" customHeight="1" x14ac:dyDescent="0.15">
      <c r="A442" s="960" t="str">
        <f>A$10</f>
        <v>Shpenzimet kapitale</v>
      </c>
      <c r="B442" s="961"/>
      <c r="C442" s="959">
        <f>C443-C440-C441</f>
        <v>0</v>
      </c>
      <c r="D442" s="962">
        <f>D443-D440-D441</f>
        <v>0</v>
      </c>
      <c r="E442" s="962">
        <f>E443-E440-E441</f>
        <v>0</v>
      </c>
      <c r="F442" s="934" t="str">
        <f t="shared" si="243"/>
        <v>OK!</v>
      </c>
      <c r="G442" s="934" t="str">
        <f t="shared" si="243"/>
        <v>OK!</v>
      </c>
      <c r="H442" s="934" t="str">
        <f t="shared" si="243"/>
        <v>OK!</v>
      </c>
      <c r="I442" s="934" t="str">
        <f t="shared" si="243"/>
        <v>OK!</v>
      </c>
      <c r="J442" s="934" t="str">
        <f t="shared" si="243"/>
        <v>OK!</v>
      </c>
      <c r="K442" s="934" t="str">
        <f t="shared" si="243"/>
        <v>OK!</v>
      </c>
      <c r="L442" s="934" t="str">
        <f t="shared" si="243"/>
        <v>OK!</v>
      </c>
      <c r="M442" s="934" t="str">
        <f t="shared" si="243"/>
        <v>OK!</v>
      </c>
      <c r="N442" s="934" t="str">
        <f t="shared" si="243"/>
        <v>OK!</v>
      </c>
      <c r="O442" s="934" t="str">
        <f t="shared" si="243"/>
        <v>OK!</v>
      </c>
      <c r="P442" s="934" t="str">
        <f t="shared" si="243"/>
        <v>OK!</v>
      </c>
      <c r="Q442" s="934" t="str">
        <f t="shared" si="243"/>
        <v>OK!</v>
      </c>
      <c r="R442" s="934" t="str">
        <f t="shared" si="243"/>
        <v>OK!</v>
      </c>
      <c r="S442" s="934" t="str">
        <f t="shared" si="244"/>
        <v>OK!</v>
      </c>
      <c r="T442" s="934" t="str">
        <f t="shared" si="244"/>
        <v>OK!</v>
      </c>
    </row>
    <row r="443" spans="1:24" ht="12.75" hidden="1" customHeight="1" x14ac:dyDescent="0.15">
      <c r="A443" s="963" t="str">
        <f>A$11</f>
        <v>Tavanet e përgjithshme</v>
      </c>
      <c r="B443" s="964"/>
      <c r="C443" s="968"/>
      <c r="D443" s="969"/>
      <c r="E443" s="969"/>
      <c r="F443" s="934" t="str">
        <f t="shared" si="243"/>
        <v>OK!</v>
      </c>
      <c r="G443" s="934" t="str">
        <f t="shared" si="243"/>
        <v>OK!</v>
      </c>
      <c r="H443" s="934" t="str">
        <f t="shared" si="243"/>
        <v>OK!</v>
      </c>
      <c r="I443" s="934" t="str">
        <f t="shared" si="243"/>
        <v>OK!</v>
      </c>
      <c r="J443" s="934" t="str">
        <f t="shared" si="243"/>
        <v>OK!</v>
      </c>
      <c r="K443" s="934" t="str">
        <f t="shared" si="243"/>
        <v>OK!</v>
      </c>
      <c r="L443" s="934" t="str">
        <f t="shared" si="243"/>
        <v>OK!</v>
      </c>
      <c r="M443" s="934" t="str">
        <f t="shared" si="243"/>
        <v>OK!</v>
      </c>
      <c r="N443" s="934" t="str">
        <f t="shared" si="243"/>
        <v>OK!</v>
      </c>
      <c r="O443" s="934" t="str">
        <f t="shared" si="243"/>
        <v>OK!</v>
      </c>
      <c r="P443" s="934" t="str">
        <f t="shared" si="243"/>
        <v>OK!</v>
      </c>
      <c r="Q443" s="934" t="str">
        <f t="shared" si="243"/>
        <v>OK!</v>
      </c>
      <c r="R443" s="934" t="str">
        <f t="shared" si="243"/>
        <v>OK!</v>
      </c>
      <c r="S443" s="934" t="str">
        <f t="shared" si="244"/>
        <v>OK!</v>
      </c>
      <c r="T443" s="934" t="str">
        <f t="shared" si="244"/>
        <v>OK!</v>
      </c>
    </row>
    <row r="444" spans="1:24" ht="12.75" hidden="1" customHeight="1" x14ac:dyDescent="0.15">
      <c r="A444" s="965" t="str">
        <f>A$12</f>
        <v>Angazhimet kujtesë</v>
      </c>
      <c r="B444" s="959"/>
      <c r="C444" s="959">
        <f>'(C5) Angazhimet'!D151</f>
        <v>0</v>
      </c>
      <c r="D444" s="959">
        <f>'(C5) Angazhimet'!E151</f>
        <v>0</v>
      </c>
      <c r="E444" s="959">
        <f>'(C5) Angazhimet'!F151</f>
        <v>0</v>
      </c>
      <c r="F444" s="934" t="str">
        <f>IF(C444&gt;C443,"STOPP!","OK!")</f>
        <v>OK!</v>
      </c>
      <c r="G444" s="934" t="str">
        <f t="shared" ref="G444:R444" si="245">IF(D444&lt;0,"STOPP!","OK!")</f>
        <v>OK!</v>
      </c>
      <c r="H444" s="934" t="str">
        <f t="shared" si="245"/>
        <v>OK!</v>
      </c>
      <c r="I444" s="934" t="str">
        <f t="shared" si="245"/>
        <v>OK!</v>
      </c>
      <c r="J444" s="934" t="str">
        <f t="shared" si="245"/>
        <v>OK!</v>
      </c>
      <c r="K444" s="934" t="str">
        <f t="shared" si="245"/>
        <v>OK!</v>
      </c>
      <c r="L444" s="934" t="str">
        <f t="shared" si="245"/>
        <v>OK!</v>
      </c>
      <c r="M444" s="934" t="str">
        <f t="shared" si="245"/>
        <v>OK!</v>
      </c>
      <c r="N444" s="934" t="str">
        <f t="shared" si="245"/>
        <v>OK!</v>
      </c>
      <c r="O444" s="934" t="str">
        <f t="shared" si="245"/>
        <v>OK!</v>
      </c>
      <c r="P444" s="934" t="str">
        <f t="shared" si="245"/>
        <v>OK!</v>
      </c>
      <c r="Q444" s="934" t="str">
        <f t="shared" si="245"/>
        <v>OK!</v>
      </c>
      <c r="R444" s="934" t="str">
        <f t="shared" si="245"/>
        <v>OK!</v>
      </c>
      <c r="S444" s="934" t="str">
        <f>IF(D444&gt;D443,"STOPP!","OK!")</f>
        <v>OK!</v>
      </c>
      <c r="T444" s="934" t="str">
        <f>IF(E444&gt;E443,"STOPP!","OK!")</f>
        <v>OK!</v>
      </c>
    </row>
    <row r="445" spans="1:24" ht="21.75" customHeight="1" x14ac:dyDescent="0.25">
      <c r="A445" s="1082" t="str">
        <f>'(B2) Struktura Organizative'!A32</f>
        <v>Nënfunksioni 26</v>
      </c>
      <c r="B445" s="1076" t="str">
        <f>'(B2) Struktura Organizative'!B32</f>
        <v>105 Papunësia</v>
      </c>
      <c r="C445" s="1077"/>
      <c r="D445" s="1077"/>
      <c r="E445" s="1078"/>
      <c r="G445" s="933">
        <f>C449</f>
        <v>0</v>
      </c>
      <c r="H445" s="933">
        <f>D449</f>
        <v>0</v>
      </c>
      <c r="I445" s="933">
        <f>E449</f>
        <v>0</v>
      </c>
      <c r="J445" s="933">
        <f>C446</f>
        <v>0</v>
      </c>
      <c r="K445" s="933">
        <f>D446</f>
        <v>0</v>
      </c>
      <c r="L445" s="933">
        <f>E446</f>
        <v>0</v>
      </c>
      <c r="M445" s="933">
        <f>C447</f>
        <v>0</v>
      </c>
      <c r="N445" s="933">
        <f>D447</f>
        <v>0</v>
      </c>
      <c r="O445" s="933">
        <f>E447</f>
        <v>0</v>
      </c>
      <c r="P445" s="933">
        <f>C448</f>
        <v>0</v>
      </c>
      <c r="Q445" s="933">
        <f>D448</f>
        <v>0</v>
      </c>
      <c r="R445" s="933">
        <f>E448</f>
        <v>0</v>
      </c>
    </row>
    <row r="446" spans="1:24" x14ac:dyDescent="0.15">
      <c r="A446" s="958" t="str">
        <f>A$8</f>
        <v>Pagat dhe sigurimet shoqërore</v>
      </c>
      <c r="B446" s="958"/>
      <c r="C446" s="959">
        <f t="shared" ref="C446:E447" si="246">C452</f>
        <v>0</v>
      </c>
      <c r="D446" s="959">
        <f t="shared" si="246"/>
        <v>0</v>
      </c>
      <c r="E446" s="959">
        <f t="shared" si="246"/>
        <v>0</v>
      </c>
      <c r="F446" s="934" t="str">
        <f t="shared" ref="F446:R449" si="247">IF(C446&lt;0,"STOPP!","OK!")</f>
        <v>OK!</v>
      </c>
      <c r="G446" s="934" t="str">
        <f t="shared" si="247"/>
        <v>OK!</v>
      </c>
      <c r="H446" s="934" t="str">
        <f t="shared" si="247"/>
        <v>OK!</v>
      </c>
      <c r="I446" s="934" t="str">
        <f t="shared" si="247"/>
        <v>OK!</v>
      </c>
      <c r="J446" s="934" t="str">
        <f t="shared" si="247"/>
        <v>OK!</v>
      </c>
      <c r="K446" s="934" t="str">
        <f t="shared" si="247"/>
        <v>OK!</v>
      </c>
      <c r="L446" s="934" t="str">
        <f t="shared" si="247"/>
        <v>OK!</v>
      </c>
      <c r="M446" s="934" t="str">
        <f t="shared" si="247"/>
        <v>OK!</v>
      </c>
      <c r="N446" s="934" t="str">
        <f t="shared" si="247"/>
        <v>OK!</v>
      </c>
      <c r="O446" s="934" t="str">
        <f t="shared" si="247"/>
        <v>OK!</v>
      </c>
      <c r="P446" s="934" t="str">
        <f t="shared" si="247"/>
        <v>OK!</v>
      </c>
      <c r="Q446" s="934" t="str">
        <f t="shared" si="247"/>
        <v>OK!</v>
      </c>
      <c r="R446" s="934" t="str">
        <f t="shared" si="247"/>
        <v>OK!</v>
      </c>
      <c r="S446" s="934" t="str">
        <f t="shared" ref="S446:T449" si="248">IF(D446&lt;0,"STOPP!","OK!")</f>
        <v>OK!</v>
      </c>
      <c r="T446" s="934" t="str">
        <f t="shared" si="248"/>
        <v>OK!</v>
      </c>
    </row>
    <row r="447" spans="1:24" x14ac:dyDescent="0.15">
      <c r="A447" s="958" t="str">
        <f>A$9</f>
        <v>Të tjera shpenzime korrente</v>
      </c>
      <c r="B447" s="958"/>
      <c r="C447" s="959">
        <f t="shared" si="246"/>
        <v>0</v>
      </c>
      <c r="D447" s="959">
        <f t="shared" si="246"/>
        <v>0</v>
      </c>
      <c r="E447" s="959">
        <f t="shared" si="246"/>
        <v>0</v>
      </c>
      <c r="F447" s="934" t="str">
        <f t="shared" si="247"/>
        <v>OK!</v>
      </c>
      <c r="G447" s="934" t="str">
        <f t="shared" si="247"/>
        <v>OK!</v>
      </c>
      <c r="H447" s="934" t="str">
        <f t="shared" si="247"/>
        <v>OK!</v>
      </c>
      <c r="I447" s="934" t="str">
        <f t="shared" si="247"/>
        <v>OK!</v>
      </c>
      <c r="J447" s="934" t="str">
        <f t="shared" si="247"/>
        <v>OK!</v>
      </c>
      <c r="K447" s="934" t="str">
        <f t="shared" si="247"/>
        <v>OK!</v>
      </c>
      <c r="L447" s="934" t="str">
        <f t="shared" si="247"/>
        <v>OK!</v>
      </c>
      <c r="M447" s="934" t="str">
        <f t="shared" si="247"/>
        <v>OK!</v>
      </c>
      <c r="N447" s="934" t="str">
        <f t="shared" si="247"/>
        <v>OK!</v>
      </c>
      <c r="O447" s="934" t="str">
        <f t="shared" si="247"/>
        <v>OK!</v>
      </c>
      <c r="P447" s="934" t="str">
        <f t="shared" si="247"/>
        <v>OK!</v>
      </c>
      <c r="Q447" s="934" t="str">
        <f t="shared" si="247"/>
        <v>OK!</v>
      </c>
      <c r="R447" s="934" t="str">
        <f t="shared" si="247"/>
        <v>OK!</v>
      </c>
      <c r="S447" s="934" t="str">
        <f t="shared" si="248"/>
        <v>OK!</v>
      </c>
      <c r="T447" s="934" t="str">
        <f t="shared" si="248"/>
        <v>OK!</v>
      </c>
    </row>
    <row r="448" spans="1:24" x14ac:dyDescent="0.15">
      <c r="A448" s="960" t="str">
        <f>A$10</f>
        <v>Shpenzimet kapitale</v>
      </c>
      <c r="B448" s="961"/>
      <c r="C448" s="959">
        <f>C449-C446-C447</f>
        <v>0</v>
      </c>
      <c r="D448" s="962">
        <f>D449-D446-D447</f>
        <v>0</v>
      </c>
      <c r="E448" s="962">
        <f>E449-E446-E447</f>
        <v>0</v>
      </c>
      <c r="F448" s="934" t="str">
        <f t="shared" si="247"/>
        <v>OK!</v>
      </c>
      <c r="G448" s="934" t="str">
        <f t="shared" si="247"/>
        <v>OK!</v>
      </c>
      <c r="H448" s="934" t="str">
        <f t="shared" si="247"/>
        <v>OK!</v>
      </c>
      <c r="I448" s="934" t="str">
        <f t="shared" si="247"/>
        <v>OK!</v>
      </c>
      <c r="J448" s="934" t="str">
        <f t="shared" si="247"/>
        <v>OK!</v>
      </c>
      <c r="K448" s="934" t="str">
        <f t="shared" si="247"/>
        <v>OK!</v>
      </c>
      <c r="L448" s="934" t="str">
        <f t="shared" si="247"/>
        <v>OK!</v>
      </c>
      <c r="M448" s="934" t="str">
        <f t="shared" si="247"/>
        <v>OK!</v>
      </c>
      <c r="N448" s="934" t="str">
        <f t="shared" si="247"/>
        <v>OK!</v>
      </c>
      <c r="O448" s="934" t="str">
        <f t="shared" si="247"/>
        <v>OK!</v>
      </c>
      <c r="P448" s="934" t="str">
        <f t="shared" si="247"/>
        <v>OK!</v>
      </c>
      <c r="Q448" s="934" t="str">
        <f t="shared" si="247"/>
        <v>OK!</v>
      </c>
      <c r="R448" s="934" t="str">
        <f t="shared" si="247"/>
        <v>OK!</v>
      </c>
      <c r="S448" s="934" t="str">
        <f t="shared" si="248"/>
        <v>OK!</v>
      </c>
      <c r="T448" s="934" t="str">
        <f t="shared" si="248"/>
        <v>OK!</v>
      </c>
    </row>
    <row r="449" spans="1:20" x14ac:dyDescent="0.15">
      <c r="A449" s="963" t="str">
        <f>A$11</f>
        <v>Tavanet e përgjithshme</v>
      </c>
      <c r="B449" s="964"/>
      <c r="C449" s="959">
        <f>C455</f>
        <v>0</v>
      </c>
      <c r="D449" s="959">
        <f>D455</f>
        <v>0</v>
      </c>
      <c r="E449" s="959">
        <f>E455</f>
        <v>0</v>
      </c>
      <c r="F449" s="934" t="str">
        <f t="shared" si="247"/>
        <v>OK!</v>
      </c>
      <c r="G449" s="934" t="str">
        <f t="shared" si="247"/>
        <v>OK!</v>
      </c>
      <c r="H449" s="934" t="str">
        <f t="shared" si="247"/>
        <v>OK!</v>
      </c>
      <c r="I449" s="934" t="str">
        <f t="shared" si="247"/>
        <v>OK!</v>
      </c>
      <c r="J449" s="934" t="str">
        <f t="shared" si="247"/>
        <v>OK!</v>
      </c>
      <c r="K449" s="934" t="str">
        <f t="shared" si="247"/>
        <v>OK!</v>
      </c>
      <c r="L449" s="934" t="str">
        <f t="shared" si="247"/>
        <v>OK!</v>
      </c>
      <c r="M449" s="934" t="str">
        <f t="shared" si="247"/>
        <v>OK!</v>
      </c>
      <c r="N449" s="934" t="str">
        <f t="shared" si="247"/>
        <v>OK!</v>
      </c>
      <c r="O449" s="934" t="str">
        <f t="shared" si="247"/>
        <v>OK!</v>
      </c>
      <c r="P449" s="934" t="str">
        <f t="shared" si="247"/>
        <v>OK!</v>
      </c>
      <c r="Q449" s="934" t="str">
        <f t="shared" si="247"/>
        <v>OK!</v>
      </c>
      <c r="R449" s="934" t="str">
        <f t="shared" si="247"/>
        <v>OK!</v>
      </c>
      <c r="S449" s="934" t="str">
        <f t="shared" si="248"/>
        <v>OK!</v>
      </c>
      <c r="T449" s="934" t="str">
        <f t="shared" si="248"/>
        <v>OK!</v>
      </c>
    </row>
    <row r="450" spans="1:20" x14ac:dyDescent="0.15">
      <c r="A450" s="965" t="str">
        <f>A$12</f>
        <v>Angazhimet kujtesë</v>
      </c>
      <c r="B450" s="959"/>
      <c r="C450" s="959">
        <f>'(C5) Angazhimet'!D158</f>
        <v>0</v>
      </c>
      <c r="D450" s="962">
        <f>'(C5) Angazhimet'!E158</f>
        <v>0</v>
      </c>
      <c r="E450" s="962">
        <f>'(C5) Angazhimet'!F158</f>
        <v>0</v>
      </c>
      <c r="F450" s="934" t="str">
        <f>IF(C450&gt;C449,"STOPP!","OK!")</f>
        <v>OK!</v>
      </c>
      <c r="G450" s="934" t="str">
        <f t="shared" ref="G450:R450" si="249">IF(D450&lt;0,"STOPP!","OK!")</f>
        <v>OK!</v>
      </c>
      <c r="H450" s="934" t="str">
        <f t="shared" si="249"/>
        <v>OK!</v>
      </c>
      <c r="I450" s="934" t="str">
        <f t="shared" si="249"/>
        <v>OK!</v>
      </c>
      <c r="J450" s="934" t="str">
        <f t="shared" si="249"/>
        <v>OK!</v>
      </c>
      <c r="K450" s="934" t="str">
        <f t="shared" si="249"/>
        <v>OK!</v>
      </c>
      <c r="L450" s="934" t="str">
        <f t="shared" si="249"/>
        <v>OK!</v>
      </c>
      <c r="M450" s="934" t="str">
        <f t="shared" si="249"/>
        <v>OK!</v>
      </c>
      <c r="N450" s="934" t="str">
        <f t="shared" si="249"/>
        <v>OK!</v>
      </c>
      <c r="O450" s="934" t="str">
        <f t="shared" si="249"/>
        <v>OK!</v>
      </c>
      <c r="P450" s="934" t="str">
        <f t="shared" si="249"/>
        <v>OK!</v>
      </c>
      <c r="Q450" s="934" t="str">
        <f t="shared" si="249"/>
        <v>OK!</v>
      </c>
      <c r="R450" s="934" t="str">
        <f t="shared" si="249"/>
        <v>OK!</v>
      </c>
      <c r="S450" s="934" t="str">
        <f>IF(D450&gt;D449,"STOPP!","OK!")</f>
        <v>OK!</v>
      </c>
      <c r="T450" s="934" t="str">
        <f>IF(E450&gt;E449,"STOPP!","OK!")</f>
        <v>OK!</v>
      </c>
    </row>
    <row r="451" spans="1:20" ht="15.75" customHeight="1" x14ac:dyDescent="0.15">
      <c r="A451" s="1089" t="str">
        <f>'(B3) Struktura Funksionale'!B136</f>
        <v>10550</v>
      </c>
      <c r="B451" s="1079" t="str">
        <f>'(B3) Struktura Funksionale'!C136</f>
        <v>Papunësia, arsim dhe aftësim</v>
      </c>
      <c r="C451" s="1080"/>
      <c r="D451" s="1080"/>
      <c r="E451" s="1081"/>
      <c r="F451" s="934"/>
      <c r="G451" s="934"/>
      <c r="H451" s="934"/>
      <c r="I451" s="934"/>
      <c r="J451" s="934"/>
      <c r="K451" s="934"/>
      <c r="L451" s="934"/>
      <c r="M451" s="934"/>
      <c r="N451" s="934"/>
      <c r="O451" s="934"/>
      <c r="P451" s="934"/>
      <c r="Q451" s="934"/>
      <c r="R451" s="934"/>
      <c r="S451" s="934"/>
      <c r="T451" s="934"/>
    </row>
    <row r="452" spans="1:20" x14ac:dyDescent="0.15">
      <c r="A452" s="958" t="str">
        <f>A$8</f>
        <v>Pagat dhe sigurimet shoqërore</v>
      </c>
      <c r="B452" s="958"/>
      <c r="C452" s="966"/>
      <c r="D452" s="966"/>
      <c r="E452" s="966"/>
      <c r="F452" s="934" t="str">
        <f t="shared" ref="F452:R455" si="250">IF(C452&lt;0,"STOPP!","OK!")</f>
        <v>OK!</v>
      </c>
      <c r="G452" s="934" t="str">
        <f t="shared" si="250"/>
        <v>OK!</v>
      </c>
      <c r="H452" s="934" t="str">
        <f t="shared" si="250"/>
        <v>OK!</v>
      </c>
      <c r="I452" s="934" t="str">
        <f t="shared" si="250"/>
        <v>OK!</v>
      </c>
      <c r="J452" s="934" t="str">
        <f t="shared" si="250"/>
        <v>OK!</v>
      </c>
      <c r="K452" s="934" t="str">
        <f t="shared" si="250"/>
        <v>OK!</v>
      </c>
      <c r="L452" s="934" t="str">
        <f t="shared" si="250"/>
        <v>OK!</v>
      </c>
      <c r="M452" s="934" t="str">
        <f t="shared" si="250"/>
        <v>OK!</v>
      </c>
      <c r="N452" s="934" t="str">
        <f t="shared" si="250"/>
        <v>OK!</v>
      </c>
      <c r="O452" s="934" t="str">
        <f t="shared" si="250"/>
        <v>OK!</v>
      </c>
      <c r="P452" s="934" t="str">
        <f t="shared" si="250"/>
        <v>OK!</v>
      </c>
      <c r="Q452" s="934" t="str">
        <f t="shared" si="250"/>
        <v>OK!</v>
      </c>
      <c r="R452" s="934" t="str">
        <f t="shared" si="250"/>
        <v>OK!</v>
      </c>
      <c r="S452" s="934" t="str">
        <f t="shared" ref="S452:T455" si="251">IF(D452&lt;0,"STOPP!","OK!")</f>
        <v>OK!</v>
      </c>
      <c r="T452" s="934" t="str">
        <f t="shared" si="251"/>
        <v>OK!</v>
      </c>
    </row>
    <row r="453" spans="1:20" x14ac:dyDescent="0.15">
      <c r="A453" s="958" t="str">
        <f>A$9</f>
        <v>Të tjera shpenzime korrente</v>
      </c>
      <c r="B453" s="958"/>
      <c r="C453" s="967"/>
      <c r="D453" s="967"/>
      <c r="E453" s="967"/>
      <c r="F453" s="934" t="str">
        <f t="shared" si="250"/>
        <v>OK!</v>
      </c>
      <c r="G453" s="934" t="str">
        <f t="shared" si="250"/>
        <v>OK!</v>
      </c>
      <c r="H453" s="934" t="str">
        <f t="shared" si="250"/>
        <v>OK!</v>
      </c>
      <c r="I453" s="934" t="str">
        <f t="shared" si="250"/>
        <v>OK!</v>
      </c>
      <c r="J453" s="934" t="str">
        <f t="shared" si="250"/>
        <v>OK!</v>
      </c>
      <c r="K453" s="934" t="str">
        <f t="shared" si="250"/>
        <v>OK!</v>
      </c>
      <c r="L453" s="934" t="str">
        <f t="shared" si="250"/>
        <v>OK!</v>
      </c>
      <c r="M453" s="934" t="str">
        <f t="shared" si="250"/>
        <v>OK!</v>
      </c>
      <c r="N453" s="934" t="str">
        <f t="shared" si="250"/>
        <v>OK!</v>
      </c>
      <c r="O453" s="934" t="str">
        <f t="shared" si="250"/>
        <v>OK!</v>
      </c>
      <c r="P453" s="934" t="str">
        <f t="shared" si="250"/>
        <v>OK!</v>
      </c>
      <c r="Q453" s="934" t="str">
        <f t="shared" si="250"/>
        <v>OK!</v>
      </c>
      <c r="R453" s="934" t="str">
        <f t="shared" si="250"/>
        <v>OK!</v>
      </c>
      <c r="S453" s="934" t="str">
        <f t="shared" si="251"/>
        <v>OK!</v>
      </c>
      <c r="T453" s="934" t="str">
        <f t="shared" si="251"/>
        <v>OK!</v>
      </c>
    </row>
    <row r="454" spans="1:20" x14ac:dyDescent="0.15">
      <c r="A454" s="960" t="str">
        <f>A$10</f>
        <v>Shpenzimet kapitale</v>
      </c>
      <c r="B454" s="961"/>
      <c r="C454" s="959">
        <f>C455-C452-C453</f>
        <v>0</v>
      </c>
      <c r="D454" s="962">
        <f>D455-D452-D453</f>
        <v>0</v>
      </c>
      <c r="E454" s="962">
        <f>E455-E452-E453</f>
        <v>0</v>
      </c>
      <c r="F454" s="934" t="str">
        <f t="shared" si="250"/>
        <v>OK!</v>
      </c>
      <c r="G454" s="934" t="str">
        <f t="shared" si="250"/>
        <v>OK!</v>
      </c>
      <c r="H454" s="934" t="str">
        <f t="shared" si="250"/>
        <v>OK!</v>
      </c>
      <c r="I454" s="934" t="str">
        <f t="shared" si="250"/>
        <v>OK!</v>
      </c>
      <c r="J454" s="934" t="str">
        <f t="shared" si="250"/>
        <v>OK!</v>
      </c>
      <c r="K454" s="934" t="str">
        <f t="shared" si="250"/>
        <v>OK!</v>
      </c>
      <c r="L454" s="934" t="str">
        <f t="shared" si="250"/>
        <v>OK!</v>
      </c>
      <c r="M454" s="934" t="str">
        <f t="shared" si="250"/>
        <v>OK!</v>
      </c>
      <c r="N454" s="934" t="str">
        <f t="shared" si="250"/>
        <v>OK!</v>
      </c>
      <c r="O454" s="934" t="str">
        <f t="shared" si="250"/>
        <v>OK!</v>
      </c>
      <c r="P454" s="934" t="str">
        <f t="shared" si="250"/>
        <v>OK!</v>
      </c>
      <c r="Q454" s="934" t="str">
        <f t="shared" si="250"/>
        <v>OK!</v>
      </c>
      <c r="R454" s="934" t="str">
        <f t="shared" si="250"/>
        <v>OK!</v>
      </c>
      <c r="S454" s="934" t="str">
        <f t="shared" si="251"/>
        <v>OK!</v>
      </c>
      <c r="T454" s="934" t="str">
        <f t="shared" si="251"/>
        <v>OK!</v>
      </c>
    </row>
    <row r="455" spans="1:20" x14ac:dyDescent="0.15">
      <c r="A455" s="963" t="str">
        <f>A$11</f>
        <v>Tavanet e përgjithshme</v>
      </c>
      <c r="B455" s="964"/>
      <c r="C455" s="968"/>
      <c r="D455" s="969"/>
      <c r="E455" s="969"/>
      <c r="F455" s="934" t="str">
        <f t="shared" si="250"/>
        <v>OK!</v>
      </c>
      <c r="G455" s="934" t="str">
        <f t="shared" si="250"/>
        <v>OK!</v>
      </c>
      <c r="H455" s="934" t="str">
        <f t="shared" si="250"/>
        <v>OK!</v>
      </c>
      <c r="I455" s="934" t="str">
        <f t="shared" si="250"/>
        <v>OK!</v>
      </c>
      <c r="J455" s="934" t="str">
        <f t="shared" si="250"/>
        <v>OK!</v>
      </c>
      <c r="K455" s="934" t="str">
        <f t="shared" si="250"/>
        <v>OK!</v>
      </c>
      <c r="L455" s="934" t="str">
        <f t="shared" si="250"/>
        <v>OK!</v>
      </c>
      <c r="M455" s="934" t="str">
        <f t="shared" si="250"/>
        <v>OK!</v>
      </c>
      <c r="N455" s="934" t="str">
        <f t="shared" si="250"/>
        <v>OK!</v>
      </c>
      <c r="O455" s="934" t="str">
        <f t="shared" si="250"/>
        <v>OK!</v>
      </c>
      <c r="P455" s="934" t="str">
        <f t="shared" si="250"/>
        <v>OK!</v>
      </c>
      <c r="Q455" s="934" t="str">
        <f t="shared" si="250"/>
        <v>OK!</v>
      </c>
      <c r="R455" s="934" t="str">
        <f t="shared" si="250"/>
        <v>OK!</v>
      </c>
      <c r="S455" s="934" t="str">
        <f t="shared" si="251"/>
        <v>OK!</v>
      </c>
      <c r="T455" s="934" t="str">
        <f t="shared" si="251"/>
        <v>OK!</v>
      </c>
    </row>
    <row r="456" spans="1:20" x14ac:dyDescent="0.15">
      <c r="A456" s="965" t="str">
        <f>A$12</f>
        <v>Angazhimet kujtesë</v>
      </c>
      <c r="B456" s="959"/>
      <c r="C456" s="959">
        <f>'(C5) Angazhimet'!D155</f>
        <v>0</v>
      </c>
      <c r="D456" s="959">
        <f>'(C5) Angazhimet'!E155</f>
        <v>0</v>
      </c>
      <c r="E456" s="959">
        <f>'(C5) Angazhimet'!F155</f>
        <v>0</v>
      </c>
      <c r="F456" s="934" t="str">
        <f>IF(C456&gt;C455,"STOPP!","OK!")</f>
        <v>OK!</v>
      </c>
      <c r="G456" s="934" t="str">
        <f t="shared" ref="G456:R456" si="252">IF(D456&lt;0,"STOPP!","OK!")</f>
        <v>OK!</v>
      </c>
      <c r="H456" s="934" t="str">
        <f t="shared" si="252"/>
        <v>OK!</v>
      </c>
      <c r="I456" s="934" t="str">
        <f t="shared" si="252"/>
        <v>OK!</v>
      </c>
      <c r="J456" s="934" t="str">
        <f t="shared" si="252"/>
        <v>OK!</v>
      </c>
      <c r="K456" s="934" t="str">
        <f t="shared" si="252"/>
        <v>OK!</v>
      </c>
      <c r="L456" s="934" t="str">
        <f t="shared" si="252"/>
        <v>OK!</v>
      </c>
      <c r="M456" s="934" t="str">
        <f t="shared" si="252"/>
        <v>OK!</v>
      </c>
      <c r="N456" s="934" t="str">
        <f t="shared" si="252"/>
        <v>OK!</v>
      </c>
      <c r="O456" s="934" t="str">
        <f t="shared" si="252"/>
        <v>OK!</v>
      </c>
      <c r="P456" s="934" t="str">
        <f t="shared" si="252"/>
        <v>OK!</v>
      </c>
      <c r="Q456" s="934" t="str">
        <f t="shared" si="252"/>
        <v>OK!</v>
      </c>
      <c r="R456" s="934" t="str">
        <f t="shared" si="252"/>
        <v>OK!</v>
      </c>
      <c r="S456" s="934" t="str">
        <f>IF(D456&gt;D455,"STOPP!","OK!")</f>
        <v>OK!</v>
      </c>
      <c r="T456" s="934" t="str">
        <f>IF(E456&gt;E455,"STOPP!","OK!")</f>
        <v>OK!</v>
      </c>
    </row>
    <row r="457" spans="1:20" ht="24.75" customHeight="1" x14ac:dyDescent="0.25">
      <c r="A457" s="1082" t="str">
        <f>'(B2) Struktura Organizative'!A33</f>
        <v>Nënfunksioni 27</v>
      </c>
      <c r="B457" s="1076" t="str">
        <f>'(B2) Struktura Organizative'!B33</f>
        <v>106 Strehimi social</v>
      </c>
      <c r="C457" s="1077"/>
      <c r="D457" s="1077"/>
      <c r="E457" s="1078"/>
      <c r="G457" s="933">
        <f>C461</f>
        <v>0</v>
      </c>
      <c r="H457" s="933">
        <f>D461</f>
        <v>0</v>
      </c>
      <c r="I457" s="933">
        <f>E461</f>
        <v>0</v>
      </c>
      <c r="J457" s="933">
        <f>C458</f>
        <v>0</v>
      </c>
      <c r="K457" s="933">
        <f>D458</f>
        <v>0</v>
      </c>
      <c r="L457" s="933">
        <f>E458</f>
        <v>0</v>
      </c>
      <c r="M457" s="933">
        <f>C459</f>
        <v>0</v>
      </c>
      <c r="N457" s="933">
        <f>D459</f>
        <v>0</v>
      </c>
      <c r="O457" s="933">
        <f>E459</f>
        <v>0</v>
      </c>
      <c r="P457" s="933">
        <f>C460</f>
        <v>0</v>
      </c>
      <c r="Q457" s="933">
        <f>D460</f>
        <v>0</v>
      </c>
      <c r="R457" s="933">
        <f>E460</f>
        <v>0</v>
      </c>
    </row>
    <row r="458" spans="1:20" x14ac:dyDescent="0.15">
      <c r="A458" s="958" t="str">
        <f>A$8</f>
        <v>Pagat dhe sigurimet shoqërore</v>
      </c>
      <c r="B458" s="958"/>
      <c r="C458" s="959">
        <f t="shared" ref="C458:E459" si="253">C464</f>
        <v>0</v>
      </c>
      <c r="D458" s="959">
        <f t="shared" si="253"/>
        <v>0</v>
      </c>
      <c r="E458" s="959">
        <f t="shared" si="253"/>
        <v>0</v>
      </c>
      <c r="F458" s="934" t="str">
        <f t="shared" ref="F458:R461" si="254">IF(C458&lt;0,"STOPP!","OK!")</f>
        <v>OK!</v>
      </c>
      <c r="G458" s="934" t="str">
        <f t="shared" si="254"/>
        <v>OK!</v>
      </c>
      <c r="H458" s="934" t="str">
        <f t="shared" si="254"/>
        <v>OK!</v>
      </c>
      <c r="I458" s="934" t="str">
        <f t="shared" si="254"/>
        <v>OK!</v>
      </c>
      <c r="J458" s="934" t="str">
        <f t="shared" si="254"/>
        <v>OK!</v>
      </c>
      <c r="K458" s="934" t="str">
        <f t="shared" si="254"/>
        <v>OK!</v>
      </c>
      <c r="L458" s="934" t="str">
        <f t="shared" si="254"/>
        <v>OK!</v>
      </c>
      <c r="M458" s="934" t="str">
        <f t="shared" si="254"/>
        <v>OK!</v>
      </c>
      <c r="N458" s="934" t="str">
        <f t="shared" si="254"/>
        <v>OK!</v>
      </c>
      <c r="O458" s="934" t="str">
        <f t="shared" si="254"/>
        <v>OK!</v>
      </c>
      <c r="P458" s="934" t="str">
        <f t="shared" si="254"/>
        <v>OK!</v>
      </c>
      <c r="Q458" s="934" t="str">
        <f t="shared" si="254"/>
        <v>OK!</v>
      </c>
      <c r="R458" s="934" t="str">
        <f t="shared" si="254"/>
        <v>OK!</v>
      </c>
      <c r="S458" s="934" t="str">
        <f t="shared" ref="S458:T461" si="255">IF(D458&lt;0,"STOPP!","OK!")</f>
        <v>OK!</v>
      </c>
      <c r="T458" s="934" t="str">
        <f t="shared" si="255"/>
        <v>OK!</v>
      </c>
    </row>
    <row r="459" spans="1:20" x14ac:dyDescent="0.15">
      <c r="A459" s="958" t="str">
        <f>A$9</f>
        <v>Të tjera shpenzime korrente</v>
      </c>
      <c r="B459" s="958"/>
      <c r="C459" s="959">
        <f t="shared" si="253"/>
        <v>0</v>
      </c>
      <c r="D459" s="959">
        <f t="shared" si="253"/>
        <v>0</v>
      </c>
      <c r="E459" s="959">
        <f t="shared" si="253"/>
        <v>0</v>
      </c>
      <c r="F459" s="934" t="str">
        <f t="shared" si="254"/>
        <v>OK!</v>
      </c>
      <c r="G459" s="934" t="str">
        <f t="shared" si="254"/>
        <v>OK!</v>
      </c>
      <c r="H459" s="934" t="str">
        <f t="shared" si="254"/>
        <v>OK!</v>
      </c>
      <c r="I459" s="934" t="str">
        <f t="shared" si="254"/>
        <v>OK!</v>
      </c>
      <c r="J459" s="934" t="str">
        <f t="shared" si="254"/>
        <v>OK!</v>
      </c>
      <c r="K459" s="934" t="str">
        <f t="shared" si="254"/>
        <v>OK!</v>
      </c>
      <c r="L459" s="934" t="str">
        <f t="shared" si="254"/>
        <v>OK!</v>
      </c>
      <c r="M459" s="934" t="str">
        <f t="shared" si="254"/>
        <v>OK!</v>
      </c>
      <c r="N459" s="934" t="str">
        <f t="shared" si="254"/>
        <v>OK!</v>
      </c>
      <c r="O459" s="934" t="str">
        <f t="shared" si="254"/>
        <v>OK!</v>
      </c>
      <c r="P459" s="934" t="str">
        <f t="shared" si="254"/>
        <v>OK!</v>
      </c>
      <c r="Q459" s="934" t="str">
        <f t="shared" si="254"/>
        <v>OK!</v>
      </c>
      <c r="R459" s="934" t="str">
        <f t="shared" si="254"/>
        <v>OK!</v>
      </c>
      <c r="S459" s="934" t="str">
        <f t="shared" si="255"/>
        <v>OK!</v>
      </c>
      <c r="T459" s="934" t="str">
        <f t="shared" si="255"/>
        <v>OK!</v>
      </c>
    </row>
    <row r="460" spans="1:20" x14ac:dyDescent="0.15">
      <c r="A460" s="960" t="str">
        <f>A$10</f>
        <v>Shpenzimet kapitale</v>
      </c>
      <c r="B460" s="961"/>
      <c r="C460" s="959">
        <f>C461-C458-C459</f>
        <v>0</v>
      </c>
      <c r="D460" s="962">
        <f>D461-D458-D459</f>
        <v>0</v>
      </c>
      <c r="E460" s="962">
        <f>E461-E458-E459</f>
        <v>0</v>
      </c>
      <c r="F460" s="934" t="str">
        <f t="shared" si="254"/>
        <v>OK!</v>
      </c>
      <c r="G460" s="934" t="str">
        <f t="shared" si="254"/>
        <v>OK!</v>
      </c>
      <c r="H460" s="934" t="str">
        <f t="shared" si="254"/>
        <v>OK!</v>
      </c>
      <c r="I460" s="934" t="str">
        <f t="shared" si="254"/>
        <v>OK!</v>
      </c>
      <c r="J460" s="934" t="str">
        <f t="shared" si="254"/>
        <v>OK!</v>
      </c>
      <c r="K460" s="934" t="str">
        <f t="shared" si="254"/>
        <v>OK!</v>
      </c>
      <c r="L460" s="934" t="str">
        <f t="shared" si="254"/>
        <v>OK!</v>
      </c>
      <c r="M460" s="934" t="str">
        <f t="shared" si="254"/>
        <v>OK!</v>
      </c>
      <c r="N460" s="934" t="str">
        <f t="shared" si="254"/>
        <v>OK!</v>
      </c>
      <c r="O460" s="934" t="str">
        <f t="shared" si="254"/>
        <v>OK!</v>
      </c>
      <c r="P460" s="934" t="str">
        <f t="shared" si="254"/>
        <v>OK!</v>
      </c>
      <c r="Q460" s="934" t="str">
        <f t="shared" si="254"/>
        <v>OK!</v>
      </c>
      <c r="R460" s="934" t="str">
        <f t="shared" si="254"/>
        <v>OK!</v>
      </c>
      <c r="S460" s="934" t="str">
        <f t="shared" si="255"/>
        <v>OK!</v>
      </c>
      <c r="T460" s="934" t="str">
        <f t="shared" si="255"/>
        <v>OK!</v>
      </c>
    </row>
    <row r="461" spans="1:20" x14ac:dyDescent="0.15">
      <c r="A461" s="963" t="str">
        <f>A$11</f>
        <v>Tavanet e përgjithshme</v>
      </c>
      <c r="B461" s="964"/>
      <c r="C461" s="959">
        <f>C467</f>
        <v>0</v>
      </c>
      <c r="D461" s="959">
        <f>D467</f>
        <v>0</v>
      </c>
      <c r="E461" s="959">
        <f>E467</f>
        <v>0</v>
      </c>
      <c r="F461" s="934" t="str">
        <f t="shared" si="254"/>
        <v>OK!</v>
      </c>
      <c r="G461" s="934" t="str">
        <f t="shared" si="254"/>
        <v>OK!</v>
      </c>
      <c r="H461" s="934" t="str">
        <f t="shared" si="254"/>
        <v>OK!</v>
      </c>
      <c r="I461" s="934" t="str">
        <f t="shared" si="254"/>
        <v>OK!</v>
      </c>
      <c r="J461" s="934" t="str">
        <f t="shared" si="254"/>
        <v>OK!</v>
      </c>
      <c r="K461" s="934" t="str">
        <f t="shared" si="254"/>
        <v>OK!</v>
      </c>
      <c r="L461" s="934" t="str">
        <f t="shared" si="254"/>
        <v>OK!</v>
      </c>
      <c r="M461" s="934" t="str">
        <f t="shared" si="254"/>
        <v>OK!</v>
      </c>
      <c r="N461" s="934" t="str">
        <f t="shared" si="254"/>
        <v>OK!</v>
      </c>
      <c r="O461" s="934" t="str">
        <f t="shared" si="254"/>
        <v>OK!</v>
      </c>
      <c r="P461" s="934" t="str">
        <f t="shared" si="254"/>
        <v>OK!</v>
      </c>
      <c r="Q461" s="934" t="str">
        <f t="shared" si="254"/>
        <v>OK!</v>
      </c>
      <c r="R461" s="934" t="str">
        <f t="shared" si="254"/>
        <v>OK!</v>
      </c>
      <c r="S461" s="934" t="str">
        <f t="shared" si="255"/>
        <v>OK!</v>
      </c>
      <c r="T461" s="934" t="str">
        <f t="shared" si="255"/>
        <v>OK!</v>
      </c>
    </row>
    <row r="462" spans="1:20" x14ac:dyDescent="0.15">
      <c r="A462" s="965" t="str">
        <f>A$12</f>
        <v>Angazhimet kujtesë</v>
      </c>
      <c r="B462" s="959"/>
      <c r="C462" s="959">
        <f>'(C5) Angazhimet'!D163</f>
        <v>0</v>
      </c>
      <c r="D462" s="962">
        <f>'(C5) Angazhimet'!E163</f>
        <v>0</v>
      </c>
      <c r="E462" s="962">
        <f>'(C5) Angazhimet'!F163</f>
        <v>0</v>
      </c>
      <c r="F462" s="934" t="str">
        <f>IF(C462&gt;C461,"STOPP!","OK!")</f>
        <v>OK!</v>
      </c>
      <c r="G462" s="934" t="str">
        <f t="shared" ref="G462:R462" si="256">IF(D462&lt;0,"STOPP!","OK!")</f>
        <v>OK!</v>
      </c>
      <c r="H462" s="934" t="str">
        <f t="shared" si="256"/>
        <v>OK!</v>
      </c>
      <c r="I462" s="934" t="str">
        <f t="shared" si="256"/>
        <v>OK!</v>
      </c>
      <c r="J462" s="934" t="str">
        <f t="shared" si="256"/>
        <v>OK!</v>
      </c>
      <c r="K462" s="934" t="str">
        <f t="shared" si="256"/>
        <v>OK!</v>
      </c>
      <c r="L462" s="934" t="str">
        <f t="shared" si="256"/>
        <v>OK!</v>
      </c>
      <c r="M462" s="934" t="str">
        <f t="shared" si="256"/>
        <v>OK!</v>
      </c>
      <c r="N462" s="934" t="str">
        <f t="shared" si="256"/>
        <v>OK!</v>
      </c>
      <c r="O462" s="934" t="str">
        <f t="shared" si="256"/>
        <v>OK!</v>
      </c>
      <c r="P462" s="934" t="str">
        <f t="shared" si="256"/>
        <v>OK!</v>
      </c>
      <c r="Q462" s="934" t="str">
        <f t="shared" si="256"/>
        <v>OK!</v>
      </c>
      <c r="R462" s="934" t="str">
        <f t="shared" si="256"/>
        <v>OK!</v>
      </c>
      <c r="S462" s="934" t="str">
        <f>IF(D462&gt;D461,"STOPP!","OK!")</f>
        <v>OK!</v>
      </c>
      <c r="T462" s="934" t="str">
        <f>IF(E462&gt;E461,"STOPP!","OK!")</f>
        <v>OK!</v>
      </c>
    </row>
    <row r="463" spans="1:20" ht="15.75" x14ac:dyDescent="0.15">
      <c r="A463" s="1089" t="str">
        <f>'(B3) Struktura Funksionale'!B140</f>
        <v>10661</v>
      </c>
      <c r="B463" s="1079" t="str">
        <f>'(B3) Struktura Funksionale'!C140</f>
        <v>Strehimi social</v>
      </c>
      <c r="C463" s="1080"/>
      <c r="D463" s="1080"/>
      <c r="E463" s="1081"/>
      <c r="F463" s="934"/>
      <c r="G463" s="934"/>
      <c r="H463" s="934"/>
      <c r="I463" s="934"/>
      <c r="J463" s="934"/>
      <c r="K463" s="934"/>
      <c r="L463" s="934"/>
      <c r="M463" s="934"/>
      <c r="N463" s="934"/>
      <c r="O463" s="934"/>
      <c r="P463" s="934"/>
      <c r="Q463" s="934"/>
      <c r="R463" s="934"/>
      <c r="S463" s="934"/>
      <c r="T463" s="934"/>
    </row>
    <row r="464" spans="1:20" x14ac:dyDescent="0.15">
      <c r="A464" s="958" t="str">
        <f>A$8</f>
        <v>Pagat dhe sigurimet shoqërore</v>
      </c>
      <c r="B464" s="958"/>
      <c r="C464" s="966"/>
      <c r="D464" s="966"/>
      <c r="E464" s="966"/>
      <c r="F464" s="934" t="str">
        <f t="shared" ref="F464:R467" si="257">IF(C464&lt;0,"STOPP!","OK!")</f>
        <v>OK!</v>
      </c>
      <c r="G464" s="934" t="str">
        <f t="shared" si="257"/>
        <v>OK!</v>
      </c>
      <c r="H464" s="934" t="str">
        <f t="shared" si="257"/>
        <v>OK!</v>
      </c>
      <c r="I464" s="934" t="str">
        <f t="shared" si="257"/>
        <v>OK!</v>
      </c>
      <c r="J464" s="934" t="str">
        <f t="shared" si="257"/>
        <v>OK!</v>
      </c>
      <c r="K464" s="934" t="str">
        <f t="shared" si="257"/>
        <v>OK!</v>
      </c>
      <c r="L464" s="934" t="str">
        <f t="shared" si="257"/>
        <v>OK!</v>
      </c>
      <c r="M464" s="934" t="str">
        <f t="shared" si="257"/>
        <v>OK!</v>
      </c>
      <c r="N464" s="934" t="str">
        <f t="shared" si="257"/>
        <v>OK!</v>
      </c>
      <c r="O464" s="934" t="str">
        <f t="shared" si="257"/>
        <v>OK!</v>
      </c>
      <c r="P464" s="934" t="str">
        <f t="shared" si="257"/>
        <v>OK!</v>
      </c>
      <c r="Q464" s="934" t="str">
        <f t="shared" si="257"/>
        <v>OK!</v>
      </c>
      <c r="R464" s="934" t="str">
        <f t="shared" si="257"/>
        <v>OK!</v>
      </c>
      <c r="S464" s="934" t="str">
        <f t="shared" ref="S464:T467" si="258">IF(D464&lt;0,"STOPP!","OK!")</f>
        <v>OK!</v>
      </c>
      <c r="T464" s="934" t="str">
        <f t="shared" si="258"/>
        <v>OK!</v>
      </c>
    </row>
    <row r="465" spans="1:20" x14ac:dyDescent="0.15">
      <c r="A465" s="958" t="str">
        <f>A$9</f>
        <v>Të tjera shpenzime korrente</v>
      </c>
      <c r="B465" s="958"/>
      <c r="C465" s="967"/>
      <c r="D465" s="967"/>
      <c r="E465" s="967"/>
      <c r="F465" s="934" t="str">
        <f t="shared" si="257"/>
        <v>OK!</v>
      </c>
      <c r="G465" s="934" t="str">
        <f t="shared" si="257"/>
        <v>OK!</v>
      </c>
      <c r="H465" s="934" t="str">
        <f t="shared" si="257"/>
        <v>OK!</v>
      </c>
      <c r="I465" s="934" t="str">
        <f t="shared" si="257"/>
        <v>OK!</v>
      </c>
      <c r="J465" s="934" t="str">
        <f t="shared" si="257"/>
        <v>OK!</v>
      </c>
      <c r="K465" s="934" t="str">
        <f t="shared" si="257"/>
        <v>OK!</v>
      </c>
      <c r="L465" s="934" t="str">
        <f t="shared" si="257"/>
        <v>OK!</v>
      </c>
      <c r="M465" s="934" t="str">
        <f t="shared" si="257"/>
        <v>OK!</v>
      </c>
      <c r="N465" s="934" t="str">
        <f t="shared" si="257"/>
        <v>OK!</v>
      </c>
      <c r="O465" s="934" t="str">
        <f t="shared" si="257"/>
        <v>OK!</v>
      </c>
      <c r="P465" s="934" t="str">
        <f t="shared" si="257"/>
        <v>OK!</v>
      </c>
      <c r="Q465" s="934" t="str">
        <f t="shared" si="257"/>
        <v>OK!</v>
      </c>
      <c r="R465" s="934" t="str">
        <f t="shared" si="257"/>
        <v>OK!</v>
      </c>
      <c r="S465" s="934" t="str">
        <f t="shared" si="258"/>
        <v>OK!</v>
      </c>
      <c r="T465" s="934" t="str">
        <f t="shared" si="258"/>
        <v>OK!</v>
      </c>
    </row>
    <row r="466" spans="1:20" x14ac:dyDescent="0.15">
      <c r="A466" s="960" t="str">
        <f>A$10</f>
        <v>Shpenzimet kapitale</v>
      </c>
      <c r="B466" s="961"/>
      <c r="C466" s="959">
        <f>C467-C464-C465</f>
        <v>0</v>
      </c>
      <c r="D466" s="962">
        <f>D467-D464-D465</f>
        <v>0</v>
      </c>
      <c r="E466" s="962">
        <f>E467-E464-E465</f>
        <v>0</v>
      </c>
      <c r="F466" s="934" t="str">
        <f t="shared" si="257"/>
        <v>OK!</v>
      </c>
      <c r="G466" s="934" t="str">
        <f t="shared" si="257"/>
        <v>OK!</v>
      </c>
      <c r="H466" s="934" t="str">
        <f t="shared" si="257"/>
        <v>OK!</v>
      </c>
      <c r="I466" s="934" t="str">
        <f t="shared" si="257"/>
        <v>OK!</v>
      </c>
      <c r="J466" s="934" t="str">
        <f t="shared" si="257"/>
        <v>OK!</v>
      </c>
      <c r="K466" s="934" t="str">
        <f t="shared" si="257"/>
        <v>OK!</v>
      </c>
      <c r="L466" s="934" t="str">
        <f t="shared" si="257"/>
        <v>OK!</v>
      </c>
      <c r="M466" s="934" t="str">
        <f t="shared" si="257"/>
        <v>OK!</v>
      </c>
      <c r="N466" s="934" t="str">
        <f t="shared" si="257"/>
        <v>OK!</v>
      </c>
      <c r="O466" s="934" t="str">
        <f t="shared" si="257"/>
        <v>OK!</v>
      </c>
      <c r="P466" s="934" t="str">
        <f t="shared" si="257"/>
        <v>OK!</v>
      </c>
      <c r="Q466" s="934" t="str">
        <f t="shared" si="257"/>
        <v>OK!</v>
      </c>
      <c r="R466" s="934" t="str">
        <f t="shared" si="257"/>
        <v>OK!</v>
      </c>
      <c r="S466" s="934" t="str">
        <f t="shared" si="258"/>
        <v>OK!</v>
      </c>
      <c r="T466" s="934" t="str">
        <f t="shared" si="258"/>
        <v>OK!</v>
      </c>
    </row>
    <row r="467" spans="1:20" x14ac:dyDescent="0.15">
      <c r="A467" s="963" t="str">
        <f>A$11</f>
        <v>Tavanet e përgjithshme</v>
      </c>
      <c r="B467" s="964"/>
      <c r="C467" s="968"/>
      <c r="D467" s="969"/>
      <c r="E467" s="969"/>
      <c r="F467" s="934" t="str">
        <f t="shared" si="257"/>
        <v>OK!</v>
      </c>
      <c r="G467" s="934" t="str">
        <f t="shared" si="257"/>
        <v>OK!</v>
      </c>
      <c r="H467" s="934" t="str">
        <f t="shared" si="257"/>
        <v>OK!</v>
      </c>
      <c r="I467" s="934" t="str">
        <f t="shared" si="257"/>
        <v>OK!</v>
      </c>
      <c r="J467" s="934" t="str">
        <f t="shared" si="257"/>
        <v>OK!</v>
      </c>
      <c r="K467" s="934" t="str">
        <f t="shared" si="257"/>
        <v>OK!</v>
      </c>
      <c r="L467" s="934" t="str">
        <f t="shared" si="257"/>
        <v>OK!</v>
      </c>
      <c r="M467" s="934" t="str">
        <f t="shared" si="257"/>
        <v>OK!</v>
      </c>
      <c r="N467" s="934" t="str">
        <f t="shared" si="257"/>
        <v>OK!</v>
      </c>
      <c r="O467" s="934" t="str">
        <f t="shared" si="257"/>
        <v>OK!</v>
      </c>
      <c r="P467" s="934" t="str">
        <f t="shared" si="257"/>
        <v>OK!</v>
      </c>
      <c r="Q467" s="934" t="str">
        <f t="shared" si="257"/>
        <v>OK!</v>
      </c>
      <c r="R467" s="934" t="str">
        <f t="shared" si="257"/>
        <v>OK!</v>
      </c>
      <c r="S467" s="934" t="str">
        <f t="shared" si="258"/>
        <v>OK!</v>
      </c>
      <c r="T467" s="934" t="str">
        <f t="shared" si="258"/>
        <v>OK!</v>
      </c>
    </row>
    <row r="468" spans="1:20" x14ac:dyDescent="0.15">
      <c r="A468" s="965" t="str">
        <f>A$12</f>
        <v>Angazhimet kujtesë</v>
      </c>
      <c r="B468" s="959"/>
      <c r="C468" s="959">
        <f>'(C5) Angazhimet'!D160</f>
        <v>0</v>
      </c>
      <c r="D468" s="959">
        <f>'(C5) Angazhimet'!E160</f>
        <v>0</v>
      </c>
      <c r="E468" s="959">
        <f>'(C5) Angazhimet'!F160</f>
        <v>0</v>
      </c>
      <c r="F468" s="934" t="str">
        <f>IF(C468&gt;C467,"STOPP!","OK!")</f>
        <v>OK!</v>
      </c>
      <c r="G468" s="934" t="str">
        <f t="shared" ref="G468:R468" si="259">IF(D468&lt;0,"STOPP!","OK!")</f>
        <v>OK!</v>
      </c>
      <c r="H468" s="934" t="str">
        <f t="shared" si="259"/>
        <v>OK!</v>
      </c>
      <c r="I468" s="934" t="str">
        <f t="shared" si="259"/>
        <v>OK!</v>
      </c>
      <c r="J468" s="934" t="str">
        <f t="shared" si="259"/>
        <v>OK!</v>
      </c>
      <c r="K468" s="934" t="str">
        <f t="shared" si="259"/>
        <v>OK!</v>
      </c>
      <c r="L468" s="934" t="str">
        <f t="shared" si="259"/>
        <v>OK!</v>
      </c>
      <c r="M468" s="934" t="str">
        <f t="shared" si="259"/>
        <v>OK!</v>
      </c>
      <c r="N468" s="934" t="str">
        <f t="shared" si="259"/>
        <v>OK!</v>
      </c>
      <c r="O468" s="934" t="str">
        <f t="shared" si="259"/>
        <v>OK!</v>
      </c>
      <c r="P468" s="934" t="str">
        <f t="shared" si="259"/>
        <v>OK!</v>
      </c>
      <c r="Q468" s="934" t="str">
        <f t="shared" si="259"/>
        <v>OK!</v>
      </c>
      <c r="R468" s="934" t="str">
        <f t="shared" si="259"/>
        <v>OK!</v>
      </c>
      <c r="S468" s="934" t="str">
        <f>IF(D468&gt;D467,"STOPP!","OK!")</f>
        <v>OK!</v>
      </c>
      <c r="T468" s="934" t="str">
        <f>IF(E468&gt;E467,"STOPP!","OK!")</f>
        <v>OK!</v>
      </c>
    </row>
    <row r="469" spans="1:20" ht="22.5" hidden="1" customHeight="1" x14ac:dyDescent="0.25">
      <c r="A469" s="1082" t="str">
        <f>'(B2) Struktura Organizative'!A34</f>
        <v>Nënfunksioni 29</v>
      </c>
      <c r="B469" s="1076" t="str">
        <f>'(B2) Struktura Organizative'!B34</f>
        <v>107 Ndihma Ekonomike</v>
      </c>
      <c r="C469" s="1077"/>
      <c r="D469" s="1077"/>
      <c r="E469" s="1078"/>
      <c r="G469" s="933">
        <f>C473</f>
        <v>0</v>
      </c>
      <c r="H469" s="933">
        <f>D473</f>
        <v>0</v>
      </c>
      <c r="I469" s="933">
        <f>E473</f>
        <v>0</v>
      </c>
      <c r="J469" s="933">
        <f>C470</f>
        <v>0</v>
      </c>
      <c r="K469" s="933">
        <f>D470</f>
        <v>0</v>
      </c>
      <c r="L469" s="933">
        <f>E470</f>
        <v>0</v>
      </c>
      <c r="M469" s="933">
        <f>C471</f>
        <v>0</v>
      </c>
      <c r="N469" s="933">
        <f>D471</f>
        <v>0</v>
      </c>
      <c r="O469" s="933">
        <f>E471</f>
        <v>0</v>
      </c>
      <c r="P469" s="933">
        <f>C472</f>
        <v>0</v>
      </c>
      <c r="Q469" s="933">
        <f>D472</f>
        <v>0</v>
      </c>
      <c r="R469" s="933">
        <f>E472</f>
        <v>0</v>
      </c>
    </row>
    <row r="470" spans="1:20" ht="12.75" hidden="1" customHeight="1" x14ac:dyDescent="0.15">
      <c r="A470" s="958" t="str">
        <f>A$8</f>
        <v>Pagat dhe sigurimet shoqërore</v>
      </c>
      <c r="B470" s="958"/>
      <c r="C470" s="959">
        <f t="shared" ref="C470:E471" si="260">C476</f>
        <v>0</v>
      </c>
      <c r="D470" s="959">
        <f t="shared" si="260"/>
        <v>0</v>
      </c>
      <c r="E470" s="959">
        <f t="shared" si="260"/>
        <v>0</v>
      </c>
      <c r="F470" s="934" t="str">
        <f t="shared" ref="F470:R473" si="261">IF(C470&lt;0,"STOPP!","OK!")</f>
        <v>OK!</v>
      </c>
      <c r="G470" s="934" t="str">
        <f t="shared" si="261"/>
        <v>OK!</v>
      </c>
      <c r="H470" s="934" t="str">
        <f t="shared" si="261"/>
        <v>OK!</v>
      </c>
      <c r="I470" s="934" t="str">
        <f t="shared" si="261"/>
        <v>OK!</v>
      </c>
      <c r="J470" s="934" t="str">
        <f t="shared" si="261"/>
        <v>OK!</v>
      </c>
      <c r="K470" s="934" t="str">
        <f t="shared" si="261"/>
        <v>OK!</v>
      </c>
      <c r="L470" s="934" t="str">
        <f t="shared" si="261"/>
        <v>OK!</v>
      </c>
      <c r="M470" s="934" t="str">
        <f t="shared" si="261"/>
        <v>OK!</v>
      </c>
      <c r="N470" s="934" t="str">
        <f t="shared" si="261"/>
        <v>OK!</v>
      </c>
      <c r="O470" s="934" t="str">
        <f t="shared" si="261"/>
        <v>OK!</v>
      </c>
      <c r="P470" s="934" t="str">
        <f t="shared" si="261"/>
        <v>OK!</v>
      </c>
      <c r="Q470" s="934" t="str">
        <f t="shared" si="261"/>
        <v>OK!</v>
      </c>
      <c r="R470" s="934" t="str">
        <f t="shared" si="261"/>
        <v>OK!</v>
      </c>
      <c r="S470" s="934" t="str">
        <f t="shared" ref="S470:T473" si="262">IF(D470&lt;0,"STOPP!","OK!")</f>
        <v>OK!</v>
      </c>
      <c r="T470" s="934" t="str">
        <f t="shared" si="262"/>
        <v>OK!</v>
      </c>
    </row>
    <row r="471" spans="1:20" ht="12.75" hidden="1" customHeight="1" x14ac:dyDescent="0.15">
      <c r="A471" s="958" t="str">
        <f>A$9</f>
        <v>Të tjera shpenzime korrente</v>
      </c>
      <c r="B471" s="958"/>
      <c r="C471" s="959">
        <f t="shared" si="260"/>
        <v>0</v>
      </c>
      <c r="D471" s="959">
        <f t="shared" si="260"/>
        <v>0</v>
      </c>
      <c r="E471" s="959">
        <f t="shared" si="260"/>
        <v>0</v>
      </c>
      <c r="F471" s="934" t="str">
        <f t="shared" si="261"/>
        <v>OK!</v>
      </c>
      <c r="G471" s="934" t="str">
        <f t="shared" si="261"/>
        <v>OK!</v>
      </c>
      <c r="H471" s="934" t="str">
        <f t="shared" si="261"/>
        <v>OK!</v>
      </c>
      <c r="I471" s="934" t="str">
        <f t="shared" si="261"/>
        <v>OK!</v>
      </c>
      <c r="J471" s="934" t="str">
        <f t="shared" si="261"/>
        <v>OK!</v>
      </c>
      <c r="K471" s="934" t="str">
        <f t="shared" si="261"/>
        <v>OK!</v>
      </c>
      <c r="L471" s="934" t="str">
        <f t="shared" si="261"/>
        <v>OK!</v>
      </c>
      <c r="M471" s="934" t="str">
        <f t="shared" si="261"/>
        <v>OK!</v>
      </c>
      <c r="N471" s="934" t="str">
        <f t="shared" si="261"/>
        <v>OK!</v>
      </c>
      <c r="O471" s="934" t="str">
        <f t="shared" si="261"/>
        <v>OK!</v>
      </c>
      <c r="P471" s="934" t="str">
        <f t="shared" si="261"/>
        <v>OK!</v>
      </c>
      <c r="Q471" s="934" t="str">
        <f t="shared" si="261"/>
        <v>OK!</v>
      </c>
      <c r="R471" s="934" t="str">
        <f t="shared" si="261"/>
        <v>OK!</v>
      </c>
      <c r="S471" s="934" t="str">
        <f t="shared" si="262"/>
        <v>OK!</v>
      </c>
      <c r="T471" s="934" t="str">
        <f t="shared" si="262"/>
        <v>OK!</v>
      </c>
    </row>
    <row r="472" spans="1:20" ht="12.75" hidden="1" customHeight="1" x14ac:dyDescent="0.15">
      <c r="A472" s="960" t="str">
        <f>A$10</f>
        <v>Shpenzimet kapitale</v>
      </c>
      <c r="B472" s="961"/>
      <c r="C472" s="959">
        <f>C473-C470-C471</f>
        <v>0</v>
      </c>
      <c r="D472" s="962">
        <f>D473-D470-D471</f>
        <v>0</v>
      </c>
      <c r="E472" s="962">
        <f>E473-E470-E471</f>
        <v>0</v>
      </c>
      <c r="F472" s="934" t="str">
        <f t="shared" si="261"/>
        <v>OK!</v>
      </c>
      <c r="G472" s="934" t="str">
        <f t="shared" si="261"/>
        <v>OK!</v>
      </c>
      <c r="H472" s="934" t="str">
        <f t="shared" si="261"/>
        <v>OK!</v>
      </c>
      <c r="I472" s="934" t="str">
        <f t="shared" si="261"/>
        <v>OK!</v>
      </c>
      <c r="J472" s="934" t="str">
        <f t="shared" si="261"/>
        <v>OK!</v>
      </c>
      <c r="K472" s="934" t="str">
        <f t="shared" si="261"/>
        <v>OK!</v>
      </c>
      <c r="L472" s="934" t="str">
        <f t="shared" si="261"/>
        <v>OK!</v>
      </c>
      <c r="M472" s="934" t="str">
        <f t="shared" si="261"/>
        <v>OK!</v>
      </c>
      <c r="N472" s="934" t="str">
        <f t="shared" si="261"/>
        <v>OK!</v>
      </c>
      <c r="O472" s="934" t="str">
        <f t="shared" si="261"/>
        <v>OK!</v>
      </c>
      <c r="P472" s="934" t="str">
        <f t="shared" si="261"/>
        <v>OK!</v>
      </c>
      <c r="Q472" s="934" t="str">
        <f t="shared" si="261"/>
        <v>OK!</v>
      </c>
      <c r="R472" s="934" t="str">
        <f t="shared" si="261"/>
        <v>OK!</v>
      </c>
      <c r="S472" s="934" t="str">
        <f t="shared" si="262"/>
        <v>OK!</v>
      </c>
      <c r="T472" s="934" t="str">
        <f t="shared" si="262"/>
        <v>OK!</v>
      </c>
    </row>
    <row r="473" spans="1:20" ht="12.75" hidden="1" customHeight="1" x14ac:dyDescent="0.15">
      <c r="A473" s="963" t="str">
        <f>A$11</f>
        <v>Tavanet e përgjithshme</v>
      </c>
      <c r="B473" s="964"/>
      <c r="C473" s="959">
        <f>C479</f>
        <v>0</v>
      </c>
      <c r="D473" s="959">
        <f>D479</f>
        <v>0</v>
      </c>
      <c r="E473" s="959">
        <f>E479</f>
        <v>0</v>
      </c>
      <c r="F473" s="934" t="str">
        <f t="shared" si="261"/>
        <v>OK!</v>
      </c>
      <c r="G473" s="934" t="str">
        <f t="shared" si="261"/>
        <v>OK!</v>
      </c>
      <c r="H473" s="934" t="str">
        <f t="shared" si="261"/>
        <v>OK!</v>
      </c>
      <c r="I473" s="934" t="str">
        <f t="shared" si="261"/>
        <v>OK!</v>
      </c>
      <c r="J473" s="934" t="str">
        <f t="shared" si="261"/>
        <v>OK!</v>
      </c>
      <c r="K473" s="934" t="str">
        <f t="shared" si="261"/>
        <v>OK!</v>
      </c>
      <c r="L473" s="934" t="str">
        <f t="shared" si="261"/>
        <v>OK!</v>
      </c>
      <c r="M473" s="934" t="str">
        <f t="shared" si="261"/>
        <v>OK!</v>
      </c>
      <c r="N473" s="934" t="str">
        <f t="shared" si="261"/>
        <v>OK!</v>
      </c>
      <c r="O473" s="934" t="str">
        <f t="shared" si="261"/>
        <v>OK!</v>
      </c>
      <c r="P473" s="934" t="str">
        <f t="shared" si="261"/>
        <v>OK!</v>
      </c>
      <c r="Q473" s="934" t="str">
        <f t="shared" si="261"/>
        <v>OK!</v>
      </c>
      <c r="R473" s="934" t="str">
        <f t="shared" si="261"/>
        <v>OK!</v>
      </c>
      <c r="S473" s="934" t="str">
        <f t="shared" si="262"/>
        <v>OK!</v>
      </c>
      <c r="T473" s="934" t="str">
        <f t="shared" si="262"/>
        <v>OK!</v>
      </c>
    </row>
    <row r="474" spans="1:20" ht="12.75" hidden="1" customHeight="1" x14ac:dyDescent="0.15">
      <c r="A474" s="965" t="str">
        <f>A$12</f>
        <v>Angazhimet kujtesë</v>
      </c>
      <c r="B474" s="959"/>
      <c r="C474" s="959">
        <f>'(C5) Angazhimet'!D168</f>
        <v>0</v>
      </c>
      <c r="D474" s="962">
        <f>'(C5) Angazhimet'!E168</f>
        <v>0</v>
      </c>
      <c r="E474" s="962">
        <f>'(C5) Angazhimet'!F168</f>
        <v>0</v>
      </c>
      <c r="F474" s="934" t="str">
        <f>IF(C474&gt;C473,"STOPP!","OK!")</f>
        <v>OK!</v>
      </c>
      <c r="G474" s="934" t="str">
        <f t="shared" ref="G474:R474" si="263">IF(D474&lt;0,"STOPP!","OK!")</f>
        <v>OK!</v>
      </c>
      <c r="H474" s="934" t="str">
        <f t="shared" si="263"/>
        <v>OK!</v>
      </c>
      <c r="I474" s="934" t="str">
        <f t="shared" si="263"/>
        <v>OK!</v>
      </c>
      <c r="J474" s="934" t="str">
        <f t="shared" si="263"/>
        <v>OK!</v>
      </c>
      <c r="K474" s="934" t="str">
        <f t="shared" si="263"/>
        <v>OK!</v>
      </c>
      <c r="L474" s="934" t="str">
        <f t="shared" si="263"/>
        <v>OK!</v>
      </c>
      <c r="M474" s="934" t="str">
        <f t="shared" si="263"/>
        <v>OK!</v>
      </c>
      <c r="N474" s="934" t="str">
        <f t="shared" si="263"/>
        <v>OK!</v>
      </c>
      <c r="O474" s="934" t="str">
        <f t="shared" si="263"/>
        <v>OK!</v>
      </c>
      <c r="P474" s="934" t="str">
        <f t="shared" si="263"/>
        <v>OK!</v>
      </c>
      <c r="Q474" s="934" t="str">
        <f t="shared" si="263"/>
        <v>OK!</v>
      </c>
      <c r="R474" s="934" t="str">
        <f t="shared" si="263"/>
        <v>OK!</v>
      </c>
      <c r="S474" s="934" t="str">
        <f>IF(D474&gt;D473,"STOPP!","OK!")</f>
        <v>OK!</v>
      </c>
      <c r="T474" s="934" t="str">
        <f>IF(E474&gt;E473,"STOPP!","OK!")</f>
        <v>OK!</v>
      </c>
    </row>
    <row r="475" spans="1:20" ht="15.75" hidden="1" customHeight="1" x14ac:dyDescent="0.15">
      <c r="A475" s="1089" t="str">
        <f>'(B3) Struktura Funksionale'!B144</f>
        <v>10770</v>
      </c>
      <c r="B475" s="1079" t="str">
        <f>'(B3) Struktura Funksionale'!C144</f>
        <v>Ndihma Ekonomike</v>
      </c>
      <c r="C475" s="1080"/>
      <c r="D475" s="1080"/>
      <c r="E475" s="1081"/>
      <c r="F475" s="934"/>
      <c r="G475" s="934"/>
      <c r="H475" s="934"/>
      <c r="I475" s="934"/>
      <c r="J475" s="934"/>
      <c r="K475" s="934"/>
      <c r="L475" s="934"/>
      <c r="M475" s="934"/>
      <c r="N475" s="934"/>
      <c r="O475" s="934"/>
      <c r="P475" s="934"/>
      <c r="Q475" s="934"/>
      <c r="R475" s="934"/>
      <c r="S475" s="934"/>
      <c r="T475" s="934"/>
    </row>
    <row r="476" spans="1:20" ht="12.75" hidden="1" customHeight="1" x14ac:dyDescent="0.15">
      <c r="A476" s="958" t="str">
        <f>A$8</f>
        <v>Pagat dhe sigurimet shoqërore</v>
      </c>
      <c r="B476" s="958"/>
      <c r="C476" s="966"/>
      <c r="D476" s="966"/>
      <c r="E476" s="966"/>
      <c r="F476" s="934" t="str">
        <f t="shared" ref="F476:R479" si="264">IF(C476&lt;0,"STOPP!","OK!")</f>
        <v>OK!</v>
      </c>
      <c r="G476" s="934" t="str">
        <f t="shared" si="264"/>
        <v>OK!</v>
      </c>
      <c r="H476" s="934" t="str">
        <f t="shared" si="264"/>
        <v>OK!</v>
      </c>
      <c r="I476" s="934" t="str">
        <f t="shared" si="264"/>
        <v>OK!</v>
      </c>
      <c r="J476" s="934" t="str">
        <f t="shared" si="264"/>
        <v>OK!</v>
      </c>
      <c r="K476" s="934" t="str">
        <f t="shared" si="264"/>
        <v>OK!</v>
      </c>
      <c r="L476" s="934" t="str">
        <f t="shared" si="264"/>
        <v>OK!</v>
      </c>
      <c r="M476" s="934" t="str">
        <f t="shared" si="264"/>
        <v>OK!</v>
      </c>
      <c r="N476" s="934" t="str">
        <f t="shared" si="264"/>
        <v>OK!</v>
      </c>
      <c r="O476" s="934" t="str">
        <f t="shared" si="264"/>
        <v>OK!</v>
      </c>
      <c r="P476" s="934" t="str">
        <f t="shared" si="264"/>
        <v>OK!</v>
      </c>
      <c r="Q476" s="934" t="str">
        <f t="shared" si="264"/>
        <v>OK!</v>
      </c>
      <c r="R476" s="934" t="str">
        <f t="shared" si="264"/>
        <v>OK!</v>
      </c>
      <c r="S476" s="934" t="str">
        <f t="shared" ref="S476:T479" si="265">IF(D476&lt;0,"STOPP!","OK!")</f>
        <v>OK!</v>
      </c>
      <c r="T476" s="934" t="str">
        <f t="shared" si="265"/>
        <v>OK!</v>
      </c>
    </row>
    <row r="477" spans="1:20" ht="12.75" hidden="1" customHeight="1" x14ac:dyDescent="0.15">
      <c r="A477" s="958" t="str">
        <f>A$9</f>
        <v>Të tjera shpenzime korrente</v>
      </c>
      <c r="B477" s="958"/>
      <c r="C477" s="967"/>
      <c r="D477" s="967"/>
      <c r="E477" s="967"/>
      <c r="F477" s="934" t="str">
        <f t="shared" si="264"/>
        <v>OK!</v>
      </c>
      <c r="G477" s="934" t="str">
        <f t="shared" si="264"/>
        <v>OK!</v>
      </c>
      <c r="H477" s="934" t="str">
        <f t="shared" si="264"/>
        <v>OK!</v>
      </c>
      <c r="I477" s="934" t="str">
        <f t="shared" si="264"/>
        <v>OK!</v>
      </c>
      <c r="J477" s="934" t="str">
        <f t="shared" si="264"/>
        <v>OK!</v>
      </c>
      <c r="K477" s="934" t="str">
        <f t="shared" si="264"/>
        <v>OK!</v>
      </c>
      <c r="L477" s="934" t="str">
        <f t="shared" si="264"/>
        <v>OK!</v>
      </c>
      <c r="M477" s="934" t="str">
        <f t="shared" si="264"/>
        <v>OK!</v>
      </c>
      <c r="N477" s="934" t="str">
        <f t="shared" si="264"/>
        <v>OK!</v>
      </c>
      <c r="O477" s="934" t="str">
        <f t="shared" si="264"/>
        <v>OK!</v>
      </c>
      <c r="P477" s="934" t="str">
        <f t="shared" si="264"/>
        <v>OK!</v>
      </c>
      <c r="Q477" s="934" t="str">
        <f t="shared" si="264"/>
        <v>OK!</v>
      </c>
      <c r="R477" s="934" t="str">
        <f t="shared" si="264"/>
        <v>OK!</v>
      </c>
      <c r="S477" s="934" t="str">
        <f t="shared" si="265"/>
        <v>OK!</v>
      </c>
      <c r="T477" s="934" t="str">
        <f t="shared" si="265"/>
        <v>OK!</v>
      </c>
    </row>
    <row r="478" spans="1:20" ht="12.75" hidden="1" customHeight="1" x14ac:dyDescent="0.15">
      <c r="A478" s="960" t="str">
        <f>A$10</f>
        <v>Shpenzimet kapitale</v>
      </c>
      <c r="B478" s="961"/>
      <c r="C478" s="959">
        <f>C479-C476-C477</f>
        <v>0</v>
      </c>
      <c r="D478" s="962">
        <f>D479-D476-D477</f>
        <v>0</v>
      </c>
      <c r="E478" s="962">
        <f>E479-E476-E477</f>
        <v>0</v>
      </c>
      <c r="F478" s="934" t="str">
        <f t="shared" si="264"/>
        <v>OK!</v>
      </c>
      <c r="G478" s="934" t="str">
        <f t="shared" si="264"/>
        <v>OK!</v>
      </c>
      <c r="H478" s="934" t="str">
        <f t="shared" si="264"/>
        <v>OK!</v>
      </c>
      <c r="I478" s="934" t="str">
        <f t="shared" si="264"/>
        <v>OK!</v>
      </c>
      <c r="J478" s="934" t="str">
        <f t="shared" si="264"/>
        <v>OK!</v>
      </c>
      <c r="K478" s="934" t="str">
        <f t="shared" si="264"/>
        <v>OK!</v>
      </c>
      <c r="L478" s="934" t="str">
        <f t="shared" si="264"/>
        <v>OK!</v>
      </c>
      <c r="M478" s="934" t="str">
        <f t="shared" si="264"/>
        <v>OK!</v>
      </c>
      <c r="N478" s="934" t="str">
        <f t="shared" si="264"/>
        <v>OK!</v>
      </c>
      <c r="O478" s="934" t="str">
        <f t="shared" si="264"/>
        <v>OK!</v>
      </c>
      <c r="P478" s="934" t="str">
        <f t="shared" si="264"/>
        <v>OK!</v>
      </c>
      <c r="Q478" s="934" t="str">
        <f t="shared" si="264"/>
        <v>OK!</v>
      </c>
      <c r="R478" s="934" t="str">
        <f t="shared" si="264"/>
        <v>OK!</v>
      </c>
      <c r="S478" s="934" t="str">
        <f t="shared" si="265"/>
        <v>OK!</v>
      </c>
      <c r="T478" s="934" t="str">
        <f t="shared" si="265"/>
        <v>OK!</v>
      </c>
    </row>
    <row r="479" spans="1:20" ht="12.75" hidden="1" customHeight="1" x14ac:dyDescent="0.15">
      <c r="A479" s="963" t="str">
        <f>A$11</f>
        <v>Tavanet e përgjithshme</v>
      </c>
      <c r="B479" s="964"/>
      <c r="C479" s="968"/>
      <c r="D479" s="969"/>
      <c r="E479" s="969"/>
      <c r="F479" s="934" t="str">
        <f t="shared" si="264"/>
        <v>OK!</v>
      </c>
      <c r="G479" s="934" t="str">
        <f t="shared" si="264"/>
        <v>OK!</v>
      </c>
      <c r="H479" s="934" t="str">
        <f t="shared" si="264"/>
        <v>OK!</v>
      </c>
      <c r="I479" s="934" t="str">
        <f t="shared" si="264"/>
        <v>OK!</v>
      </c>
      <c r="J479" s="934" t="str">
        <f t="shared" si="264"/>
        <v>OK!</v>
      </c>
      <c r="K479" s="934" t="str">
        <f t="shared" si="264"/>
        <v>OK!</v>
      </c>
      <c r="L479" s="934" t="str">
        <f t="shared" si="264"/>
        <v>OK!</v>
      </c>
      <c r="M479" s="934" t="str">
        <f t="shared" si="264"/>
        <v>OK!</v>
      </c>
      <c r="N479" s="934" t="str">
        <f t="shared" si="264"/>
        <v>OK!</v>
      </c>
      <c r="O479" s="934" t="str">
        <f t="shared" si="264"/>
        <v>OK!</v>
      </c>
      <c r="P479" s="934" t="str">
        <f t="shared" si="264"/>
        <v>OK!</v>
      </c>
      <c r="Q479" s="934" t="str">
        <f t="shared" si="264"/>
        <v>OK!</v>
      </c>
      <c r="R479" s="934" t="str">
        <f t="shared" si="264"/>
        <v>OK!</v>
      </c>
      <c r="S479" s="934" t="str">
        <f t="shared" si="265"/>
        <v>OK!</v>
      </c>
      <c r="T479" s="934" t="str">
        <f t="shared" si="265"/>
        <v>OK!</v>
      </c>
    </row>
    <row r="480" spans="1:20" ht="12.75" hidden="1" customHeight="1" x14ac:dyDescent="0.15">
      <c r="A480" s="965" t="str">
        <f>A$12</f>
        <v>Angazhimet kujtesë</v>
      </c>
      <c r="B480" s="959"/>
      <c r="C480" s="959">
        <f>'(C5) Angazhimet'!D165</f>
        <v>0</v>
      </c>
      <c r="D480" s="959">
        <f>'(C5) Angazhimet'!E165</f>
        <v>0</v>
      </c>
      <c r="E480" s="959">
        <f>'(C5) Angazhimet'!F165</f>
        <v>0</v>
      </c>
      <c r="F480" s="934" t="str">
        <f>IF(C480&gt;C479,"STOPP!","OK!")</f>
        <v>OK!</v>
      </c>
      <c r="G480" s="934" t="str">
        <f t="shared" ref="G480:R480" si="266">IF(D480&lt;0,"STOPP!","OK!")</f>
        <v>OK!</v>
      </c>
      <c r="H480" s="934" t="str">
        <f t="shared" si="266"/>
        <v>OK!</v>
      </c>
      <c r="I480" s="934" t="str">
        <f t="shared" si="266"/>
        <v>OK!</v>
      </c>
      <c r="J480" s="934" t="str">
        <f t="shared" si="266"/>
        <v>OK!</v>
      </c>
      <c r="K480" s="934" t="str">
        <f t="shared" si="266"/>
        <v>OK!</v>
      </c>
      <c r="L480" s="934" t="str">
        <f t="shared" si="266"/>
        <v>OK!</v>
      </c>
      <c r="M480" s="934" t="str">
        <f t="shared" si="266"/>
        <v>OK!</v>
      </c>
      <c r="N480" s="934" t="str">
        <f t="shared" si="266"/>
        <v>OK!</v>
      </c>
      <c r="O480" s="934" t="str">
        <f t="shared" si="266"/>
        <v>OK!</v>
      </c>
      <c r="P480" s="934" t="str">
        <f t="shared" si="266"/>
        <v>OK!</v>
      </c>
      <c r="Q480" s="934" t="str">
        <f t="shared" si="266"/>
        <v>OK!</v>
      </c>
      <c r="R480" s="934" t="str">
        <f t="shared" si="266"/>
        <v>OK!</v>
      </c>
      <c r="S480" s="934" t="str">
        <f>IF(D480&gt;D479,"STOPP!","OK!")</f>
        <v>OK!</v>
      </c>
      <c r="T480" s="934" t="str">
        <f>IF(E480&gt;E479,"STOPP!","OK!")</f>
        <v>OK!</v>
      </c>
    </row>
    <row r="481" spans="1:24" ht="14.25" customHeight="1" x14ac:dyDescent="0.25">
      <c r="A481" s="1082"/>
      <c r="B481" s="1074"/>
      <c r="C481" s="1074"/>
      <c r="D481" s="1074"/>
      <c r="E481" s="1075"/>
      <c r="G481" s="933"/>
      <c r="H481" s="933"/>
      <c r="I481" s="933"/>
      <c r="J481" s="933"/>
      <c r="K481" s="933"/>
      <c r="L481" s="933"/>
      <c r="M481" s="933"/>
      <c r="N481" s="933"/>
      <c r="O481" s="933"/>
      <c r="P481" s="933"/>
      <c r="Q481" s="933"/>
      <c r="R481" s="933"/>
    </row>
    <row r="482" spans="1:24" x14ac:dyDescent="0.25">
      <c r="A482" s="978" t="str">
        <f>'(G1) Fjalori'!A742</f>
        <v>TOTALI PAGAVE DHE SIGURIMEVE SHOQËRORE</v>
      </c>
      <c r="B482" s="978"/>
      <c r="C482" s="978">
        <f t="shared" ref="C482:E485" si="267">C8+C32+C56+C68+C80+C92+C122+C146+C170+C188+C200+C212+C224+C242+C260+C278+C290+C302+C314+C332+C356+C470+C368+C392+C404+C416+C428+C446+C458</f>
        <v>513772002</v>
      </c>
      <c r="D482" s="978">
        <f t="shared" si="267"/>
        <v>526504214</v>
      </c>
      <c r="E482" s="978">
        <f t="shared" si="267"/>
        <v>539464177</v>
      </c>
    </row>
    <row r="483" spans="1:24" x14ac:dyDescent="0.25">
      <c r="A483" s="978" t="str">
        <f>'(G1) Fjalori'!A743</f>
        <v>TOTALI I SHPENZIMEVE TË TJERA KORRENTE</v>
      </c>
      <c r="B483" s="978"/>
      <c r="C483" s="978">
        <f t="shared" si="267"/>
        <v>1377355658</v>
      </c>
      <c r="D483" s="978">
        <f t="shared" si="267"/>
        <v>1383867996</v>
      </c>
      <c r="E483" s="978">
        <f t="shared" si="267"/>
        <v>1400202873</v>
      </c>
    </row>
    <row r="484" spans="1:24" x14ac:dyDescent="0.25">
      <c r="A484" s="978" t="str">
        <f>'(G1) Fjalori'!A744</f>
        <v>TOTALI I SHPENZIMEVE KAPITALE</v>
      </c>
      <c r="B484" s="978"/>
      <c r="C484" s="978">
        <f t="shared" si="267"/>
        <v>270280988</v>
      </c>
      <c r="D484" s="978">
        <f t="shared" si="267"/>
        <v>209417260</v>
      </c>
      <c r="E484" s="978">
        <f t="shared" si="267"/>
        <v>209773423</v>
      </c>
    </row>
    <row r="485" spans="1:24" x14ac:dyDescent="0.15">
      <c r="A485" s="979" t="str">
        <f>'(G1) Fjalori'!A745</f>
        <v>TOTALI I TAVANEVE TË PËRGJITHSHME</v>
      </c>
      <c r="B485" s="979"/>
      <c r="C485" s="980">
        <f>C11+C35+C59+C71+C83+C95+C125+C149+C173+C191+C203+C215+C227+C245+C263+C281+C293+C305+C317+C335+C359+C473+C371+C395+C407+C419+C431+C449+C461</f>
        <v>2161408648</v>
      </c>
      <c r="D485" s="980">
        <f>D11+D35+D59+D71+D83+D95+D125+D149+D173+D191+D203+D215+D227+D245+D263+D281+D293+D305+D317+D335+D359+D473+D371+D395+D407+D419+D431+D449+D461</f>
        <v>2119789470</v>
      </c>
      <c r="E485" s="980">
        <f t="shared" si="267"/>
        <v>2149440473</v>
      </c>
      <c r="F485" s="934" t="str">
        <f>IF(C485&gt;C487,"STOPP!","OK!")</f>
        <v>OK!</v>
      </c>
      <c r="G485" s="934" t="str">
        <f t="shared" ref="G485:R485" si="268">IF(D485&lt;0,"STOPP!","OK!")</f>
        <v>OK!</v>
      </c>
      <c r="H485" s="934" t="str">
        <f t="shared" si="268"/>
        <v>OK!</v>
      </c>
      <c r="I485" s="934" t="str">
        <f t="shared" si="268"/>
        <v>OK!</v>
      </c>
      <c r="J485" s="934" t="str">
        <f t="shared" si="268"/>
        <v>OK!</v>
      </c>
      <c r="K485" s="934" t="str">
        <f t="shared" si="268"/>
        <v>OK!</v>
      </c>
      <c r="L485" s="934" t="str">
        <f t="shared" si="268"/>
        <v>OK!</v>
      </c>
      <c r="M485" s="934" t="str">
        <f t="shared" si="268"/>
        <v>OK!</v>
      </c>
      <c r="N485" s="934" t="str">
        <f t="shared" si="268"/>
        <v>OK!</v>
      </c>
      <c r="O485" s="934" t="str">
        <f t="shared" si="268"/>
        <v>OK!</v>
      </c>
      <c r="P485" s="934" t="str">
        <f t="shared" si="268"/>
        <v>OK!</v>
      </c>
      <c r="Q485" s="934" t="str">
        <f t="shared" si="268"/>
        <v>OK!</v>
      </c>
      <c r="R485" s="934" t="str">
        <f t="shared" si="268"/>
        <v>OK!</v>
      </c>
      <c r="S485" s="934" t="str">
        <f>IF(D485&gt;D487,"STOPP!","OK!")</f>
        <v>OK!</v>
      </c>
      <c r="T485" s="934" t="str">
        <f>IF(E485&gt;E487,"STOPP!","OK!")</f>
        <v>OK!</v>
      </c>
    </row>
    <row r="486" spans="1:24" s="930" customFormat="1" x14ac:dyDescent="0.25">
      <c r="A486" s="929"/>
      <c r="F486" s="929"/>
    </row>
    <row r="487" spans="1:24" x14ac:dyDescent="0.25">
      <c r="A487" s="980" t="str">
        <f>'(G1) Fjalori'!A752</f>
        <v>MAKSIMUMI I TAVANIT</v>
      </c>
      <c r="B487" s="978"/>
      <c r="C487" s="980">
        <f>'(E1) Vlerësimi i burimeve'!O104-'(D1) Tavanet buxhetore'!C494</f>
        <v>2162652032.5413203</v>
      </c>
      <c r="D487" s="980">
        <f>'(E1) Vlerësimi i burimeve'!X104-'(D1) Tavanet buxhetore'!D494</f>
        <v>2119789470.0931144</v>
      </c>
      <c r="E487" s="980">
        <f>'(E1) Vlerësimi i burimeve'!AG104-'(D1) Tavanet buxhetore'!E494</f>
        <v>2149440481.1726055</v>
      </c>
    </row>
    <row r="488" spans="1:24" s="930" customFormat="1" x14ac:dyDescent="0.25">
      <c r="A488" s="929"/>
      <c r="F488" s="929"/>
    </row>
    <row r="489" spans="1:24" x14ac:dyDescent="0.25">
      <c r="A489" s="970" t="str">
        <f>'(G1) Fjalori'!A746</f>
        <v>FONDI REZERVE NË PËRQINDJE (%)</v>
      </c>
      <c r="B489" s="981"/>
      <c r="C489" s="982">
        <v>8.9999999999999993E-3</v>
      </c>
      <c r="D489" s="982">
        <v>9.2999999999999992E-3</v>
      </c>
      <c r="E489" s="982">
        <v>9.4000000000000004E-3</v>
      </c>
      <c r="U489" s="933"/>
      <c r="V489" s="933"/>
      <c r="W489" s="933"/>
    </row>
    <row r="490" spans="1:24" x14ac:dyDescent="0.25">
      <c r="A490" s="970" t="str">
        <f>'(G1) Fjalori'!A747</f>
        <v>FONDI REZERVE: 04910</v>
      </c>
      <c r="B490" s="972"/>
      <c r="C490" s="972">
        <f>C489*('(E1) Vlerësimi i burimeve'!O104-'(E1) Vlerësimi i burimeve'!O94)</f>
        <v>11181360.274200002</v>
      </c>
      <c r="D490" s="978">
        <f>D489*('(E1) Vlerësimi i burimeve'!X104-'(E1) Vlerësimi i burimeve'!X94)</f>
        <v>11150189.3298111</v>
      </c>
      <c r="E490" s="978">
        <f>E489*('(E1) Vlerësimi i burimeve'!AG104-'(E1) Vlerësimi i burimeve'!AG94)</f>
        <v>11550525.303886577</v>
      </c>
      <c r="V490" s="933"/>
      <c r="W490" s="933"/>
      <c r="X490" s="933"/>
    </row>
    <row r="491" spans="1:24" x14ac:dyDescent="0.25">
      <c r="A491" s="970" t="str">
        <f>'(G1) Fjalori'!A748</f>
        <v>FONDI KONTINGJENCËS NË PËRQINDJE (%)</v>
      </c>
      <c r="B491" s="972"/>
      <c r="C491" s="982">
        <v>1.01E-2</v>
      </c>
      <c r="D491" s="982">
        <v>1.0019999999999999E-2</v>
      </c>
      <c r="E491" s="982">
        <v>9.5999999999999992E-3</v>
      </c>
    </row>
    <row r="492" spans="1:24" x14ac:dyDescent="0.25">
      <c r="A492" s="970" t="str">
        <f>'(G1) Fjalori'!A749</f>
        <v>FONDI KONTINGJENCËS: 04940</v>
      </c>
      <c r="B492" s="972"/>
      <c r="C492" s="978">
        <f>C491*('(E1) Vlerësimi i burimeve'!O104-'(E1) Vlerësimi i burimeve'!O94)</f>
        <v>12547970.974380001</v>
      </c>
      <c r="D492" s="978">
        <f>D491*('(E1) Vlerësimi i burimeve'!X104-'(E1) Vlerësimi i burimeve'!X94)</f>
        <v>12013429.79405454</v>
      </c>
      <c r="E492" s="978">
        <f>E491*('(E1) Vlerësimi i burimeve'!AG104-'(E1) Vlerësimi i burimeve'!AG94)</f>
        <v>11796281.161416078</v>
      </c>
    </row>
    <row r="493" spans="1:24" x14ac:dyDescent="0.15">
      <c r="A493" s="963" t="str">
        <f>'(G1) Fjalori'!A750</f>
        <v>TOTALI FONDEVE NË PËRQINDJE (%)</v>
      </c>
      <c r="B493" s="972"/>
      <c r="C493" s="983">
        <f>C489+C491</f>
        <v>1.9099999999999999E-2</v>
      </c>
      <c r="D493" s="983">
        <f>D489+D491</f>
        <v>1.9319999999999997E-2</v>
      </c>
      <c r="E493" s="983">
        <f>E489+E491</f>
        <v>1.9E-2</v>
      </c>
      <c r="F493" s="934" t="str">
        <f>IF(C493&gt;3%,"STOPP!","OK!")</f>
        <v>OK!</v>
      </c>
      <c r="G493" s="934" t="str">
        <f t="shared" ref="G493:R493" si="269">IF(D493&gt;3%,"STOPP!","OK!")</f>
        <v>OK!</v>
      </c>
      <c r="H493" s="934" t="str">
        <f t="shared" si="269"/>
        <v>OK!</v>
      </c>
      <c r="I493" s="934" t="str">
        <f t="shared" si="269"/>
        <v>STOPP!</v>
      </c>
      <c r="J493" s="934" t="str">
        <f t="shared" si="269"/>
        <v>STOPP!</v>
      </c>
      <c r="K493" s="934" t="str">
        <f t="shared" si="269"/>
        <v>STOPP!</v>
      </c>
      <c r="L493" s="934" t="str">
        <f t="shared" si="269"/>
        <v>STOPP!</v>
      </c>
      <c r="M493" s="934" t="str">
        <f t="shared" si="269"/>
        <v>STOPP!</v>
      </c>
      <c r="N493" s="934" t="str">
        <f t="shared" si="269"/>
        <v>STOPP!</v>
      </c>
      <c r="O493" s="934" t="str">
        <f t="shared" si="269"/>
        <v>STOPP!</v>
      </c>
      <c r="P493" s="934" t="str">
        <f t="shared" si="269"/>
        <v>STOPP!</v>
      </c>
      <c r="Q493" s="934" t="str">
        <f t="shared" si="269"/>
        <v>STOPP!</v>
      </c>
      <c r="R493" s="934" t="str">
        <f t="shared" si="269"/>
        <v>STOPP!</v>
      </c>
      <c r="S493" s="934" t="str">
        <f>IF(D493&gt;3%,"STOPP!","OK!")</f>
        <v>OK!</v>
      </c>
      <c r="T493" s="934" t="str">
        <f>IF(E493&gt;3%,"STOPP!","OK!")</f>
        <v>OK!</v>
      </c>
      <c r="W493" s="933"/>
    </row>
    <row r="494" spans="1:24" s="936" customFormat="1" x14ac:dyDescent="0.25">
      <c r="A494" s="963" t="str">
        <f>'(G1) Fjalori'!A751</f>
        <v>TOTALI I FONDEVE REZERVE + KONTIGJENCË</v>
      </c>
      <c r="B494" s="964"/>
      <c r="C494" s="980">
        <f>SUM(C490:C492)</f>
        <v>23729331.258680001</v>
      </c>
      <c r="D494" s="980">
        <f>SUM(D490:D492)</f>
        <v>23163619.133885641</v>
      </c>
      <c r="E494" s="980">
        <f>SUM(E490:E492)</f>
        <v>23346806.474902656</v>
      </c>
    </row>
    <row r="495" spans="1:24" ht="12.75" hidden="1" customHeight="1" outlineLevel="1" x14ac:dyDescent="0.25"/>
    <row r="496" spans="1:24" s="939" customFormat="1" ht="68.25" hidden="1" customHeight="1" outlineLevel="1" x14ac:dyDescent="0.25">
      <c r="A496" s="938"/>
      <c r="B496" s="938"/>
      <c r="C496" s="938" t="s">
        <v>29</v>
      </c>
      <c r="D496" s="938" t="s">
        <v>27</v>
      </c>
      <c r="E496" s="938" t="s">
        <v>28</v>
      </c>
    </row>
    <row r="497" spans="1:5" ht="12.75" hidden="1" customHeight="1" outlineLevel="1" x14ac:dyDescent="0.25">
      <c r="A497" s="940"/>
      <c r="B497" s="940"/>
      <c r="C497" s="941" t="e">
        <f>'(B1)Informacion i përgjithshëm '!#REF!</f>
        <v>#REF!</v>
      </c>
      <c r="D497" s="942" t="s">
        <v>6</v>
      </c>
      <c r="E497" s="942" t="s">
        <v>26</v>
      </c>
    </row>
    <row r="498" spans="1:5" ht="12.75" hidden="1" customHeight="1" outlineLevel="1" x14ac:dyDescent="0.25">
      <c r="A498" s="943"/>
      <c r="B498" s="943"/>
      <c r="C498" s="944" t="e">
        <f>'(B1)Informacion i përgjithshëm '!#REF!</f>
        <v>#REF!</v>
      </c>
      <c r="D498" s="945" t="s">
        <v>7</v>
      </c>
      <c r="E498" s="945" t="s">
        <v>4</v>
      </c>
    </row>
    <row r="499" spans="1:5" ht="12.75" hidden="1" customHeight="1" outlineLevel="1" x14ac:dyDescent="0.25">
      <c r="A499" s="943"/>
      <c r="B499" s="943"/>
      <c r="C499" s="943"/>
      <c r="D499" s="945" t="s">
        <v>8</v>
      </c>
      <c r="E499" s="945" t="s">
        <v>5</v>
      </c>
    </row>
    <row r="500" spans="1:5" ht="12.75" hidden="1" customHeight="1" outlineLevel="1" x14ac:dyDescent="0.25">
      <c r="A500" s="943"/>
      <c r="B500" s="943"/>
      <c r="C500" s="943"/>
      <c r="D500" s="945" t="s">
        <v>9</v>
      </c>
      <c r="E500" s="945"/>
    </row>
    <row r="501" spans="1:5" ht="12.75" hidden="1" customHeight="1" outlineLevel="1" x14ac:dyDescent="0.25">
      <c r="A501" s="943"/>
      <c r="B501" s="943"/>
      <c r="C501" s="943"/>
      <c r="D501" s="945" t="s">
        <v>10</v>
      </c>
      <c r="E501" s="945"/>
    </row>
    <row r="502" spans="1:5" ht="12.75" hidden="1" customHeight="1" outlineLevel="1" x14ac:dyDescent="0.25">
      <c r="A502" s="943"/>
      <c r="B502" s="943"/>
      <c r="C502" s="943"/>
      <c r="D502" s="945" t="s">
        <v>11</v>
      </c>
      <c r="E502" s="945"/>
    </row>
    <row r="503" spans="1:5" ht="12.75" hidden="1" customHeight="1" outlineLevel="1" x14ac:dyDescent="0.25">
      <c r="A503" s="943"/>
      <c r="B503" s="943"/>
      <c r="C503" s="943"/>
      <c r="D503" s="945" t="s">
        <v>12</v>
      </c>
      <c r="E503" s="945"/>
    </row>
    <row r="504" spans="1:5" ht="12.75" hidden="1" customHeight="1" outlineLevel="1" x14ac:dyDescent="0.25">
      <c r="A504" s="943"/>
      <c r="B504" s="943"/>
      <c r="C504" s="943"/>
      <c r="D504" s="945" t="s">
        <v>13</v>
      </c>
      <c r="E504" s="945"/>
    </row>
    <row r="505" spans="1:5" ht="12.75" hidden="1" customHeight="1" outlineLevel="1" x14ac:dyDescent="0.25">
      <c r="A505" s="943"/>
      <c r="B505" s="943"/>
      <c r="C505" s="943"/>
      <c r="D505" s="945" t="s">
        <v>14</v>
      </c>
      <c r="E505" s="945"/>
    </row>
    <row r="506" spans="1:5" ht="12.75" hidden="1" customHeight="1" outlineLevel="1" x14ac:dyDescent="0.25">
      <c r="A506" s="943"/>
      <c r="B506" s="943"/>
      <c r="C506" s="943"/>
      <c r="D506" s="945" t="s">
        <v>15</v>
      </c>
      <c r="E506" s="945"/>
    </row>
    <row r="507" spans="1:5" ht="12.75" hidden="1" customHeight="1" outlineLevel="1" x14ac:dyDescent="0.25">
      <c r="A507" s="943"/>
      <c r="B507" s="943"/>
      <c r="C507" s="943"/>
      <c r="D507" s="945" t="s">
        <v>16</v>
      </c>
      <c r="E507" s="945"/>
    </row>
    <row r="508" spans="1:5" ht="12.75" hidden="1" customHeight="1" outlineLevel="1" x14ac:dyDescent="0.25">
      <c r="A508" s="943"/>
      <c r="B508" s="943"/>
      <c r="C508" s="943"/>
      <c r="D508" s="945" t="s">
        <v>17</v>
      </c>
      <c r="E508" s="945"/>
    </row>
    <row r="509" spans="1:5" ht="12.75" hidden="1" customHeight="1" outlineLevel="1" x14ac:dyDescent="0.25">
      <c r="A509" s="943"/>
      <c r="B509" s="943"/>
      <c r="C509" s="943"/>
      <c r="D509" s="945" t="s">
        <v>18</v>
      </c>
      <c r="E509" s="945"/>
    </row>
    <row r="510" spans="1:5" ht="12.75" hidden="1" customHeight="1" outlineLevel="1" x14ac:dyDescent="0.25">
      <c r="A510" s="946"/>
      <c r="B510" s="946"/>
      <c r="C510" s="946"/>
      <c r="D510" s="947" t="s">
        <v>19</v>
      </c>
      <c r="E510" s="947"/>
    </row>
    <row r="511" spans="1:5" ht="12.75" hidden="1" customHeight="1" outlineLevel="1" x14ac:dyDescent="0.25">
      <c r="A511" s="946"/>
      <c r="B511" s="946"/>
      <c r="C511" s="946"/>
      <c r="D511" s="947" t="s">
        <v>20</v>
      </c>
      <c r="E511" s="947"/>
    </row>
    <row r="512" spans="1:5" ht="12.75" hidden="1" customHeight="1" outlineLevel="1" x14ac:dyDescent="0.25">
      <c r="A512" s="946"/>
      <c r="B512" s="946"/>
      <c r="C512" s="946"/>
      <c r="D512" s="947" t="s">
        <v>21</v>
      </c>
      <c r="E512" s="947"/>
    </row>
    <row r="513" spans="1:6" ht="12.75" hidden="1" customHeight="1" outlineLevel="1" x14ac:dyDescent="0.25">
      <c r="A513" s="946"/>
      <c r="B513" s="946"/>
      <c r="C513" s="946"/>
      <c r="D513" s="947" t="s">
        <v>22</v>
      </c>
      <c r="E513" s="947"/>
    </row>
    <row r="514" spans="1:6" ht="12.75" hidden="1" customHeight="1" outlineLevel="1" x14ac:dyDescent="0.25">
      <c r="A514" s="946"/>
      <c r="B514" s="946"/>
      <c r="C514" s="946"/>
      <c r="D514" s="947" t="s">
        <v>23</v>
      </c>
      <c r="E514" s="947"/>
    </row>
    <row r="515" spans="1:6" ht="12.75" hidden="1" customHeight="1" outlineLevel="1" x14ac:dyDescent="0.25">
      <c r="A515" s="946"/>
      <c r="B515" s="946"/>
      <c r="C515" s="946"/>
      <c r="D515" s="947" t="s">
        <v>24</v>
      </c>
      <c r="E515" s="947"/>
    </row>
    <row r="516" spans="1:6" ht="12.75" hidden="1" customHeight="1" outlineLevel="1" x14ac:dyDescent="0.25">
      <c r="A516" s="946"/>
      <c r="B516" s="946"/>
      <c r="C516" s="946"/>
      <c r="D516" s="947" t="s">
        <v>25</v>
      </c>
      <c r="E516" s="947"/>
    </row>
    <row r="517" spans="1:6" ht="12.75" hidden="1" customHeight="1" outlineLevel="1" x14ac:dyDescent="0.25"/>
    <row r="518" spans="1:6" collapsed="1" x14ac:dyDescent="0.25">
      <c r="D518" s="948"/>
      <c r="E518" s="948"/>
    </row>
    <row r="519" spans="1:6" x14ac:dyDescent="0.25">
      <c r="C519" s="933"/>
      <c r="D519" s="933"/>
      <c r="E519" s="933"/>
    </row>
    <row r="520" spans="1:6" x14ac:dyDescent="0.25">
      <c r="C520" s="933"/>
      <c r="D520" s="948"/>
      <c r="E520" s="948"/>
    </row>
    <row r="521" spans="1:6" x14ac:dyDescent="0.25">
      <c r="C521" s="933"/>
    </row>
    <row r="522" spans="1:6" ht="15.75" x14ac:dyDescent="0.25">
      <c r="A522" s="1026" t="s">
        <v>2032</v>
      </c>
      <c r="C522" s="1015"/>
      <c r="D522" s="1015"/>
    </row>
    <row r="523" spans="1:6" ht="15.75" x14ac:dyDescent="0.25">
      <c r="B523" s="1027" t="s">
        <v>2033</v>
      </c>
      <c r="C523" s="1016"/>
      <c r="D523" s="1016"/>
      <c r="E523" s="984"/>
      <c r="F523" s="807"/>
    </row>
    <row r="524" spans="1:6" x14ac:dyDescent="0.25">
      <c r="C524" s="807"/>
      <c r="D524" s="949"/>
      <c r="E524" s="949"/>
      <c r="F524" s="807"/>
    </row>
    <row r="525" spans="1:6" x14ac:dyDescent="0.25">
      <c r="C525" s="933"/>
    </row>
  </sheetData>
  <sheetProtection selectLockedCells="1"/>
  <dataConsolidate/>
  <pageMargins left="0.78740157480314998" right="0.70866141732283505" top="0.42" bottom="0.33" header="0.43307086614173201" footer="0.31496062992126"/>
  <pageSetup paperSize="9" scale="80" fitToHeight="0" orientation="portrait" r:id="rId1"/>
  <headerFooter>
    <oddHeader>&amp;LPROGRAMI BUXHETOR AFATMESËM&amp;C&amp;8 28 Shkurt 2018&amp;R&amp;A</oddHeader>
    <oddFooter>&amp;L&amp;8Copyright for Albania: Ministry of Finance and Economy / Local Finance Directory&amp;R1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tabColor theme="5"/>
    <pageSetUpPr fitToPage="1"/>
  </sheetPr>
  <dimension ref="A1:G20"/>
  <sheetViews>
    <sheetView showGridLines="0" workbookViewId="0">
      <selection activeCell="B12" sqref="B12"/>
    </sheetView>
  </sheetViews>
  <sheetFormatPr defaultColWidth="9.140625" defaultRowHeight="12.75" x14ac:dyDescent="0.2"/>
  <cols>
    <col min="1" max="1" width="49" style="4" customWidth="1"/>
    <col min="2" max="2" width="9.28515625" style="95" customWidth="1"/>
    <col min="3" max="3" width="9.28515625" style="4" customWidth="1"/>
    <col min="4" max="7" width="9.28515625" style="5" customWidth="1"/>
    <col min="8" max="8" width="6.140625" style="4" customWidth="1"/>
    <col min="9" max="16384" width="9.140625" style="4"/>
  </cols>
  <sheetData>
    <row r="1" spans="1:7" s="41" customFormat="1" x14ac:dyDescent="0.2">
      <c r="A1" s="297" t="str">
        <f>'(G1) Fjalori'!A13</f>
        <v>Verdhë = Per tu plotësuar nga Departamenti i Financës</v>
      </c>
      <c r="B1" s="167"/>
      <c r="C1" s="167"/>
      <c r="D1" s="167"/>
      <c r="E1" s="167"/>
      <c r="F1" s="167"/>
      <c r="G1" s="168"/>
    </row>
    <row r="2" spans="1:7" s="95" customFormat="1" x14ac:dyDescent="0.2">
      <c r="D2" s="5"/>
      <c r="E2" s="5"/>
      <c r="F2" s="5"/>
      <c r="G2" s="5"/>
    </row>
    <row r="3" spans="1:7" s="57" customFormat="1" ht="21" x14ac:dyDescent="0.25">
      <c r="A3" s="1111" t="str">
        <f>'(G1) Fjalori'!A332</f>
        <v>(D2) LLOGARITJET MAKROEKONOMIKE</v>
      </c>
      <c r="B3" s="1112"/>
      <c r="C3" s="1112"/>
      <c r="D3" s="1112"/>
      <c r="E3" s="1112"/>
      <c r="F3" s="1112"/>
      <c r="G3" s="1113"/>
    </row>
    <row r="4" spans="1:7" s="1" customFormat="1" x14ac:dyDescent="0.2">
      <c r="A4" s="66"/>
      <c r="B4" s="66"/>
    </row>
    <row r="5" spans="1:7" s="57" customFormat="1" ht="28.5" customHeight="1" x14ac:dyDescent="0.25">
      <c r="B5" s="56">
        <f>'(A1) Titulli'!B39</f>
        <v>2019</v>
      </c>
      <c r="C5" s="56">
        <f>'(A1) Titulli'!B40</f>
        <v>2020</v>
      </c>
      <c r="D5" s="56">
        <f>'(A1) Titulli'!B41</f>
        <v>2021</v>
      </c>
      <c r="E5" s="163">
        <f>'(A1) Titulli'!B42</f>
        <v>2022</v>
      </c>
      <c r="F5" s="163">
        <f>'(A1) Titulli'!B43</f>
        <v>2023</v>
      </c>
      <c r="G5" s="163">
        <f>'(A1) Titulli'!B44</f>
        <v>2024</v>
      </c>
    </row>
    <row r="6" spans="1:7" s="173" customFormat="1" ht="86.25" customHeight="1" x14ac:dyDescent="0.25">
      <c r="B6" s="164" t="str">
        <f>'(A1) Titulli'!A39</f>
        <v>Viti t-2</v>
      </c>
      <c r="C6" s="164" t="str">
        <f>'(A1) Titulli'!A40</f>
        <v>Viti i shkuar</v>
      </c>
      <c r="D6" s="164" t="str">
        <f>'(G1) Fjalori'!A333</f>
        <v>Vitit aktual (I pritur)</v>
      </c>
      <c r="E6" s="174" t="str">
        <f>'(G1) Fjalori'!A8</f>
        <v>Viti t+1 (I pritur)</v>
      </c>
      <c r="F6" s="174" t="str">
        <f>'(G1) Fjalori'!A9</f>
        <v>Viti t+2 (I pritur)</v>
      </c>
      <c r="G6" s="174" t="str">
        <f>'(G1) Fjalori'!A10</f>
        <v>Viti t+3 (I pritur)</v>
      </c>
    </row>
    <row r="7" spans="1:7" s="10" customFormat="1" ht="15" customHeight="1" x14ac:dyDescent="0.2">
      <c r="B7" s="7"/>
      <c r="C7" s="7"/>
      <c r="D7" s="7"/>
      <c r="E7" s="7"/>
      <c r="F7" s="7"/>
      <c r="G7" s="7"/>
    </row>
    <row r="8" spans="1:7" s="10" customFormat="1" ht="15" customHeight="1" x14ac:dyDescent="0.2">
      <c r="A8" s="62" t="str">
        <f>'(G1) Fjalori'!A334</f>
        <v>Norma e inflacionit</v>
      </c>
      <c r="B8" s="58">
        <v>1.4E-2</v>
      </c>
      <c r="C8" s="58">
        <v>1.7000000000000001E-2</v>
      </c>
      <c r="D8" s="58">
        <v>2.4E-2</v>
      </c>
      <c r="E8" s="58">
        <v>2.8000000000000001E-2</v>
      </c>
      <c r="F8" s="58">
        <v>0.03</v>
      </c>
      <c r="G8" s="58">
        <v>0.03</v>
      </c>
    </row>
    <row r="9" spans="1:7" s="10" customFormat="1" ht="15" customHeight="1" x14ac:dyDescent="0.2">
      <c r="A9" s="63"/>
      <c r="B9" s="59"/>
      <c r="C9" s="59"/>
      <c r="D9" s="59"/>
      <c r="E9" s="59"/>
      <c r="F9" s="59"/>
      <c r="G9" s="59"/>
    </row>
    <row r="10" spans="1:7" s="10" customFormat="1" ht="15" customHeight="1" x14ac:dyDescent="0.2">
      <c r="A10" s="62" t="str">
        <f>'(G1) Fjalori'!A335</f>
        <v>Norma reale e rritjes ekonomike</v>
      </c>
      <c r="B10" s="58">
        <v>2.1999999999999999E-2</v>
      </c>
      <c r="C10" s="58">
        <v>-4.3999999999999997E-2</v>
      </c>
      <c r="D10" s="58">
        <v>5.5E-2</v>
      </c>
      <c r="E10" s="58">
        <v>4.8000000000000001E-2</v>
      </c>
      <c r="F10" s="58">
        <v>4.4999999999999998E-2</v>
      </c>
      <c r="G10" s="58">
        <v>3.9E-2</v>
      </c>
    </row>
    <row r="11" spans="1:7" s="10" customFormat="1" ht="15" customHeight="1" x14ac:dyDescent="0.2">
      <c r="A11" s="63"/>
      <c r="B11" s="59"/>
      <c r="C11" s="59"/>
      <c r="D11" s="59"/>
      <c r="E11" s="59"/>
      <c r="F11" s="59"/>
      <c r="G11" s="60"/>
    </row>
    <row r="12" spans="1:7" s="10" customFormat="1" ht="15" customHeight="1" x14ac:dyDescent="0.2">
      <c r="A12" s="62" t="str">
        <f>'(G1) Fjalori'!A336</f>
        <v>Norma e rritjes së pagave (nominale)</v>
      </c>
      <c r="B12" s="58"/>
      <c r="C12" s="58"/>
      <c r="D12" s="58"/>
      <c r="E12" s="58"/>
      <c r="F12" s="58"/>
      <c r="G12" s="58"/>
    </row>
    <row r="13" spans="1:7" s="10" customFormat="1" ht="15" customHeight="1" x14ac:dyDescent="0.2">
      <c r="A13" s="63"/>
      <c r="B13" s="59"/>
      <c r="C13" s="59"/>
      <c r="D13" s="59"/>
      <c r="E13" s="59"/>
      <c r="F13" s="59"/>
      <c r="G13" s="59"/>
    </row>
    <row r="14" spans="1:7" s="10" customFormat="1" ht="15" customHeight="1" x14ac:dyDescent="0.2">
      <c r="A14" s="62" t="str">
        <f>'(G1) Fjalori'!A337</f>
        <v>Norma e Interesit (3 mujor)</v>
      </c>
      <c r="B14" s="58"/>
      <c r="C14" s="58"/>
      <c r="D14" s="58"/>
      <c r="E14" s="58"/>
      <c r="F14" s="58"/>
      <c r="G14" s="58"/>
    </row>
    <row r="15" spans="1:7" s="10" customFormat="1" ht="15" customHeight="1" x14ac:dyDescent="0.2">
      <c r="A15" s="63"/>
      <c r="B15" s="59"/>
      <c r="C15" s="59"/>
      <c r="D15" s="59"/>
      <c r="E15" s="59"/>
      <c r="F15" s="59"/>
      <c r="G15" s="59"/>
    </row>
    <row r="16" spans="1:7" s="10" customFormat="1" ht="15" customHeight="1" x14ac:dyDescent="0.2">
      <c r="A16" s="62" t="str">
        <f>'(G1) Fjalori'!A338</f>
        <v>Norma e Interesit (5 vjeçar)</v>
      </c>
      <c r="B16" s="58">
        <v>8.9999999999999993E-3</v>
      </c>
      <c r="C16" s="58">
        <v>-2E-3</v>
      </c>
      <c r="D16" s="58">
        <v>-2E-3</v>
      </c>
      <c r="E16" s="58">
        <v>-8.0000000000000002E-3</v>
      </c>
      <c r="F16" s="58">
        <v>-1.0999999999999999E-2</v>
      </c>
      <c r="G16" s="58">
        <v>-1.4999999999999999E-2</v>
      </c>
    </row>
    <row r="17" spans="1:7" s="10" customFormat="1" ht="15" customHeight="1" x14ac:dyDescent="0.2">
      <c r="B17" s="59"/>
      <c r="C17" s="59"/>
      <c r="D17" s="59"/>
      <c r="E17" s="59"/>
      <c r="F17" s="59"/>
      <c r="G17" s="59"/>
    </row>
    <row r="18" spans="1:7" ht="15" customHeight="1" x14ac:dyDescent="0.2">
      <c r="A18" s="62" t="str">
        <f>'(G1) Fjalori'!A339</f>
        <v>Kursi i këmbimit (në fund të vitit) shuma në LEK për 1 EURO</v>
      </c>
      <c r="B18" s="332">
        <v>123</v>
      </c>
      <c r="C18" s="332">
        <v>123.8</v>
      </c>
      <c r="D18" s="332">
        <v>123.8</v>
      </c>
      <c r="E18" s="332">
        <v>123.8</v>
      </c>
      <c r="F18" s="332">
        <v>123.8</v>
      </c>
      <c r="G18" s="332">
        <v>123.8</v>
      </c>
    </row>
    <row r="19" spans="1:7" ht="15" customHeight="1" x14ac:dyDescent="0.2"/>
    <row r="20" spans="1:7" ht="15" customHeight="1" x14ac:dyDescent="0.2">
      <c r="A20" s="58"/>
      <c r="B20" s="58"/>
      <c r="C20" s="58"/>
      <c r="D20" s="58"/>
      <c r="E20" s="58"/>
      <c r="F20" s="58"/>
      <c r="G20" s="58"/>
    </row>
  </sheetData>
  <sheetProtection sheet="1" objects="1" scenarios="1" selectLockedCells="1"/>
  <mergeCells count="1">
    <mergeCell ref="A3:G3"/>
  </mergeCells>
  <pageMargins left="0.78740157480314965" right="0.70866141732283472" top="0.98425196850393704" bottom="0.78740157480314965" header="0.43307086614173229" footer="0.31496062992125984"/>
  <pageSetup paperSize="9" scale="82" fitToHeight="0" orientation="portrait" r:id="rId1"/>
  <headerFooter>
    <oddHeader>&amp;LPROGRAMI BUXHETOR AFATMESËM&amp;C&amp;8 28 Shkurt 2018&amp;R&amp;A</oddHeader>
    <oddFooter>&amp;L&amp;8Copyright for Albania: Ministry of Finance and Economy / Local Finance Directory&amp;R1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9"/>
    <pageSetUpPr fitToPage="1"/>
  </sheetPr>
  <dimension ref="A1:AG154"/>
  <sheetViews>
    <sheetView showGridLines="0" topLeftCell="A73" zoomScale="85" zoomScaleNormal="85" workbookViewId="0">
      <selection activeCell="AH97" sqref="AH97"/>
    </sheetView>
  </sheetViews>
  <sheetFormatPr defaultColWidth="9.140625" defaultRowHeight="12.75" x14ac:dyDescent="0.2"/>
  <cols>
    <col min="1" max="1" width="9" style="101" customWidth="1"/>
    <col min="2" max="2" width="20.28515625" style="101" customWidth="1"/>
    <col min="3" max="3" width="37" style="101" customWidth="1"/>
    <col min="4" max="4" width="15.5703125" style="102" customWidth="1"/>
    <col min="5" max="5" width="15.7109375" style="101" customWidth="1"/>
    <col min="6" max="6" width="17.5703125" style="101" customWidth="1" collapsed="1"/>
    <col min="7" max="8" width="5.7109375" style="101" hidden="1" customWidth="1"/>
    <col min="9" max="9" width="7.140625" style="101" hidden="1" customWidth="1"/>
    <col min="10" max="10" width="6.5703125" style="101" hidden="1" customWidth="1"/>
    <col min="11" max="11" width="6.28515625" style="101" hidden="1" customWidth="1"/>
    <col min="12" max="12" width="5.7109375" style="101" hidden="1" customWidth="1"/>
    <col min="13" max="13" width="6.7109375" style="101" hidden="1" customWidth="1"/>
    <col min="14" max="14" width="9.7109375" style="101" hidden="1" customWidth="1"/>
    <col min="15" max="15" width="14" style="101" customWidth="1"/>
    <col min="16" max="17" width="5.140625" style="101" hidden="1" customWidth="1"/>
    <col min="18" max="18" width="6.5703125" style="101" hidden="1" customWidth="1"/>
    <col min="19" max="19" width="5.140625" style="101" hidden="1" customWidth="1"/>
    <col min="20" max="20" width="6" style="101" hidden="1" customWidth="1"/>
    <col min="21" max="21" width="5.85546875" style="101" hidden="1" customWidth="1"/>
    <col min="22" max="22" width="5.140625" style="101" hidden="1" customWidth="1"/>
    <col min="23" max="23" width="9.85546875" style="101" hidden="1" customWidth="1"/>
    <col min="24" max="24" width="13.7109375" style="101" customWidth="1"/>
    <col min="25" max="26" width="5.140625" style="101" hidden="1" customWidth="1"/>
    <col min="27" max="27" width="6" style="101" hidden="1" customWidth="1"/>
    <col min="28" max="28" width="5.85546875" style="101" hidden="1" customWidth="1"/>
    <col min="29" max="29" width="7.140625" style="101" hidden="1" customWidth="1"/>
    <col min="30" max="30" width="6" style="101" hidden="1" customWidth="1"/>
    <col min="31" max="31" width="5.140625" style="101" hidden="1" customWidth="1"/>
    <col min="32" max="32" width="6.28515625" style="101" hidden="1" customWidth="1"/>
    <col min="33" max="33" width="13.7109375" style="101" customWidth="1"/>
    <col min="34" max="197" width="11.5703125" style="101" customWidth="1"/>
    <col min="198" max="198" width="3.85546875" style="101" customWidth="1"/>
    <col min="199" max="199" width="22" style="101" customWidth="1"/>
    <col min="200" max="202" width="4.140625" style="101" customWidth="1"/>
    <col min="203" max="203" width="5.85546875" style="101" customWidth="1"/>
    <col min="204" max="204" width="4.140625" style="101" customWidth="1"/>
    <col min="205" max="205" width="0.85546875" style="101" customWidth="1"/>
    <col min="206" max="206" width="5.85546875" style="101" customWidth="1"/>
    <col min="207" max="207" width="4.140625" style="101" customWidth="1"/>
    <col min="208" max="208" width="0.85546875" style="101" customWidth="1"/>
    <col min="209" max="209" width="5.85546875" style="101" customWidth="1"/>
    <col min="210" max="210" width="4.140625" style="101" customWidth="1"/>
    <col min="211" max="211" width="0.85546875" style="101" customWidth="1"/>
    <col min="212" max="212" width="5.85546875" style="101" customWidth="1"/>
    <col min="213" max="16384" width="9.140625" style="101"/>
  </cols>
  <sheetData>
    <row r="1" spans="1:33" s="212" customFormat="1" ht="15" customHeight="1" x14ac:dyDescent="0.25">
      <c r="A1" s="1173" t="str">
        <f>'(G1) Fjalori'!A13</f>
        <v>Verdhë = Per tu plotësuar nga Departamenti i Financës</v>
      </c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1174"/>
      <c r="Q1" s="1174"/>
      <c r="R1" s="1174"/>
      <c r="S1" s="1174"/>
      <c r="T1" s="1174"/>
      <c r="U1" s="1174"/>
      <c r="V1" s="1174"/>
      <c r="W1" s="1174"/>
      <c r="X1" s="1174"/>
      <c r="Y1" s="1174"/>
      <c r="Z1" s="1174"/>
      <c r="AA1" s="1174"/>
      <c r="AB1" s="1174"/>
      <c r="AC1" s="1174"/>
      <c r="AD1" s="1174"/>
      <c r="AE1" s="1174"/>
      <c r="AF1" s="1174"/>
      <c r="AG1" s="1175"/>
    </row>
    <row r="2" spans="1:33" s="212" customFormat="1" x14ac:dyDescent="0.25">
      <c r="D2" s="213"/>
    </row>
    <row r="3" spans="1:33" s="212" customFormat="1" ht="21" x14ac:dyDescent="0.25">
      <c r="A3" s="1127" t="str">
        <f>'(G1) Fjalori'!A353</f>
        <v>(E1) VLERËSIMI I BURIMEVE BUXHETORE</v>
      </c>
      <c r="B3" s="1128"/>
      <c r="C3" s="1128"/>
      <c r="D3" s="1128"/>
      <c r="E3" s="1128"/>
      <c r="F3" s="1128"/>
      <c r="G3" s="1128"/>
      <c r="H3" s="1128"/>
      <c r="I3" s="1128"/>
      <c r="J3" s="1128"/>
      <c r="K3" s="1128"/>
      <c r="L3" s="1128"/>
      <c r="M3" s="1128"/>
      <c r="N3" s="1128"/>
      <c r="O3" s="1128"/>
      <c r="P3" s="1128"/>
      <c r="Q3" s="1128"/>
      <c r="R3" s="1128"/>
      <c r="S3" s="1128"/>
      <c r="T3" s="1128"/>
      <c r="U3" s="1128"/>
      <c r="V3" s="1128"/>
      <c r="W3" s="1128"/>
      <c r="X3" s="1128"/>
      <c r="Y3" s="1128"/>
      <c r="Z3" s="1128"/>
      <c r="AA3" s="1128"/>
      <c r="AB3" s="1128"/>
      <c r="AC3" s="1128"/>
      <c r="AD3" s="1128"/>
      <c r="AE3" s="1128"/>
      <c r="AF3" s="1128"/>
      <c r="AG3" s="1129"/>
    </row>
    <row r="4" spans="1:33" s="209" customFormat="1" x14ac:dyDescent="0.25">
      <c r="B4" s="214"/>
      <c r="C4" s="214"/>
    </row>
    <row r="5" spans="1:33" s="212" customFormat="1" ht="17.25" customHeight="1" x14ac:dyDescent="0.25">
      <c r="D5" s="215">
        <f>'(B1)Informacion i përgjithshëm '!B5</f>
        <v>2019</v>
      </c>
      <c r="E5" s="215">
        <f>'(B1)Informacion i përgjithshëm '!B6</f>
        <v>2020</v>
      </c>
      <c r="F5" s="215">
        <f>'(B1)Informacion i përgjithshëm '!B7</f>
        <v>2021</v>
      </c>
      <c r="G5" s="1176">
        <f>'(A1) Titulli'!B42</f>
        <v>2022</v>
      </c>
      <c r="H5" s="1177"/>
      <c r="I5" s="1177"/>
      <c r="J5" s="1177"/>
      <c r="K5" s="1177"/>
      <c r="L5" s="1177"/>
      <c r="M5" s="1177"/>
      <c r="N5" s="1177"/>
      <c r="O5" s="1178"/>
      <c r="P5" s="1176">
        <f>'(A1) Titulli'!B43</f>
        <v>2023</v>
      </c>
      <c r="Q5" s="1177"/>
      <c r="R5" s="1177"/>
      <c r="S5" s="1177"/>
      <c r="T5" s="1177"/>
      <c r="U5" s="1177"/>
      <c r="V5" s="1177"/>
      <c r="W5" s="1177"/>
      <c r="X5" s="1177"/>
      <c r="Y5" s="1176">
        <f>'(A1) Titulli'!B44</f>
        <v>2024</v>
      </c>
      <c r="Z5" s="1177"/>
      <c r="AA5" s="1177"/>
      <c r="AB5" s="1177"/>
      <c r="AC5" s="1177"/>
      <c r="AD5" s="1177"/>
      <c r="AE5" s="1177"/>
      <c r="AF5" s="1177"/>
      <c r="AG5" s="1178"/>
    </row>
    <row r="6" spans="1:33" s="217" customFormat="1" ht="43.5" customHeight="1" x14ac:dyDescent="0.25">
      <c r="B6" s="216"/>
      <c r="C6" s="216"/>
      <c r="D6" s="260" t="str">
        <f>'(B1)Informacion i përgjithshëm '!A5</f>
        <v>Viti t-2</v>
      </c>
      <c r="E6" s="260" t="str">
        <f>'(G1) Fjalori'!A6</f>
        <v>Viti i shkuar</v>
      </c>
      <c r="F6" s="261" t="str">
        <f>'(G1) Fjalori'!A7</f>
        <v>Viti aktual</v>
      </c>
      <c r="G6" s="28" t="str">
        <f>'(G1) Fjalori'!A343</f>
        <v>Impakti i rritjes reale ekonomike në %</v>
      </c>
      <c r="H6" s="28" t="str">
        <f>'(G1) Fjalori'!A342</f>
        <v>Impakti i inflacionit në %</v>
      </c>
      <c r="I6" s="28" t="str">
        <f>'(G1) Fjalori'!A345</f>
        <v>Impakti i rritjes së popullsisë në %</v>
      </c>
      <c r="J6" s="28" t="str">
        <f>'(G1) Fjalori'!A346</f>
        <v>Vlerësimi i impaktit nga përmirësimi në %</v>
      </c>
      <c r="K6" s="28" t="str">
        <f>'(G1) Fjalori'!A348</f>
        <v>Përmirësimi i përdorimit të potencialit tatimor në %</v>
      </c>
      <c r="L6" s="28" t="str">
        <f>'(G1) Fjalori'!A349</f>
        <v>Ndryshimi i normës së taksës në %</v>
      </c>
      <c r="M6" s="28" t="str">
        <f>'(G1) Fjalori'!A347</f>
        <v>Vlerësimi i impaktit të faktorëve të tjerë në %</v>
      </c>
      <c r="N6" s="28" t="str">
        <f>'(G1) Fjalori'!A$762</f>
        <v>Vlera bazë e të ardhurave të reja</v>
      </c>
      <c r="P6" s="28" t="str">
        <f t="shared" ref="P6:W6" si="0">G6</f>
        <v>Impakti i rritjes reale ekonomike në %</v>
      </c>
      <c r="Q6" s="28" t="str">
        <f t="shared" si="0"/>
        <v>Impakti i inflacionit në %</v>
      </c>
      <c r="R6" s="28" t="str">
        <f t="shared" si="0"/>
        <v>Impakti i rritjes së popullsisë në %</v>
      </c>
      <c r="S6" s="28" t="str">
        <f t="shared" si="0"/>
        <v>Vlerësimi i impaktit nga përmirësimi në %</v>
      </c>
      <c r="T6" s="28" t="str">
        <f t="shared" si="0"/>
        <v>Përmirësimi i përdorimit të potencialit tatimor në %</v>
      </c>
      <c r="U6" s="28" t="str">
        <f t="shared" si="0"/>
        <v>Ndryshimi i normës së taksës në %</v>
      </c>
      <c r="V6" s="28" t="str">
        <f t="shared" si="0"/>
        <v>Vlerësimi i impaktit të faktorëve të tjerë në %</v>
      </c>
      <c r="W6" s="28" t="str">
        <f t="shared" si="0"/>
        <v>Vlera bazë e të ardhurave të reja</v>
      </c>
      <c r="Y6" s="28" t="str">
        <f t="shared" ref="Y6:AE6" si="1">P6</f>
        <v>Impakti i rritjes reale ekonomike në %</v>
      </c>
      <c r="Z6" s="28" t="str">
        <f t="shared" si="1"/>
        <v>Impakti i inflacionit në %</v>
      </c>
      <c r="AA6" s="28" t="str">
        <f t="shared" si="1"/>
        <v>Impakti i rritjes së popullsisë në %</v>
      </c>
      <c r="AB6" s="28" t="str">
        <f t="shared" si="1"/>
        <v>Vlerësimi i impaktit nga përmirësimi në %</v>
      </c>
      <c r="AC6" s="28" t="str">
        <f t="shared" si="1"/>
        <v>Përmirësimi i përdorimit të potencialit tatimor në %</v>
      </c>
      <c r="AD6" s="28" t="str">
        <f t="shared" si="1"/>
        <v>Ndryshimi i normës së taksës në %</v>
      </c>
      <c r="AE6" s="28" t="str">
        <f t="shared" si="1"/>
        <v>Vlerësimi i impaktit të faktorëve të tjerë në %</v>
      </c>
      <c r="AF6" s="28" t="str">
        <f>W6</f>
        <v>Vlera bazë e të ardhurave të reja</v>
      </c>
      <c r="AG6" s="451"/>
    </row>
    <row r="7" spans="1:33" s="212" customFormat="1" ht="18.75" x14ac:dyDescent="0.25">
      <c r="A7" s="342" t="str">
        <f>'(C2) Burimet viti kaluar'!C7</f>
        <v>A</v>
      </c>
      <c r="B7" s="1171" t="str">
        <f>'(G1) Fjalori'!A218</f>
        <v>TË ARDHURA NGA BURIMET E VETA</v>
      </c>
      <c r="C7" s="1172"/>
      <c r="D7" s="345">
        <f>'(C2) Burimet viti kaluar'!D7</f>
        <v>290939361</v>
      </c>
      <c r="E7" s="345">
        <f>'(C2) Burimet viti kaluar'!E7</f>
        <v>307157414</v>
      </c>
      <c r="F7" s="345">
        <f>'(C2) Burimet viti kaluar'!F7</f>
        <v>589036721</v>
      </c>
      <c r="G7" s="347"/>
      <c r="H7" s="347"/>
      <c r="I7" s="347"/>
      <c r="J7" s="347"/>
      <c r="K7" s="347"/>
      <c r="L7" s="347"/>
      <c r="M7" s="347"/>
      <c r="N7" s="347"/>
      <c r="O7" s="351">
        <f>O8+O22+O31+O77</f>
        <v>594822801.79999995</v>
      </c>
      <c r="P7" s="347"/>
      <c r="Q7" s="347"/>
      <c r="R7" s="347"/>
      <c r="S7" s="347"/>
      <c r="T7" s="347"/>
      <c r="U7" s="347"/>
      <c r="V7" s="347"/>
      <c r="W7" s="347"/>
      <c r="X7" s="449">
        <f>X8+X22+X31+X77</f>
        <v>599735527.227</v>
      </c>
      <c r="Y7" s="449"/>
      <c r="Z7" s="347"/>
      <c r="AA7" s="347"/>
      <c r="AB7" s="347"/>
      <c r="AC7" s="347"/>
      <c r="AD7" s="347"/>
      <c r="AE7" s="347"/>
      <c r="AF7" s="347"/>
      <c r="AG7" s="351">
        <f>AG8+AG22+AG31+AG77</f>
        <v>604067725.64750814</v>
      </c>
    </row>
    <row r="8" spans="1:33" s="212" customFormat="1" ht="18.75" x14ac:dyDescent="0.25">
      <c r="A8" s="241" t="str">
        <f>'(C2) Burimet viti kaluar'!C8</f>
        <v>A.1</v>
      </c>
      <c r="B8" s="1146" t="str">
        <f>'(G1) Fjalori'!A219</f>
        <v>TË ARDHURA NGA TAKSAT LOKALE</v>
      </c>
      <c r="C8" s="1147"/>
      <c r="D8" s="346">
        <f>'(C2) Burimet viti kaluar'!D8</f>
        <v>83485418</v>
      </c>
      <c r="E8" s="346">
        <f>'(C2) Burimet viti kaluar'!E8</f>
        <v>79642315</v>
      </c>
      <c r="F8" s="346">
        <f>'(C2) Burimet viti kaluar'!F8</f>
        <v>197835000</v>
      </c>
      <c r="G8" s="348"/>
      <c r="H8" s="348"/>
      <c r="I8" s="348"/>
      <c r="J8" s="348"/>
      <c r="K8" s="348"/>
      <c r="L8" s="348"/>
      <c r="M8" s="348"/>
      <c r="N8" s="348"/>
      <c r="O8" s="346">
        <f>SUM(O9:O21)-O10</f>
        <v>201204247</v>
      </c>
      <c r="P8" s="348"/>
      <c r="Q8" s="348"/>
      <c r="R8" s="348"/>
      <c r="S8" s="348"/>
      <c r="T8" s="348"/>
      <c r="U8" s="348"/>
      <c r="V8" s="348"/>
      <c r="W8" s="348"/>
      <c r="X8" s="450">
        <f>SUM(X9:X21)-X10</f>
        <v>202960990.46999997</v>
      </c>
      <c r="Y8" s="452"/>
      <c r="Z8" s="348"/>
      <c r="AA8" s="348"/>
      <c r="AB8" s="348"/>
      <c r="AC8" s="348"/>
      <c r="AD8" s="348"/>
      <c r="AE8" s="348"/>
      <c r="AF8" s="348"/>
      <c r="AG8" s="346">
        <f>SUM(AG9:AG21)-AG10</f>
        <v>204751333.77409995</v>
      </c>
    </row>
    <row r="9" spans="1:33" s="220" customFormat="1" x14ac:dyDescent="0.2">
      <c r="A9" s="343" t="str">
        <f>'(C2) Burimet viti kaluar'!C9</f>
        <v>A.1.1</v>
      </c>
      <c r="B9" s="343" t="str">
        <f>'(G1) Fjalori'!A220</f>
        <v>Taksa vendore mbi biznesin e vogël</v>
      </c>
      <c r="C9" s="435"/>
      <c r="D9" s="441">
        <f>'(C2) Burimet viti kaluar'!D9</f>
        <v>2477148</v>
      </c>
      <c r="E9" s="225">
        <f>'(C2) Burimet viti kaluar'!E9</f>
        <v>2354788</v>
      </c>
      <c r="F9" s="225">
        <f>'(C2) Burimet viti kaluar'!F9</f>
        <v>4000000</v>
      </c>
      <c r="G9" s="31"/>
      <c r="H9" s="31"/>
      <c r="I9" s="31"/>
      <c r="J9" s="31"/>
      <c r="K9" s="31"/>
      <c r="L9" s="31"/>
      <c r="M9" s="31"/>
      <c r="N9" s="259"/>
      <c r="O9" s="35">
        <f>IF(F9&lt;&gt;0,F9*(1+(SUM(G9:M9))),N9)</f>
        <v>4000000</v>
      </c>
      <c r="P9" s="31"/>
      <c r="Q9" s="31"/>
      <c r="R9" s="31"/>
      <c r="S9" s="31"/>
      <c r="T9" s="31"/>
      <c r="U9" s="31"/>
      <c r="V9" s="31"/>
      <c r="W9" s="259"/>
      <c r="X9" s="35">
        <f>IF(O9&lt;&gt;0,O9*(1+(SUM(P9:V9))),W9)</f>
        <v>4000000</v>
      </c>
      <c r="Y9" s="31"/>
      <c r="Z9" s="31"/>
      <c r="AA9" s="31"/>
      <c r="AB9" s="31"/>
      <c r="AC9" s="31"/>
      <c r="AD9" s="31"/>
      <c r="AE9" s="31"/>
      <c r="AF9" s="259"/>
      <c r="AG9" s="35">
        <f>IF(X9&lt;&gt;0,X9*(1+(SUM(Y9:AE9))),AF9)</f>
        <v>4000000</v>
      </c>
    </row>
    <row r="10" spans="1:33" s="220" customFormat="1" x14ac:dyDescent="0.25">
      <c r="A10" s="343" t="str">
        <f>'(C2) Burimet viti kaluar'!C10</f>
        <v>A.1.2</v>
      </c>
      <c r="B10" s="436" t="str">
        <f>'(G1) Fjalori'!A221</f>
        <v>Taksa mbi pasurinë e paluajtshme</v>
      </c>
      <c r="C10" s="437"/>
      <c r="D10" s="235">
        <f>'(C2) Burimet viti kaluar'!D10</f>
        <v>57067098</v>
      </c>
      <c r="E10" s="235">
        <f>'(C2) Burimet viti kaluar'!E10</f>
        <v>62226369</v>
      </c>
      <c r="F10" s="235">
        <f>'(C2) Burimet viti kaluar'!F10</f>
        <v>78600000</v>
      </c>
      <c r="G10" s="458"/>
      <c r="H10" s="458"/>
      <c r="I10" s="458"/>
      <c r="J10" s="458"/>
      <c r="K10" s="458"/>
      <c r="L10" s="458"/>
      <c r="M10" s="458"/>
      <c r="N10" s="458"/>
      <c r="O10" s="458">
        <f>SUM(O11:O14)</f>
        <v>80171997</v>
      </c>
      <c r="P10" s="458"/>
      <c r="Q10" s="458"/>
      <c r="R10" s="458"/>
      <c r="S10" s="458"/>
      <c r="T10" s="458"/>
      <c r="U10" s="458"/>
      <c r="V10" s="458"/>
      <c r="W10" s="458"/>
      <c r="X10" s="458">
        <f>SUM(X11:X14)</f>
        <v>81775436.939999998</v>
      </c>
      <c r="Y10" s="458"/>
      <c r="Z10" s="458"/>
      <c r="AA10" s="458"/>
      <c r="AB10" s="458"/>
      <c r="AC10" s="458"/>
      <c r="AD10" s="458"/>
      <c r="AE10" s="458"/>
      <c r="AF10" s="458"/>
      <c r="AG10" s="458">
        <f>SUM(AG11:AG14)</f>
        <v>83410945.678800002</v>
      </c>
    </row>
    <row r="11" spans="1:33" s="212" customFormat="1" x14ac:dyDescent="0.2">
      <c r="A11" s="235" t="str">
        <f>'(C2) Burimet viti kaluar'!C11</f>
        <v>A.1.2.1</v>
      </c>
      <c r="B11" s="1142" t="str">
        <f>'(G1) Fjalori'!A222</f>
        <v>Taksa mbi ndërtesën</v>
      </c>
      <c r="C11" s="1143"/>
      <c r="D11" s="441">
        <f>'(C2) Burimet viti kaluar'!D11</f>
        <v>51324261</v>
      </c>
      <c r="E11" s="225">
        <f>'(C2) Burimet viti kaluar'!E11</f>
        <v>55923655</v>
      </c>
      <c r="F11" s="225">
        <f>'(C2) Burimet viti kaluar'!F11</f>
        <v>69000000</v>
      </c>
      <c r="G11" s="31"/>
      <c r="H11" s="31">
        <v>1.4999999999999999E-2</v>
      </c>
      <c r="I11" s="31">
        <v>5.0000000000000001E-3</v>
      </c>
      <c r="J11" s="31"/>
      <c r="K11" s="31"/>
      <c r="L11" s="31"/>
      <c r="M11" s="31"/>
      <c r="N11" s="259"/>
      <c r="O11" s="698">
        <f>IF(F11&lt;&gt;0,F11*(1+(SUM(G11:M11))),N11)</f>
        <v>70380000</v>
      </c>
      <c r="P11" s="31"/>
      <c r="Q11" s="31">
        <v>0.01</v>
      </c>
      <c r="R11" s="31"/>
      <c r="S11" s="31"/>
      <c r="T11" s="31"/>
      <c r="U11" s="31"/>
      <c r="V11" s="31">
        <v>0.01</v>
      </c>
      <c r="W11" s="259"/>
      <c r="X11" s="698">
        <f>IF(O11&lt;&gt;0,O11*(1+(SUM(P11:V11))),W11)</f>
        <v>71787600</v>
      </c>
      <c r="Y11" s="31"/>
      <c r="Z11" s="31">
        <v>0.02</v>
      </c>
      <c r="AA11" s="31"/>
      <c r="AB11" s="31"/>
      <c r="AC11" s="31"/>
      <c r="AD11" s="31"/>
      <c r="AE11" s="31"/>
      <c r="AF11" s="259"/>
      <c r="AG11" s="698">
        <f>IF(X11&lt;&gt;0,X11*(1+(SUM(Y11:AE11))),AF11)</f>
        <v>73223352</v>
      </c>
    </row>
    <row r="12" spans="1:33" s="212" customFormat="1" x14ac:dyDescent="0.2">
      <c r="A12" s="235" t="str">
        <f>'(C2) Burimet viti kaluar'!C12</f>
        <v>A.1.2.2</v>
      </c>
      <c r="B12" s="1142" t="str">
        <f>'(G1) Fjalori'!A223</f>
        <v>Taksa mbi tokën bujqësore</v>
      </c>
      <c r="C12" s="1143"/>
      <c r="D12" s="225">
        <f>'(C2) Burimet viti kaluar'!D12</f>
        <v>2244787</v>
      </c>
      <c r="E12" s="225">
        <f>'(C2) Burimet viti kaluar'!E12</f>
        <v>3047878</v>
      </c>
      <c r="F12" s="225">
        <f>'(C2) Burimet viti kaluar'!F12</f>
        <v>5200000</v>
      </c>
      <c r="G12" s="31"/>
      <c r="H12" s="31"/>
      <c r="I12" s="31">
        <v>6.7000000000000002E-3</v>
      </c>
      <c r="J12" s="31"/>
      <c r="K12" s="31"/>
      <c r="L12" s="31"/>
      <c r="M12" s="31">
        <v>1.32E-2</v>
      </c>
      <c r="N12" s="259"/>
      <c r="O12" s="698">
        <f>IF(F12&lt;&gt;0,F12*(1+(SUM(G12:M12))),N12)+517</f>
        <v>5303997</v>
      </c>
      <c r="P12" s="31"/>
      <c r="Q12" s="31">
        <v>8.0000000000000002E-3</v>
      </c>
      <c r="R12" s="31"/>
      <c r="S12" s="31"/>
      <c r="T12" s="31"/>
      <c r="U12" s="31"/>
      <c r="V12" s="31">
        <v>1.2E-2</v>
      </c>
      <c r="W12" s="259"/>
      <c r="X12" s="698">
        <f>IF(O12&lt;&gt;0,O12*(1+(SUM(P12:V12))),W12)</f>
        <v>5410076.9400000004</v>
      </c>
      <c r="Y12" s="31"/>
      <c r="Z12" s="31"/>
      <c r="AA12" s="31"/>
      <c r="AB12" s="31"/>
      <c r="AC12" s="31"/>
      <c r="AD12" s="31"/>
      <c r="AE12" s="31">
        <v>0.02</v>
      </c>
      <c r="AF12" s="259"/>
      <c r="AG12" s="698">
        <f>IF(X12&lt;&gt;0,X12*(1+(SUM(Y12:AE12))),AF12)</f>
        <v>5518278.4788000006</v>
      </c>
    </row>
    <row r="13" spans="1:33" s="212" customFormat="1" x14ac:dyDescent="0.2">
      <c r="A13" s="235" t="str">
        <f>'(C2) Burimet viti kaluar'!C13</f>
        <v>A.1.2.3</v>
      </c>
      <c r="B13" s="1142" t="str">
        <f>'(G1) Fjalori'!A224</f>
        <v>Taksa mbi truallin</v>
      </c>
      <c r="C13" s="1143"/>
      <c r="D13" s="225">
        <f>'(C2) Burimet viti kaluar'!D13</f>
        <v>3498050</v>
      </c>
      <c r="E13" s="225">
        <f>'(C2) Burimet viti kaluar'!E13</f>
        <v>3254836</v>
      </c>
      <c r="F13" s="225">
        <f>'(C2) Burimet viti kaluar'!F13</f>
        <v>4400000</v>
      </c>
      <c r="G13" s="31"/>
      <c r="H13" s="31">
        <v>0.01</v>
      </c>
      <c r="I13" s="31"/>
      <c r="J13" s="31"/>
      <c r="K13" s="31"/>
      <c r="L13" s="31"/>
      <c r="M13" s="31">
        <v>0.01</v>
      </c>
      <c r="N13" s="259"/>
      <c r="O13" s="698">
        <f>IF(F13&lt;&gt;0,F13*(1+(SUM(G13:M13))),N13)</f>
        <v>4488000</v>
      </c>
      <c r="P13" s="31"/>
      <c r="Q13" s="31">
        <v>0.01</v>
      </c>
      <c r="R13" s="31"/>
      <c r="S13" s="31"/>
      <c r="T13" s="31"/>
      <c r="U13" s="31"/>
      <c r="V13" s="31">
        <v>0.01</v>
      </c>
      <c r="W13" s="259"/>
      <c r="X13" s="698">
        <f>IF(O13&lt;&gt;0,O13*(1+(SUM(P13:V13))),W13)</f>
        <v>4577760</v>
      </c>
      <c r="Y13" s="31"/>
      <c r="Z13" s="31"/>
      <c r="AA13" s="31"/>
      <c r="AB13" s="31"/>
      <c r="AC13" s="31"/>
      <c r="AD13" s="31"/>
      <c r="AE13" s="31">
        <v>0.02</v>
      </c>
      <c r="AF13" s="259"/>
      <c r="AG13" s="698">
        <f>IF(X13&lt;&gt;0,X13*(1+(SUM(Y13:AE13))),AF13)</f>
        <v>4669315.2</v>
      </c>
    </row>
    <row r="14" spans="1:33" s="212" customFormat="1" x14ac:dyDescent="0.2">
      <c r="A14" s="235" t="str">
        <f>'(C2) Burimet viti kaluar'!C14</f>
        <v>A.1.2.4</v>
      </c>
      <c r="B14" s="1142" t="str">
        <f>'(G1) Fjalori'!A225</f>
        <v>Taksa mbi transaksionet e pasurisë</v>
      </c>
      <c r="C14" s="1143"/>
      <c r="D14" s="225">
        <f>'(C2) Burimet viti kaluar'!D14</f>
        <v>0</v>
      </c>
      <c r="E14" s="225">
        <f>'(C2) Burimet viti kaluar'!E14</f>
        <v>0</v>
      </c>
      <c r="F14" s="225">
        <f>'(C2) Burimet viti kaluar'!F14</f>
        <v>0</v>
      </c>
      <c r="G14" s="31"/>
      <c r="H14" s="31"/>
      <c r="I14" s="31"/>
      <c r="J14" s="31"/>
      <c r="K14" s="31"/>
      <c r="L14" s="31"/>
      <c r="M14" s="31"/>
      <c r="N14" s="259"/>
      <c r="O14" s="35">
        <f t="shared" ref="O14:O21" si="2">IF(F14&lt;&gt;0,F14*(1+(SUM(G14:M14))),N14)</f>
        <v>0</v>
      </c>
      <c r="P14" s="31"/>
      <c r="Q14" s="31"/>
      <c r="R14" s="31"/>
      <c r="S14" s="31"/>
      <c r="T14" s="31"/>
      <c r="U14" s="31"/>
      <c r="V14" s="31"/>
      <c r="W14" s="259"/>
      <c r="X14" s="35">
        <f t="shared" ref="X14:X27" si="3">IF(O14&lt;&gt;0,O14*(1+(SUM(P14:V14))),W14)</f>
        <v>0</v>
      </c>
      <c r="Y14" s="31"/>
      <c r="Z14" s="31"/>
      <c r="AA14" s="31"/>
      <c r="AB14" s="31"/>
      <c r="AC14" s="31"/>
      <c r="AD14" s="31"/>
      <c r="AE14" s="31"/>
      <c r="AF14" s="259"/>
      <c r="AG14" s="35">
        <f t="shared" ref="AG14:AG27" si="4">IF(X14&lt;&gt;0,X14*(1+(SUM(Y14:AE14))),AF14)</f>
        <v>0</v>
      </c>
    </row>
    <row r="15" spans="1:33" s="220" customFormat="1" x14ac:dyDescent="0.2">
      <c r="A15" s="343" t="str">
        <f>'(C2) Burimet viti kaluar'!C15</f>
        <v>A.1.3</v>
      </c>
      <c r="B15" s="343" t="str">
        <f>'(G1) Fjalori'!A226</f>
        <v>Taksa vendore në shërbimin hotelier</v>
      </c>
      <c r="C15" s="435"/>
      <c r="D15" s="225">
        <f>'(C2) Burimet viti kaluar'!D15</f>
        <v>6896273</v>
      </c>
      <c r="E15" s="225">
        <f>'(C2) Burimet viti kaluar'!E15</f>
        <v>1511071</v>
      </c>
      <c r="F15" s="225">
        <f>'(C2) Burimet viti kaluar'!F15</f>
        <v>9525000</v>
      </c>
      <c r="G15" s="31">
        <v>0.01</v>
      </c>
      <c r="H15" s="31"/>
      <c r="I15" s="31"/>
      <c r="J15" s="31"/>
      <c r="K15" s="31"/>
      <c r="L15" s="31"/>
      <c r="M15" s="31"/>
      <c r="N15" s="259"/>
      <c r="O15" s="35">
        <f t="shared" si="2"/>
        <v>9620250</v>
      </c>
      <c r="P15" s="31">
        <v>0.01</v>
      </c>
      <c r="Q15" s="31"/>
      <c r="R15" s="31"/>
      <c r="S15" s="31"/>
      <c r="T15" s="31"/>
      <c r="U15" s="31"/>
      <c r="V15" s="31"/>
      <c r="W15" s="259"/>
      <c r="X15" s="698">
        <f>IF(O15&lt;&gt;0,O15*(1+(SUM(P15:V15))),W15)</f>
        <v>9716452.5</v>
      </c>
      <c r="Y15" s="31">
        <v>0.01</v>
      </c>
      <c r="Z15" s="31"/>
      <c r="AA15" s="31"/>
      <c r="AB15" s="31"/>
      <c r="AC15" s="31"/>
      <c r="AD15" s="31"/>
      <c r="AE15" s="31"/>
      <c r="AF15" s="259"/>
      <c r="AG15" s="698">
        <f>IF(X15&lt;&gt;0,X15*(1+(SUM(Y15:AE15))),AF15)</f>
        <v>9813617.0250000004</v>
      </c>
    </row>
    <row r="16" spans="1:33" s="220" customFormat="1" x14ac:dyDescent="0.2">
      <c r="A16" s="343" t="str">
        <f>'(C2) Burimet viti kaluar'!C16</f>
        <v>A.1.4</v>
      </c>
      <c r="B16" s="343" t="str">
        <f>'(G1) Fjalori'!A227</f>
        <v>Taksa e ndikimit në infrastrukturë nga ndërtimet e reja</v>
      </c>
      <c r="C16" s="435"/>
      <c r="D16" s="225">
        <f>'(C2) Burimet viti kaluar'!D16</f>
        <v>7651736</v>
      </c>
      <c r="E16" s="225">
        <f>'(C2) Burimet viti kaluar'!E16</f>
        <v>7284415</v>
      </c>
      <c r="F16" s="225">
        <f>'(C2) Burimet viti kaluar'!F16</f>
        <v>100000000</v>
      </c>
      <c r="G16" s="31">
        <v>7.0200000000000002E-3</v>
      </c>
      <c r="H16" s="31">
        <v>0.01</v>
      </c>
      <c r="I16" s="31"/>
      <c r="J16" s="31"/>
      <c r="K16" s="31"/>
      <c r="L16" s="31"/>
      <c r="M16" s="31"/>
      <c r="N16" s="259"/>
      <c r="O16" s="35">
        <f>IF(F16&lt;&gt;0,F16*(1+(SUM(G16:M16))),N16)-3</f>
        <v>101701997</v>
      </c>
      <c r="P16" s="31"/>
      <c r="Q16" s="31"/>
      <c r="R16" s="31"/>
      <c r="S16" s="31"/>
      <c r="T16" s="31"/>
      <c r="U16" s="31"/>
      <c r="V16" s="31"/>
      <c r="W16" s="259"/>
      <c r="X16" s="35">
        <f>IF(O16&lt;&gt;0,O16*(1+(SUM(P16:V16))),W16)</f>
        <v>101701997</v>
      </c>
      <c r="Y16" s="31"/>
      <c r="Z16" s="31"/>
      <c r="AA16" s="31"/>
      <c r="AB16" s="31"/>
      <c r="AC16" s="31"/>
      <c r="AD16" s="31"/>
      <c r="AE16" s="31"/>
      <c r="AF16" s="259"/>
      <c r="AG16" s="35">
        <f t="shared" si="4"/>
        <v>101701997</v>
      </c>
    </row>
    <row r="17" spans="1:33" s="220" customFormat="1" x14ac:dyDescent="0.2">
      <c r="A17" s="343" t="str">
        <f>'(C2) Burimet viti kaluar'!C17</f>
        <v>A.1.5</v>
      </c>
      <c r="B17" s="343" t="str">
        <f>'(G1) Fjalori'!A228</f>
        <v>Taksa e tabelës</v>
      </c>
      <c r="C17" s="435"/>
      <c r="D17" s="225">
        <f>'(C2) Burimet viti kaluar'!D17</f>
        <v>1564880</v>
      </c>
      <c r="E17" s="225">
        <f>'(C2) Burimet viti kaluar'!E17</f>
        <v>6265672</v>
      </c>
      <c r="F17" s="225">
        <f>'(C2) Burimet viti kaluar'!F17</f>
        <v>5710000</v>
      </c>
      <c r="G17" s="31"/>
      <c r="H17" s="31"/>
      <c r="I17" s="31"/>
      <c r="J17" s="31"/>
      <c r="K17" s="31"/>
      <c r="L17" s="31"/>
      <c r="M17" s="31"/>
      <c r="N17" s="259"/>
      <c r="O17" s="698">
        <f>IF(F17&lt;&gt;0,F17*(1+(SUM(G17:M17))),N17)+3</f>
        <v>5710003</v>
      </c>
      <c r="P17" s="31"/>
      <c r="Q17" s="31"/>
      <c r="R17" s="31"/>
      <c r="S17" s="31"/>
      <c r="T17" s="31"/>
      <c r="U17" s="31"/>
      <c r="V17" s="31">
        <v>0.01</v>
      </c>
      <c r="W17" s="259"/>
      <c r="X17" s="698">
        <f>IF(O17&lt;&gt;0,O17*(1+(SUM(P17:V17))),W17)+1</f>
        <v>5767104.0300000003</v>
      </c>
      <c r="Y17" s="31"/>
      <c r="Z17" s="31"/>
      <c r="AA17" s="31"/>
      <c r="AB17" s="31"/>
      <c r="AC17" s="31"/>
      <c r="AD17" s="31"/>
      <c r="AE17" s="31">
        <v>0.01</v>
      </c>
      <c r="AF17" s="259"/>
      <c r="AG17" s="698">
        <f>IF(X17&lt;&gt;0,X17*(1+(SUM(Y17:AE17))),AF17)-1</f>
        <v>5824774.0703000007</v>
      </c>
    </row>
    <row r="18" spans="1:33" s="220" customFormat="1" x14ac:dyDescent="0.2">
      <c r="A18" s="343" t="str">
        <f>'(C2) Burimet viti kaluar'!C18</f>
        <v>A.1.6</v>
      </c>
      <c r="B18" s="343" t="str">
        <f>'(G1) Fjalori'!A229</f>
        <v>Taksa vendore mbi të ardhurat e krijuara nga dhuratat, trashëgimi, testament dhe llotaritë vendore</v>
      </c>
      <c r="C18" s="435"/>
      <c r="D18" s="225">
        <f>'(C2) Burimet viti kaluar'!D18</f>
        <v>0</v>
      </c>
      <c r="E18" s="225">
        <f>'(C2) Burimet viti kaluar'!E18</f>
        <v>0</v>
      </c>
      <c r="F18" s="225">
        <f>'(C2) Burimet viti kaluar'!F18</f>
        <v>0</v>
      </c>
      <c r="G18" s="31"/>
      <c r="H18" s="31"/>
      <c r="I18" s="31"/>
      <c r="J18" s="31"/>
      <c r="K18" s="31"/>
      <c r="L18" s="31"/>
      <c r="M18" s="31"/>
      <c r="N18" s="259"/>
      <c r="O18" s="35">
        <f t="shared" si="2"/>
        <v>0</v>
      </c>
      <c r="P18" s="31"/>
      <c r="Q18" s="31"/>
      <c r="R18" s="31"/>
      <c r="S18" s="31"/>
      <c r="T18" s="31"/>
      <c r="U18" s="31"/>
      <c r="V18" s="31"/>
      <c r="W18" s="259"/>
      <c r="X18" s="35">
        <f t="shared" si="3"/>
        <v>0</v>
      </c>
      <c r="Y18" s="31"/>
      <c r="Z18" s="31"/>
      <c r="AA18" s="31"/>
      <c r="AB18" s="31"/>
      <c r="AC18" s="31"/>
      <c r="AD18" s="31"/>
      <c r="AE18" s="31"/>
      <c r="AF18" s="259"/>
      <c r="AG18" s="35">
        <f t="shared" si="4"/>
        <v>0</v>
      </c>
    </row>
    <row r="19" spans="1:33" s="220" customFormat="1" x14ac:dyDescent="0.2">
      <c r="A19" s="343" t="str">
        <f>'(C2) Burimet viti kaluar'!C19</f>
        <v>A.1.7</v>
      </c>
      <c r="B19" s="343" t="str">
        <f>'(G1) Fjalori'!A230</f>
        <v>Taksa e përkohëshme</v>
      </c>
      <c r="C19" s="343" t="str">
        <f>'(C2) Burimet viti kaluar'!B19</f>
        <v>aaa</v>
      </c>
      <c r="D19" s="225">
        <f>'(C2) Burimet viti kaluar'!D19</f>
        <v>0</v>
      </c>
      <c r="E19" s="225">
        <f>'(C2) Burimet viti kaluar'!E19</f>
        <v>0</v>
      </c>
      <c r="F19" s="225">
        <f>'(C2) Burimet viti kaluar'!F19</f>
        <v>0</v>
      </c>
      <c r="G19" s="31"/>
      <c r="H19" s="31"/>
      <c r="I19" s="31"/>
      <c r="J19" s="31"/>
      <c r="K19" s="31"/>
      <c r="L19" s="31"/>
      <c r="M19" s="31"/>
      <c r="N19" s="259"/>
      <c r="O19" s="35">
        <f t="shared" si="2"/>
        <v>0</v>
      </c>
      <c r="P19" s="31"/>
      <c r="Q19" s="31"/>
      <c r="R19" s="31"/>
      <c r="S19" s="31"/>
      <c r="T19" s="31"/>
      <c r="U19" s="31"/>
      <c r="V19" s="31"/>
      <c r="W19" s="259"/>
      <c r="X19" s="35">
        <f t="shared" si="3"/>
        <v>0</v>
      </c>
      <c r="Y19" s="31"/>
      <c r="Z19" s="31"/>
      <c r="AA19" s="31"/>
      <c r="AB19" s="31"/>
      <c r="AC19" s="31"/>
      <c r="AD19" s="31"/>
      <c r="AE19" s="31"/>
      <c r="AF19" s="259"/>
      <c r="AG19" s="35">
        <f t="shared" si="4"/>
        <v>0</v>
      </c>
    </row>
    <row r="20" spans="1:33" s="220" customFormat="1" x14ac:dyDescent="0.2">
      <c r="A20" s="343" t="str">
        <f>'(C2) Burimet viti kaluar'!C20</f>
        <v>A.1.8</v>
      </c>
      <c r="B20" s="343" t="str">
        <f>'(G1) Fjalori'!A231</f>
        <v>Taksa e përkohëshme 1</v>
      </c>
      <c r="C20" s="343" t="str">
        <f>'(C2) Burimet viti kaluar'!B20</f>
        <v>bbb</v>
      </c>
      <c r="D20" s="225">
        <f>'(C2) Burimet viti kaluar'!D20</f>
        <v>7828283</v>
      </c>
      <c r="E20" s="225">
        <f>'(C2) Burimet viti kaluar'!E20</f>
        <v>0</v>
      </c>
      <c r="F20" s="225">
        <f>'(C2) Burimet viti kaluar'!F20</f>
        <v>0</v>
      </c>
      <c r="G20" s="31"/>
      <c r="H20" s="31"/>
      <c r="I20" s="31"/>
      <c r="J20" s="31"/>
      <c r="K20" s="31"/>
      <c r="L20" s="31"/>
      <c r="M20" s="31"/>
      <c r="N20" s="259"/>
      <c r="O20" s="35">
        <f t="shared" si="2"/>
        <v>0</v>
      </c>
      <c r="P20" s="31"/>
      <c r="Q20" s="31"/>
      <c r="R20" s="31"/>
      <c r="S20" s="31"/>
      <c r="T20" s="31"/>
      <c r="U20" s="31"/>
      <c r="V20" s="31"/>
      <c r="W20" s="259"/>
      <c r="X20" s="35">
        <f t="shared" si="3"/>
        <v>0</v>
      </c>
      <c r="Y20" s="31"/>
      <c r="Z20" s="31"/>
      <c r="AA20" s="31"/>
      <c r="AB20" s="31"/>
      <c r="AC20" s="31"/>
      <c r="AD20" s="31"/>
      <c r="AE20" s="31"/>
      <c r="AF20" s="259"/>
      <c r="AG20" s="35">
        <f t="shared" si="4"/>
        <v>0</v>
      </c>
    </row>
    <row r="21" spans="1:33" s="220" customFormat="1" x14ac:dyDescent="0.2">
      <c r="A21" s="343" t="str">
        <f>'(C2) Burimet viti kaluar'!C21</f>
        <v>A.1.9</v>
      </c>
      <c r="B21" s="343" t="str">
        <f>'(G1) Fjalori'!A232</f>
        <v>Taksa e përkohëshme 2</v>
      </c>
      <c r="C21" s="343" t="str">
        <f>'(C2) Burimet viti kaluar'!B21</f>
        <v>ccc</v>
      </c>
      <c r="D21" s="225">
        <f>'(C2) Burimet viti kaluar'!D21</f>
        <v>0</v>
      </c>
      <c r="E21" s="225">
        <f>'(C2) Burimet viti kaluar'!E21</f>
        <v>0</v>
      </c>
      <c r="F21" s="225">
        <f>'(C2) Burimet viti kaluar'!F21</f>
        <v>0</v>
      </c>
      <c r="G21" s="31"/>
      <c r="H21" s="31"/>
      <c r="I21" s="31"/>
      <c r="J21" s="31"/>
      <c r="K21" s="31"/>
      <c r="L21" s="31"/>
      <c r="M21" s="31"/>
      <c r="N21" s="259"/>
      <c r="O21" s="35">
        <f t="shared" si="2"/>
        <v>0</v>
      </c>
      <c r="P21" s="31"/>
      <c r="Q21" s="31"/>
      <c r="R21" s="31"/>
      <c r="S21" s="31"/>
      <c r="T21" s="31"/>
      <c r="U21" s="31"/>
      <c r="V21" s="31"/>
      <c r="W21" s="259"/>
      <c r="X21" s="35">
        <f t="shared" si="3"/>
        <v>0</v>
      </c>
      <c r="Y21" s="31"/>
      <c r="Z21" s="31"/>
      <c r="AA21" s="31"/>
      <c r="AB21" s="31"/>
      <c r="AC21" s="31"/>
      <c r="AD21" s="31"/>
      <c r="AE21" s="31"/>
      <c r="AF21" s="259"/>
      <c r="AG21" s="35">
        <f t="shared" si="4"/>
        <v>0</v>
      </c>
    </row>
    <row r="22" spans="1:33" s="212" customFormat="1" ht="18.75" x14ac:dyDescent="0.25">
      <c r="A22" s="241" t="str">
        <f>'(C2) Burimet viti kaluar'!C22</f>
        <v>A.2</v>
      </c>
      <c r="B22" s="1146" t="str">
        <f>'(G1) Fjalori'!A233</f>
        <v>TË ARDHURA NGA TAKSAT E NDARA (GRANTE)</v>
      </c>
      <c r="C22" s="1147"/>
      <c r="D22" s="346">
        <f>'(C2) Burimet viti kaluar'!D22</f>
        <v>22350319</v>
      </c>
      <c r="E22" s="346">
        <f>'(C2) Burimet viti kaluar'!E22</f>
        <v>35247548</v>
      </c>
      <c r="F22" s="346">
        <f>'(C2) Burimet viti kaluar'!F22</f>
        <v>36400000</v>
      </c>
      <c r="G22" s="459"/>
      <c r="H22" s="459"/>
      <c r="I22" s="459"/>
      <c r="J22" s="459"/>
      <c r="K22" s="459"/>
      <c r="L22" s="459"/>
      <c r="M22" s="459"/>
      <c r="N22" s="459"/>
      <c r="O22" s="346">
        <f>SUM(O23:O27)</f>
        <v>37554040</v>
      </c>
      <c r="P22" s="459"/>
      <c r="Q22" s="459"/>
      <c r="R22" s="459"/>
      <c r="S22" s="459"/>
      <c r="T22" s="459"/>
      <c r="U22" s="459"/>
      <c r="V22" s="459"/>
      <c r="W22" s="459"/>
      <c r="X22" s="346">
        <f>SUM(X23:X27)</f>
        <v>37604040</v>
      </c>
      <c r="Y22" s="459"/>
      <c r="Z22" s="459"/>
      <c r="AA22" s="459"/>
      <c r="AB22" s="459"/>
      <c r="AC22" s="459"/>
      <c r="AD22" s="459"/>
      <c r="AE22" s="459"/>
      <c r="AF22" s="459"/>
      <c r="AG22" s="346">
        <f>SUM(AG23:AG27)</f>
        <v>37604040</v>
      </c>
    </row>
    <row r="23" spans="1:33" s="220" customFormat="1" x14ac:dyDescent="0.2">
      <c r="A23" s="343" t="str">
        <f>'(C2) Burimet viti kaluar'!C23</f>
        <v>A.2.1</v>
      </c>
      <c r="B23" s="343" t="str">
        <f>'(G1) Fjalori'!A234</f>
        <v>Taksa mbi kalimin e të drejtës së pronësisë / pasuritë e paluajtshme</v>
      </c>
      <c r="C23" s="435"/>
      <c r="D23" s="225">
        <f>'(C2) Burimet viti kaluar'!D23</f>
        <v>5766908</v>
      </c>
      <c r="E23" s="225">
        <f>'(C2) Burimet viti kaluar'!E23</f>
        <v>2696634</v>
      </c>
      <c r="F23" s="225">
        <f>'(C2) Burimet viti kaluar'!F23</f>
        <v>6200000</v>
      </c>
      <c r="G23" s="31"/>
      <c r="H23" s="31">
        <v>1.6150000000000001E-2</v>
      </c>
      <c r="I23" s="31"/>
      <c r="J23" s="31"/>
      <c r="K23" s="31"/>
      <c r="L23" s="31"/>
      <c r="M23" s="31"/>
      <c r="N23" s="259"/>
      <c r="O23" s="698">
        <f>IF(F23&lt;&gt;0,F23*(1+(SUM(G23:M23))),N23)-130</f>
        <v>6300000.0000000009</v>
      </c>
      <c r="P23" s="31"/>
      <c r="Q23" s="31"/>
      <c r="R23" s="31"/>
      <c r="S23" s="31"/>
      <c r="T23" s="31"/>
      <c r="U23" s="31"/>
      <c r="V23" s="31"/>
      <c r="W23" s="259"/>
      <c r="X23" s="698">
        <f t="shared" si="3"/>
        <v>6300000.0000000009</v>
      </c>
      <c r="Y23" s="31"/>
      <c r="Z23" s="31"/>
      <c r="AA23" s="31"/>
      <c r="AB23" s="31"/>
      <c r="AC23" s="31"/>
      <c r="AD23" s="31"/>
      <c r="AE23" s="31"/>
      <c r="AF23" s="259"/>
      <c r="AG23" s="698">
        <f t="shared" si="4"/>
        <v>6300000.0000000009</v>
      </c>
    </row>
    <row r="24" spans="1:33" s="220" customFormat="1" x14ac:dyDescent="0.2">
      <c r="A24" s="343" t="str">
        <f>'(C2) Burimet viti kaluar'!C24</f>
        <v>A.2.2</v>
      </c>
      <c r="B24" s="343" t="str">
        <f>'(G1) Fjalori'!A235</f>
        <v>Taksa vjetore për qarkullimin e mjeteve të përdorura</v>
      </c>
      <c r="C24" s="435"/>
      <c r="D24" s="225">
        <f>'(C2) Burimet viti kaluar'!D24</f>
        <v>16400241</v>
      </c>
      <c r="E24" s="225">
        <f>'(C2) Burimet viti kaluar'!E24</f>
        <v>19315106</v>
      </c>
      <c r="F24" s="225">
        <f>'(C2) Burimet viti kaluar'!F24</f>
        <v>20000000</v>
      </c>
      <c r="G24" s="31"/>
      <c r="H24" s="31"/>
      <c r="I24" s="31">
        <v>0.02</v>
      </c>
      <c r="J24" s="31"/>
      <c r="K24" s="31"/>
      <c r="L24" s="31"/>
      <c r="M24" s="31">
        <v>1.3350000000000001E-2</v>
      </c>
      <c r="N24" s="259"/>
      <c r="O24" s="698">
        <f>IF(F24&lt;&gt;0,F24*(1+(SUM(G24:M24))),N24)-250</f>
        <v>20666750</v>
      </c>
      <c r="P24" s="31"/>
      <c r="Q24" s="31"/>
      <c r="R24" s="31"/>
      <c r="S24" s="31"/>
      <c r="T24" s="31"/>
      <c r="U24" s="31"/>
      <c r="V24" s="31"/>
      <c r="W24" s="259"/>
      <c r="X24" s="698">
        <f t="shared" si="3"/>
        <v>20666750</v>
      </c>
      <c r="Y24" s="31"/>
      <c r="Z24" s="31"/>
      <c r="AA24" s="31"/>
      <c r="AB24" s="31"/>
      <c r="AC24" s="31"/>
      <c r="AD24" s="31"/>
      <c r="AE24" s="31"/>
      <c r="AF24" s="259"/>
      <c r="AG24" s="698">
        <f t="shared" si="4"/>
        <v>20666750</v>
      </c>
    </row>
    <row r="25" spans="1:33" s="220" customFormat="1" x14ac:dyDescent="0.2">
      <c r="A25" s="343" t="str">
        <f>'(C2) Burimet viti kaluar'!C25</f>
        <v>A.2.3</v>
      </c>
      <c r="B25" s="343" t="str">
        <f>'(G1) Fjalori'!A236</f>
        <v>Taksa e rentës minerare</v>
      </c>
      <c r="C25" s="435"/>
      <c r="D25" s="225">
        <f>'(C2) Burimet viti kaluar'!D25</f>
        <v>183170</v>
      </c>
      <c r="E25" s="225">
        <f>'(C2) Burimet viti kaluar'!E25</f>
        <v>446425</v>
      </c>
      <c r="F25" s="225">
        <f>'(C2) Burimet viti kaluar'!F25</f>
        <v>200000</v>
      </c>
      <c r="G25" s="31">
        <v>0.1</v>
      </c>
      <c r="H25" s="31"/>
      <c r="I25" s="31"/>
      <c r="J25" s="31"/>
      <c r="K25" s="31"/>
      <c r="L25" s="31"/>
      <c r="M25" s="31">
        <v>0.15</v>
      </c>
      <c r="N25" s="259"/>
      <c r="O25" s="698">
        <f>IF(F25&lt;&gt;0,F25*(1+(SUM(G25:M25))),N25)</f>
        <v>250000</v>
      </c>
      <c r="P25" s="31"/>
      <c r="Q25" s="31"/>
      <c r="R25" s="31"/>
      <c r="S25" s="31"/>
      <c r="T25" s="31"/>
      <c r="U25" s="31">
        <v>0.2</v>
      </c>
      <c r="V25" s="31"/>
      <c r="W25" s="259"/>
      <c r="X25" s="698">
        <f t="shared" si="3"/>
        <v>300000</v>
      </c>
      <c r="Y25" s="31"/>
      <c r="Z25" s="31"/>
      <c r="AA25" s="31"/>
      <c r="AB25" s="31"/>
      <c r="AC25" s="31"/>
      <c r="AD25" s="31"/>
      <c r="AE25" s="31"/>
      <c r="AF25" s="259"/>
      <c r="AG25" s="698">
        <f t="shared" si="4"/>
        <v>300000</v>
      </c>
    </row>
    <row r="26" spans="1:33" s="220" customFormat="1" x14ac:dyDescent="0.2">
      <c r="A26" s="343" t="str">
        <f>'(C2) Burimet viti kaluar'!C26</f>
        <v>A.2.4</v>
      </c>
      <c r="B26" s="343" t="str">
        <f>'(G1) Fjalori'!A237</f>
        <v>Taksa mbi të ardhurat personale</v>
      </c>
      <c r="C26" s="435"/>
      <c r="D26" s="225">
        <f>'(C2) Burimet viti kaluar'!D26</f>
        <v>0</v>
      </c>
      <c r="E26" s="225">
        <f>'(C2) Burimet viti kaluar'!E26</f>
        <v>12789383</v>
      </c>
      <c r="F26" s="225">
        <f>'(C2) Burimet viti kaluar'!F26</f>
        <v>10000000</v>
      </c>
      <c r="G26" s="31"/>
      <c r="H26" s="31"/>
      <c r="I26" s="31">
        <v>2.375E-2</v>
      </c>
      <c r="J26" s="31"/>
      <c r="K26" s="31"/>
      <c r="L26" s="31"/>
      <c r="M26" s="31">
        <v>0.01</v>
      </c>
      <c r="N26" s="259"/>
      <c r="O26" s="35">
        <f>IF(F26&lt;&gt;0,F26*(1+(SUM(G26:M26))),N26)-210</f>
        <v>10337290</v>
      </c>
      <c r="P26" s="31"/>
      <c r="Q26" s="31"/>
      <c r="R26" s="31"/>
      <c r="S26" s="31"/>
      <c r="T26" s="31"/>
      <c r="U26" s="31"/>
      <c r="V26" s="31"/>
      <c r="W26" s="259"/>
      <c r="X26" s="698">
        <f>IF(O26&lt;&gt;0,O26*(1+(SUM(P26:V26))),W26)</f>
        <v>10337290</v>
      </c>
      <c r="Y26" s="31"/>
      <c r="Z26" s="31"/>
      <c r="AA26" s="31"/>
      <c r="AB26" s="31"/>
      <c r="AC26" s="31"/>
      <c r="AD26" s="31"/>
      <c r="AE26" s="31"/>
      <c r="AF26" s="259"/>
      <c r="AG26" s="698">
        <f t="shared" si="4"/>
        <v>10337290</v>
      </c>
    </row>
    <row r="27" spans="1:33" s="220" customFormat="1" x14ac:dyDescent="0.2">
      <c r="A27" s="343" t="str">
        <f>'(C2) Burimet viti kaluar'!C27</f>
        <v>A.2.5</v>
      </c>
      <c r="B27" s="343" t="str">
        <f>'(G1) Fjalori'!A238</f>
        <v xml:space="preserve">Taksa të tjera </v>
      </c>
      <c r="C27" s="435"/>
      <c r="D27" s="225">
        <f>'(C2) Burimet viti kaluar'!D27</f>
        <v>0</v>
      </c>
      <c r="E27" s="225">
        <f>'(C2) Burimet viti kaluar'!E27</f>
        <v>0</v>
      </c>
      <c r="F27" s="225">
        <f>'(C2) Burimet viti kaluar'!F27</f>
        <v>0</v>
      </c>
      <c r="G27" s="31"/>
      <c r="H27" s="31"/>
      <c r="I27" s="31"/>
      <c r="J27" s="31"/>
      <c r="K27" s="31"/>
      <c r="L27" s="31"/>
      <c r="M27" s="31"/>
      <c r="N27" s="259"/>
      <c r="O27" s="35">
        <f>IF(F27&lt;&gt;0,F27*(1+(SUM(G27:M27))),N27)</f>
        <v>0</v>
      </c>
      <c r="P27" s="31"/>
      <c r="Q27" s="31"/>
      <c r="R27" s="31"/>
      <c r="S27" s="31"/>
      <c r="T27" s="31"/>
      <c r="U27" s="31"/>
      <c r="V27" s="31"/>
      <c r="W27" s="259"/>
      <c r="X27" s="35">
        <f t="shared" si="3"/>
        <v>0</v>
      </c>
      <c r="Y27" s="31"/>
      <c r="Z27" s="31"/>
      <c r="AA27" s="31"/>
      <c r="AB27" s="31"/>
      <c r="AC27" s="31"/>
      <c r="AD27" s="31"/>
      <c r="AE27" s="31"/>
      <c r="AF27" s="259"/>
      <c r="AG27" s="35">
        <f t="shared" si="4"/>
        <v>0</v>
      </c>
    </row>
    <row r="28" spans="1:33" s="209" customFormat="1" x14ac:dyDescent="0.25">
      <c r="B28" s="214"/>
      <c r="C28" s="214"/>
      <c r="Y28" s="453"/>
      <c r="Z28" s="214"/>
      <c r="AA28" s="214"/>
      <c r="AB28" s="214"/>
      <c r="AC28" s="214"/>
      <c r="AD28" s="214"/>
      <c r="AE28" s="214"/>
      <c r="AF28" s="214"/>
      <c r="AG28" s="454"/>
    </row>
    <row r="29" spans="1:33" s="212" customFormat="1" ht="17.25" customHeight="1" x14ac:dyDescent="0.25">
      <c r="D29" s="443">
        <f>D5</f>
        <v>2019</v>
      </c>
      <c r="E29" s="443">
        <f>E5</f>
        <v>2020</v>
      </c>
      <c r="F29" s="443">
        <f>F5</f>
        <v>2021</v>
      </c>
      <c r="G29" s="1176">
        <f>G5</f>
        <v>2022</v>
      </c>
      <c r="H29" s="1177"/>
      <c r="I29" s="1177"/>
      <c r="J29" s="1177"/>
      <c r="K29" s="1177"/>
      <c r="L29" s="1177"/>
      <c r="M29" s="1177"/>
      <c r="N29" s="1177"/>
      <c r="O29" s="1178"/>
      <c r="P29" s="1176">
        <f>P5</f>
        <v>2023</v>
      </c>
      <c r="Q29" s="1177"/>
      <c r="R29" s="1177"/>
      <c r="S29" s="1177"/>
      <c r="T29" s="1177"/>
      <c r="U29" s="1177"/>
      <c r="V29" s="1177"/>
      <c r="W29" s="1177"/>
      <c r="X29" s="1177"/>
      <c r="Y29" s="1176">
        <f>Y5</f>
        <v>2024</v>
      </c>
      <c r="Z29" s="1177"/>
      <c r="AA29" s="1177"/>
      <c r="AB29" s="1177"/>
      <c r="AC29" s="1177"/>
      <c r="AD29" s="1177"/>
      <c r="AE29" s="1177"/>
      <c r="AF29" s="1177"/>
      <c r="AG29" s="1178"/>
    </row>
    <row r="30" spans="1:33" s="217" customFormat="1" ht="34.5" customHeight="1" x14ac:dyDescent="0.25">
      <c r="B30" s="216"/>
      <c r="C30" s="216"/>
      <c r="D30" s="260" t="str">
        <f>D6</f>
        <v>Viti t-2</v>
      </c>
      <c r="E30" s="260" t="str">
        <f>E6</f>
        <v>Viti i shkuar</v>
      </c>
      <c r="F30" s="260" t="str">
        <f>F6</f>
        <v>Viti aktual</v>
      </c>
      <c r="G30" s="1168"/>
      <c r="H30" s="1169"/>
      <c r="I30" s="28" t="str">
        <f>'(G1) Fjalori'!A354</f>
        <v>Përmirësimi i përdorimit të potencialit të tarifës në %</v>
      </c>
      <c r="J30" s="28" t="str">
        <f>'(G1) Fjalori'!A355</f>
        <v>Vlerësimi i impaktit të ndyshimeve ligjore në %</v>
      </c>
      <c r="K30" s="28" t="str">
        <f>'(G1) Fjalori'!A344</f>
        <v>Rritja e pritshme e vëllimit të aktiviteteve në %</v>
      </c>
      <c r="L30" s="28" t="str">
        <f>'(G1) Fjalori'!A350</f>
        <v>Rritja e tarifës për njësi %</v>
      </c>
      <c r="M30" s="28" t="str">
        <f>M6</f>
        <v>Vlerësimi i impaktit të faktorëve të tjerë në %</v>
      </c>
      <c r="N30" s="28" t="str">
        <f>N6</f>
        <v>Vlera bazë e të ardhurave të reja</v>
      </c>
      <c r="O30" s="217">
        <f>O6</f>
        <v>0</v>
      </c>
      <c r="P30" s="1168"/>
      <c r="Q30" s="1169"/>
      <c r="R30" s="28" t="str">
        <f>I30</f>
        <v>Përmirësimi i përdorimit të potencialit të tarifës në %</v>
      </c>
      <c r="S30" s="28" t="str">
        <f>J30</f>
        <v>Vlerësimi i impaktit të ndyshimeve ligjore në %</v>
      </c>
      <c r="T30" s="28" t="str">
        <f>K30</f>
        <v>Rritja e pritshme e vëllimit të aktiviteteve në %</v>
      </c>
      <c r="U30" s="28" t="str">
        <f>L30</f>
        <v>Rritja e tarifës për njësi %</v>
      </c>
      <c r="V30" s="28" t="str">
        <f>M30</f>
        <v>Vlerësimi i impaktit të faktorëve të tjerë në %</v>
      </c>
      <c r="W30" s="28" t="str">
        <f>W6</f>
        <v>Vlera bazë e të ardhurave të reja</v>
      </c>
      <c r="X30" s="217">
        <f>X6</f>
        <v>0</v>
      </c>
      <c r="Y30" s="1168"/>
      <c r="Z30" s="1169"/>
      <c r="AA30" s="28" t="str">
        <f>R30</f>
        <v>Përmirësimi i përdorimit të potencialit të tarifës në %</v>
      </c>
      <c r="AB30" s="28" t="str">
        <f>S30</f>
        <v>Vlerësimi i impaktit të ndyshimeve ligjore në %</v>
      </c>
      <c r="AC30" s="28" t="str">
        <f>T30</f>
        <v>Rritja e pritshme e vëllimit të aktiviteteve në %</v>
      </c>
      <c r="AD30" s="28" t="str">
        <f>U30</f>
        <v>Rritja e tarifës për njësi %</v>
      </c>
      <c r="AE30" s="28" t="str">
        <f>V30</f>
        <v>Vlerësimi i impaktit të faktorëve të tjerë në %</v>
      </c>
      <c r="AF30" s="28" t="str">
        <f>AF6</f>
        <v>Vlera bazë e të ardhurave të reja</v>
      </c>
      <c r="AG30" s="451">
        <f>AG6</f>
        <v>0</v>
      </c>
    </row>
    <row r="31" spans="1:33" s="212" customFormat="1" ht="18.75" x14ac:dyDescent="0.25">
      <c r="A31" s="241" t="str">
        <f>'(C2) Burimet viti kaluar'!C28</f>
        <v>A.3</v>
      </c>
      <c r="B31" s="1146" t="str">
        <f>'(G1) Fjalori'!A239</f>
        <v>TË ARDHURA NGA TARIFA VENDORE</v>
      </c>
      <c r="C31" s="1147"/>
      <c r="D31" s="346">
        <f>'(C2) Burimet viti kaluar'!D28</f>
        <v>170597464</v>
      </c>
      <c r="E31" s="346">
        <f>'(C2) Burimet viti kaluar'!E28</f>
        <v>172854265</v>
      </c>
      <c r="F31" s="346">
        <f>'(C2) Burimet viti kaluar'!F28</f>
        <v>278604000</v>
      </c>
      <c r="G31" s="348"/>
      <c r="H31" s="348"/>
      <c r="I31" s="348"/>
      <c r="J31" s="348"/>
      <c r="K31" s="348"/>
      <c r="L31" s="348"/>
      <c r="M31" s="348"/>
      <c r="N31" s="348"/>
      <c r="O31" s="346">
        <f>SUM(O32:O73)-O60-O46-O41-O37-O32</f>
        <v>288422526.79999995</v>
      </c>
      <c r="P31" s="348"/>
      <c r="Q31" s="348"/>
      <c r="R31" s="348"/>
      <c r="S31" s="348"/>
      <c r="T31" s="348"/>
      <c r="U31" s="348"/>
      <c r="V31" s="348"/>
      <c r="W31" s="348"/>
      <c r="X31" s="450">
        <f>SUM(X32:X73)-X60-X46-X41-X37-X32</f>
        <v>291128508.75699997</v>
      </c>
      <c r="Y31" s="452"/>
      <c r="Z31" s="348"/>
      <c r="AA31" s="348"/>
      <c r="AB31" s="348"/>
      <c r="AC31" s="348"/>
      <c r="AD31" s="348"/>
      <c r="AE31" s="348"/>
      <c r="AF31" s="348"/>
      <c r="AG31" s="346">
        <f>SUM(AG32:AG73)-AG60-AG46-AG41-AG37-AG32</f>
        <v>293670363.87340826</v>
      </c>
    </row>
    <row r="32" spans="1:33" s="220" customFormat="1" x14ac:dyDescent="0.25">
      <c r="A32" s="343" t="str">
        <f>'(C2) Burimet viti kaluar'!C29</f>
        <v>A.3.1</v>
      </c>
      <c r="B32" s="456" t="str">
        <f>'(G1) Fjalori'!A240</f>
        <v>Tarifa me menaxhimit te mbetjeve</v>
      </c>
      <c r="C32" s="457"/>
      <c r="D32" s="235">
        <f>'(C2) Burimet viti kaluar'!D29</f>
        <v>74919468</v>
      </c>
      <c r="E32" s="235">
        <f>'(C2) Burimet viti kaluar'!E29</f>
        <v>77760684</v>
      </c>
      <c r="F32" s="235">
        <f>'(C2) Burimet viti kaluar'!F29</f>
        <v>123000000</v>
      </c>
      <c r="G32" s="235"/>
      <c r="H32" s="349"/>
      <c r="I32" s="349"/>
      <c r="J32" s="349"/>
      <c r="K32" s="349"/>
      <c r="L32" s="349"/>
      <c r="M32" s="349"/>
      <c r="N32" s="350"/>
      <c r="O32" s="349">
        <f>SUM(O33:O36)</f>
        <v>124299999.99999999</v>
      </c>
      <c r="P32" s="235"/>
      <c r="Q32" s="349"/>
      <c r="R32" s="349"/>
      <c r="S32" s="349"/>
      <c r="T32" s="349"/>
      <c r="U32" s="349"/>
      <c r="V32" s="349"/>
      <c r="W32" s="350"/>
      <c r="X32" s="349">
        <f>SUM(X33:X36)</f>
        <v>125517999.99999997</v>
      </c>
      <c r="Y32" s="235"/>
      <c r="Z32" s="349"/>
      <c r="AA32" s="349"/>
      <c r="AB32" s="349"/>
      <c r="AC32" s="349"/>
      <c r="AD32" s="349"/>
      <c r="AE32" s="349"/>
      <c r="AF32" s="350"/>
      <c r="AG32" s="350">
        <f>SUM(AG33:AG36)</f>
        <v>126754269.99999996</v>
      </c>
    </row>
    <row r="33" spans="1:33" s="212" customFormat="1" x14ac:dyDescent="0.2">
      <c r="A33" s="235" t="str">
        <f>'(C2) Burimet viti kaluar'!C30</f>
        <v>A.3.1.1</v>
      </c>
      <c r="B33" s="1142" t="str">
        <f>'(G1) Fjalori'!A241</f>
        <v>Tarifa e pastrimit për familjet</v>
      </c>
      <c r="C33" s="1143"/>
      <c r="D33" s="225">
        <f>'(C2) Burimet viti kaluar'!D30</f>
        <v>74919468</v>
      </c>
      <c r="E33" s="225">
        <f>'(C2) Burimet viti kaluar'!E30</f>
        <v>44491055</v>
      </c>
      <c r="F33" s="225">
        <f>'(C2) Burimet viti kaluar'!F30</f>
        <v>80000000</v>
      </c>
      <c r="G33" s="1165"/>
      <c r="H33" s="1166"/>
      <c r="I33" s="31"/>
      <c r="J33" s="31"/>
      <c r="K33" s="31"/>
      <c r="L33" s="31"/>
      <c r="M33" s="31">
        <v>1.4999999999999999E-2</v>
      </c>
      <c r="N33" s="259"/>
      <c r="O33" s="698">
        <f>IF(F33&lt;&gt;0,F33*(1+(SUM(I33:M33))),N33)</f>
        <v>81199999.999999985</v>
      </c>
      <c r="P33" s="1165"/>
      <c r="Q33" s="1166"/>
      <c r="R33" s="31">
        <v>1.4999999999999999E-2</v>
      </c>
      <c r="S33" s="31"/>
      <c r="T33" s="31"/>
      <c r="U33" s="31"/>
      <c r="V33" s="31"/>
      <c r="W33" s="259"/>
      <c r="X33" s="698">
        <f>IF(O33&lt;&gt;0,O33*(1+(SUM(R33:V33))),W33)</f>
        <v>82417999.99999997</v>
      </c>
      <c r="Y33" s="1165"/>
      <c r="Z33" s="1166"/>
      <c r="AA33" s="31">
        <v>1.4999999999999999E-2</v>
      </c>
      <c r="AB33" s="31"/>
      <c r="AC33" s="31"/>
      <c r="AD33" s="31"/>
      <c r="AE33" s="31"/>
      <c r="AF33" s="259"/>
      <c r="AG33" s="35">
        <f>IF(X33&lt;&gt;0,X33*(1+(SUM(AA33:AE33))),AF33)</f>
        <v>83654269.999999955</v>
      </c>
    </row>
    <row r="34" spans="1:33" s="212" customFormat="1" x14ac:dyDescent="0.2">
      <c r="A34" s="235" t="str">
        <f>'(C2) Burimet viti kaluar'!C31</f>
        <v>A.3.1.2</v>
      </c>
      <c r="B34" s="1142" t="str">
        <f>'(G1) Fjalori'!A242</f>
        <v>Tarifa e pastrimit për institucionet</v>
      </c>
      <c r="C34" s="1143"/>
      <c r="D34" s="225">
        <f>'(C2) Burimet viti kaluar'!D31</f>
        <v>0</v>
      </c>
      <c r="E34" s="225">
        <f>'(C2) Burimet viti kaluar'!E31</f>
        <v>30269629</v>
      </c>
      <c r="F34" s="225">
        <f>'(C2) Burimet viti kaluar'!F31</f>
        <v>40000000</v>
      </c>
      <c r="G34" s="1165"/>
      <c r="H34" s="1166"/>
      <c r="I34" s="31"/>
      <c r="J34" s="31"/>
      <c r="K34" s="31"/>
      <c r="L34" s="31"/>
      <c r="M34" s="31"/>
      <c r="N34" s="259"/>
      <c r="O34" s="35">
        <f>IF(F34&lt;&gt;0,F34*(1+(SUM(I34:M34))),N34)</f>
        <v>40000000</v>
      </c>
      <c r="P34" s="1165"/>
      <c r="Q34" s="1166"/>
      <c r="R34" s="31"/>
      <c r="S34" s="31"/>
      <c r="T34" s="31"/>
      <c r="U34" s="31"/>
      <c r="V34" s="31"/>
      <c r="W34" s="259"/>
      <c r="X34" s="35">
        <f>IF(O34&lt;&gt;0,O34*(1+(SUM(R34:V34))),W34)</f>
        <v>40000000</v>
      </c>
      <c r="Y34" s="1165"/>
      <c r="Z34" s="1166"/>
      <c r="AA34" s="31"/>
      <c r="AB34" s="31"/>
      <c r="AC34" s="31"/>
      <c r="AD34" s="31"/>
      <c r="AE34" s="31"/>
      <c r="AF34" s="259"/>
      <c r="AG34" s="35">
        <f>IF(X34&lt;&gt;0,X34*(1+(SUM(AA34:AE34))),AF34)</f>
        <v>40000000</v>
      </c>
    </row>
    <row r="35" spans="1:33" s="212" customFormat="1" x14ac:dyDescent="0.2">
      <c r="A35" s="235" t="str">
        <f>'(C2) Burimet viti kaluar'!C32</f>
        <v>A.3.1.3</v>
      </c>
      <c r="B35" s="1142" t="str">
        <f>'(G1) Fjalori'!A243</f>
        <v>Tarifa e pastrimit për biznesin</v>
      </c>
      <c r="C35" s="1143"/>
      <c r="D35" s="225">
        <f>'(C2) Burimet viti kaluar'!D32</f>
        <v>0</v>
      </c>
      <c r="E35" s="225">
        <f>'(C2) Burimet viti kaluar'!E32</f>
        <v>3000000</v>
      </c>
      <c r="F35" s="225">
        <f>'(C2) Burimet viti kaluar'!F32</f>
        <v>3000000</v>
      </c>
      <c r="G35" s="1165"/>
      <c r="H35" s="1166"/>
      <c r="I35" s="31"/>
      <c r="J35" s="31"/>
      <c r="K35" s="31"/>
      <c r="L35" s="31"/>
      <c r="M35" s="31"/>
      <c r="N35" s="259"/>
      <c r="O35" s="35">
        <f>IF(F35&lt;&gt;0,F35*(1+(SUM(I35:M35))),N35)</f>
        <v>3000000</v>
      </c>
      <c r="P35" s="1165"/>
      <c r="Q35" s="1166"/>
      <c r="R35" s="31"/>
      <c r="S35" s="31"/>
      <c r="T35" s="31"/>
      <c r="U35" s="31"/>
      <c r="V35" s="31"/>
      <c r="W35" s="259"/>
      <c r="X35" s="35">
        <f>IF(O35&lt;&gt;0,O35*(1+(SUM(R35:V35))),W35)</f>
        <v>3000000</v>
      </c>
      <c r="Y35" s="1165"/>
      <c r="Z35" s="1166"/>
      <c r="AA35" s="31"/>
      <c r="AB35" s="31"/>
      <c r="AC35" s="31"/>
      <c r="AD35" s="31"/>
      <c r="AE35" s="31"/>
      <c r="AF35" s="259"/>
      <c r="AG35" s="35">
        <f>IF(X35&lt;&gt;0,X35*(1+(SUM(AA35:AE35))),AF35)</f>
        <v>3000000</v>
      </c>
    </row>
    <row r="36" spans="1:33" s="220" customFormat="1" x14ac:dyDescent="0.2">
      <c r="A36" s="343" t="str">
        <f>'(C2) Burimet viti kaluar'!C33</f>
        <v>A.3.2</v>
      </c>
      <c r="B36" s="456" t="str">
        <f>'(G1) Fjalori'!A244</f>
        <v>Tarifa për mbledhjen dhe largimin e mbetjeve</v>
      </c>
      <c r="C36" s="456"/>
      <c r="D36" s="225">
        <f>'(C2) Burimet viti kaluar'!D33</f>
        <v>0</v>
      </c>
      <c r="E36" s="225">
        <f>'(C2) Burimet viti kaluar'!E33</f>
        <v>0</v>
      </c>
      <c r="F36" s="225">
        <f>'(C2) Burimet viti kaluar'!F33</f>
        <v>100000</v>
      </c>
      <c r="G36" s="1165"/>
      <c r="H36" s="1166"/>
      <c r="I36" s="31"/>
      <c r="J36" s="31"/>
      <c r="K36" s="31"/>
      <c r="L36" s="31"/>
      <c r="M36" s="31"/>
      <c r="N36" s="259"/>
      <c r="O36" s="35">
        <f>IF(F36&lt;&gt;0,F36*(1+(SUM(I36:M36))),N36)</f>
        <v>100000</v>
      </c>
      <c r="P36" s="1165"/>
      <c r="Q36" s="1166"/>
      <c r="R36" s="31"/>
      <c r="S36" s="31"/>
      <c r="T36" s="31"/>
      <c r="U36" s="31"/>
      <c r="V36" s="31"/>
      <c r="W36" s="259"/>
      <c r="X36" s="35">
        <f>IF(O36&lt;&gt;0,O36*(1+(SUM(R36:V36))),W36)</f>
        <v>100000</v>
      </c>
      <c r="Y36" s="1165"/>
      <c r="Z36" s="1166"/>
      <c r="AA36" s="31"/>
      <c r="AB36" s="31"/>
      <c r="AC36" s="31"/>
      <c r="AD36" s="31"/>
      <c r="AE36" s="31"/>
      <c r="AF36" s="259"/>
      <c r="AG36" s="35">
        <f>IF(X36&lt;&gt;0,X36*(1+(SUM(AA36:AE36))),AF36)</f>
        <v>100000</v>
      </c>
    </row>
    <row r="37" spans="1:33" s="220" customFormat="1" x14ac:dyDescent="0.25">
      <c r="A37" s="343" t="str">
        <f>'(C2) Burimet viti kaluar'!C34</f>
        <v>A.3.3</v>
      </c>
      <c r="B37" s="456" t="str">
        <f>'(G1) Fjalori'!A245</f>
        <v>Tarifa për ndriçimin publik</v>
      </c>
      <c r="C37" s="457"/>
      <c r="D37" s="235">
        <f>'(C2) Burimet viti kaluar'!D34</f>
        <v>17765132</v>
      </c>
      <c r="E37" s="235">
        <f>'(C2) Burimet viti kaluar'!E34</f>
        <v>17574974</v>
      </c>
      <c r="F37" s="235">
        <f>'(C2) Burimet viti kaluar'!F34</f>
        <v>29060000</v>
      </c>
      <c r="G37" s="235"/>
      <c r="H37" s="349"/>
      <c r="I37" s="349"/>
      <c r="J37" s="349"/>
      <c r="K37" s="349"/>
      <c r="L37" s="349"/>
      <c r="M37" s="349"/>
      <c r="N37" s="350"/>
      <c r="O37" s="349">
        <f>SUM(O38:O40)</f>
        <v>29389999.999999996</v>
      </c>
      <c r="P37" s="235"/>
      <c r="Q37" s="349"/>
      <c r="R37" s="349"/>
      <c r="S37" s="349"/>
      <c r="T37" s="349"/>
      <c r="U37" s="349"/>
      <c r="V37" s="349"/>
      <c r="W37" s="350"/>
      <c r="X37" s="349">
        <f>SUM(X38:X40)</f>
        <v>29724949.999999993</v>
      </c>
      <c r="Y37" s="235"/>
      <c r="Z37" s="349"/>
      <c r="AA37" s="349"/>
      <c r="AB37" s="349"/>
      <c r="AC37" s="349"/>
      <c r="AD37" s="349"/>
      <c r="AE37" s="349"/>
      <c r="AF37" s="350"/>
      <c r="AG37" s="350">
        <f>SUM(AG38:AG40)</f>
        <v>30064924.249999989</v>
      </c>
    </row>
    <row r="38" spans="1:33" s="212" customFormat="1" x14ac:dyDescent="0.2">
      <c r="A38" s="235" t="str">
        <f>'(C2) Burimet viti kaluar'!C35</f>
        <v>A.3.3.1</v>
      </c>
      <c r="B38" s="1142" t="str">
        <f>'(G1) Fjalori'!A246</f>
        <v>Tarifa për ndriçimin publik nga familjet</v>
      </c>
      <c r="C38" s="1143"/>
      <c r="D38" s="225">
        <f>'(C2) Burimet viti kaluar'!D35</f>
        <v>17765132</v>
      </c>
      <c r="E38" s="225">
        <f>'(C2) Burimet viti kaluar'!E35</f>
        <v>12316908</v>
      </c>
      <c r="F38" s="225">
        <f>'(C2) Burimet viti kaluar'!F35</f>
        <v>22000000</v>
      </c>
      <c r="G38" s="1165"/>
      <c r="H38" s="1166"/>
      <c r="I38" s="31"/>
      <c r="J38" s="31"/>
      <c r="K38" s="31"/>
      <c r="L38" s="31"/>
      <c r="M38" s="31">
        <v>1.4999999999999999E-2</v>
      </c>
      <c r="N38" s="259"/>
      <c r="O38" s="698">
        <f>IF(F38&lt;&gt;0,F38*(1+(SUM(I38:M38))),N38)</f>
        <v>22329999.999999996</v>
      </c>
      <c r="P38" s="1165"/>
      <c r="Q38" s="1166"/>
      <c r="R38" s="31">
        <v>1.4999999999999999E-2</v>
      </c>
      <c r="S38" s="31"/>
      <c r="T38" s="31"/>
      <c r="U38" s="31"/>
      <c r="V38" s="31"/>
      <c r="W38" s="259"/>
      <c r="X38" s="698">
        <f>IF(O38&lt;&gt;0,O38*(1+(SUM(R38:V38))),W38)</f>
        <v>22664949.999999993</v>
      </c>
      <c r="Y38" s="1165"/>
      <c r="Z38" s="1166"/>
      <c r="AA38" s="31">
        <v>1.4999999999999999E-2</v>
      </c>
      <c r="AB38" s="31"/>
      <c r="AC38" s="31"/>
      <c r="AD38" s="31"/>
      <c r="AE38" s="31"/>
      <c r="AF38" s="259"/>
      <c r="AG38" s="698">
        <f>IF(X38&lt;&gt;0,X38*(1+(SUM(AA38:AE38))),AF38)</f>
        <v>23004924.249999989</v>
      </c>
    </row>
    <row r="39" spans="1:33" s="212" customFormat="1" x14ac:dyDescent="0.2">
      <c r="A39" s="235" t="str">
        <f>'(C2) Burimet viti kaluar'!C36</f>
        <v>A.3.3.2</v>
      </c>
      <c r="B39" s="1142" t="str">
        <f>'(G1) Fjalori'!A247</f>
        <v>Tarifa për ndriçimin publik nga institucionet</v>
      </c>
      <c r="C39" s="1143"/>
      <c r="D39" s="225">
        <f>'(C2) Burimet viti kaluar'!D36</f>
        <v>0</v>
      </c>
      <c r="E39" s="225">
        <f>'(C2) Burimet viti kaluar'!E36</f>
        <v>5200000</v>
      </c>
      <c r="F39" s="225">
        <f>'(C2) Burimet viti kaluar'!F36</f>
        <v>7000000</v>
      </c>
      <c r="G39" s="1165"/>
      <c r="H39" s="1166"/>
      <c r="I39" s="31"/>
      <c r="J39" s="31"/>
      <c r="K39" s="31"/>
      <c r="L39" s="31"/>
      <c r="M39" s="31"/>
      <c r="N39" s="259"/>
      <c r="O39" s="35">
        <f>IF(F39&lt;&gt;0,F39*(1+(SUM(I39:M39))),N39)</f>
        <v>7000000</v>
      </c>
      <c r="P39" s="1165"/>
      <c r="Q39" s="1166"/>
      <c r="R39" s="31"/>
      <c r="S39" s="31"/>
      <c r="T39" s="31"/>
      <c r="U39" s="31"/>
      <c r="V39" s="31"/>
      <c r="W39" s="259"/>
      <c r="X39" s="35">
        <f>IF(O39&lt;&gt;0,O39*(1+(SUM(R39:V39))),W39)</f>
        <v>7000000</v>
      </c>
      <c r="Y39" s="1165"/>
      <c r="Z39" s="1166"/>
      <c r="AA39" s="31"/>
      <c r="AB39" s="31"/>
      <c r="AC39" s="31"/>
      <c r="AD39" s="31"/>
      <c r="AE39" s="31"/>
      <c r="AF39" s="259"/>
      <c r="AG39" s="35">
        <f>IF(X39&lt;&gt;0,X39*(1+(SUM(AA39:AE39))),AF39)</f>
        <v>7000000</v>
      </c>
    </row>
    <row r="40" spans="1:33" s="212" customFormat="1" x14ac:dyDescent="0.2">
      <c r="A40" s="235" t="str">
        <f>'(C2) Burimet viti kaluar'!C37</f>
        <v>A.3.3.3</v>
      </c>
      <c r="B40" s="1142" t="str">
        <f>'(G1) Fjalori'!A248</f>
        <v>Tarifa për ndriçimin publik nga biznesi</v>
      </c>
      <c r="C40" s="1143"/>
      <c r="D40" s="225">
        <f>'(C2) Burimet viti kaluar'!D37</f>
        <v>0</v>
      </c>
      <c r="E40" s="225">
        <f>'(C2) Burimet viti kaluar'!E37</f>
        <v>58066</v>
      </c>
      <c r="F40" s="225">
        <f>'(C2) Burimet viti kaluar'!F37</f>
        <v>60000</v>
      </c>
      <c r="G40" s="1165"/>
      <c r="H40" s="1166"/>
      <c r="I40" s="31"/>
      <c r="J40" s="31"/>
      <c r="K40" s="31"/>
      <c r="L40" s="31"/>
      <c r="M40" s="31"/>
      <c r="N40" s="259"/>
      <c r="O40" s="35">
        <f>IF(F40&lt;&gt;0,F40*(1+(SUM(I40:M40))),N40)</f>
        <v>60000</v>
      </c>
      <c r="P40" s="1165"/>
      <c r="Q40" s="1166"/>
      <c r="R40" s="31"/>
      <c r="S40" s="31"/>
      <c r="T40" s="31"/>
      <c r="U40" s="31"/>
      <c r="V40" s="31"/>
      <c r="W40" s="259"/>
      <c r="X40" s="35">
        <f>IF(O40&lt;&gt;0,O40*(1+(SUM(R40:V40))),W40)</f>
        <v>60000</v>
      </c>
      <c r="Y40" s="1165"/>
      <c r="Z40" s="1166"/>
      <c r="AA40" s="31"/>
      <c r="AB40" s="31"/>
      <c r="AC40" s="31"/>
      <c r="AD40" s="31"/>
      <c r="AE40" s="31"/>
      <c r="AF40" s="259"/>
      <c r="AG40" s="35">
        <f>IF(X40&lt;&gt;0,X40*(1+(SUM(AA40:AE40))),AF40)</f>
        <v>60000</v>
      </c>
    </row>
    <row r="41" spans="1:33" s="220" customFormat="1" x14ac:dyDescent="0.25">
      <c r="A41" s="343" t="str">
        <f>'(C2) Burimet viti kaluar'!C38</f>
        <v>A.3.4</v>
      </c>
      <c r="B41" s="456" t="str">
        <f>'(G1) Fjalori'!A249</f>
        <v>Tarifa për gjelbërimin</v>
      </c>
      <c r="C41" s="457"/>
      <c r="D41" s="235">
        <f>'(C2) Burimet viti kaluar'!D38</f>
        <v>34714918</v>
      </c>
      <c r="E41" s="235">
        <f>'(C2) Burimet viti kaluar'!E38</f>
        <v>37206560</v>
      </c>
      <c r="F41" s="235">
        <f>'(C2) Burimet viti kaluar'!F38</f>
        <v>62000000</v>
      </c>
      <c r="G41" s="235"/>
      <c r="H41" s="349"/>
      <c r="I41" s="349"/>
      <c r="J41" s="349"/>
      <c r="K41" s="349"/>
      <c r="L41" s="349"/>
      <c r="M41" s="349"/>
      <c r="N41" s="350"/>
      <c r="O41" s="349">
        <f>SUM(O42:O45)</f>
        <v>75907507</v>
      </c>
      <c r="P41" s="235"/>
      <c r="Q41" s="349"/>
      <c r="R41" s="349"/>
      <c r="S41" s="349"/>
      <c r="T41" s="349"/>
      <c r="U41" s="349"/>
      <c r="V41" s="349"/>
      <c r="W41" s="350"/>
      <c r="X41" s="349">
        <f>SUM(X42:X45)</f>
        <v>76716119.605000004</v>
      </c>
      <c r="Y41" s="235"/>
      <c r="Z41" s="349"/>
      <c r="AA41" s="349"/>
      <c r="AB41" s="349"/>
      <c r="AC41" s="349"/>
      <c r="AD41" s="349"/>
      <c r="AE41" s="349"/>
      <c r="AF41" s="350"/>
      <c r="AG41" s="350">
        <f>SUM(AG42:AG45)</f>
        <v>77536860.399075001</v>
      </c>
    </row>
    <row r="42" spans="1:33" s="212" customFormat="1" x14ac:dyDescent="0.2">
      <c r="A42" s="235" t="str">
        <f>'(C2) Burimet viti kaluar'!C39</f>
        <v>A.3.4.1</v>
      </c>
      <c r="B42" s="1142" t="str">
        <f>'(G1) Fjalori'!A250</f>
        <v>Tarifa për gjelbërimin nga familjet</v>
      </c>
      <c r="C42" s="1143"/>
      <c r="D42" s="225">
        <f>'(C2) Burimet viti kaluar'!D39</f>
        <v>34714918</v>
      </c>
      <c r="E42" s="225">
        <f>'(C2) Burimet viti kaluar'!E39</f>
        <v>21288486</v>
      </c>
      <c r="F42" s="225">
        <f>'(C2) Burimet viti kaluar'!F39</f>
        <v>40000000</v>
      </c>
      <c r="G42" s="1165"/>
      <c r="H42" s="1166"/>
      <c r="I42" s="31"/>
      <c r="J42" s="31"/>
      <c r="K42" s="31"/>
      <c r="L42" s="31"/>
      <c r="M42" s="31">
        <v>1.7809999999999999E-2</v>
      </c>
      <c r="N42" s="259"/>
      <c r="O42" s="698">
        <f>IF(F42&lt;&gt;0,F42*(1+(SUM(I42:M42))),N42)+107</f>
        <v>40712507.000000007</v>
      </c>
      <c r="P42" s="1165"/>
      <c r="Q42" s="1166"/>
      <c r="R42" s="31">
        <v>1.4999999999999999E-2</v>
      </c>
      <c r="S42" s="31"/>
      <c r="T42" s="31"/>
      <c r="U42" s="31"/>
      <c r="V42" s="31"/>
      <c r="W42" s="259"/>
      <c r="X42" s="698">
        <f>IF(O42&lt;&gt;0,O42*(1+(SUM(R42:V42))),W42)</f>
        <v>41323194.605000004</v>
      </c>
      <c r="Y42" s="1165"/>
      <c r="Z42" s="1166"/>
      <c r="AA42" s="31">
        <v>1.4999999999999999E-2</v>
      </c>
      <c r="AB42" s="31"/>
      <c r="AC42" s="31"/>
      <c r="AD42" s="31"/>
      <c r="AE42" s="31"/>
      <c r="AF42" s="259"/>
      <c r="AG42" s="698">
        <f>IF(X42&lt;&gt;0,X42*(1+(SUM(AA42:AE42))),AF42)-1</f>
        <v>41943041.524075001</v>
      </c>
    </row>
    <row r="43" spans="1:33" s="212" customFormat="1" x14ac:dyDescent="0.2">
      <c r="A43" s="235" t="str">
        <f>'(C2) Burimet viti kaluar'!C40</f>
        <v>A.3.4.2</v>
      </c>
      <c r="B43" s="1142" t="str">
        <f>'(G1) Fjalori'!A251</f>
        <v>Tarifa për gjelbërimin nga Institucionet</v>
      </c>
      <c r="C43" s="1143"/>
      <c r="D43" s="225">
        <f>'(C2) Burimet viti kaluar'!D40</f>
        <v>0</v>
      </c>
      <c r="E43" s="225">
        <f>'(C2) Burimet viti kaluar'!E40</f>
        <v>15000000</v>
      </c>
      <c r="F43" s="225">
        <f>'(C2) Burimet viti kaluar'!F40</f>
        <v>20500000</v>
      </c>
      <c r="G43" s="1165"/>
      <c r="H43" s="1166"/>
      <c r="I43" s="31"/>
      <c r="J43" s="31"/>
      <c r="K43" s="31"/>
      <c r="L43" s="31"/>
      <c r="M43" s="31"/>
      <c r="N43" s="259"/>
      <c r="O43" s="35">
        <f>IF(F43&lt;&gt;0,F43*(1+(SUM(I43:M43))),N43)</f>
        <v>20500000</v>
      </c>
      <c r="P43" s="1165"/>
      <c r="Q43" s="1166"/>
      <c r="R43" s="31"/>
      <c r="S43" s="31"/>
      <c r="T43" s="31"/>
      <c r="U43" s="31"/>
      <c r="V43" s="31"/>
      <c r="W43" s="259"/>
      <c r="X43" s="35">
        <f>IF(O43&lt;&gt;0,O43*(1+(SUM(R43:V43))),W43)</f>
        <v>20500000</v>
      </c>
      <c r="Y43" s="1165"/>
      <c r="Z43" s="1166"/>
      <c r="AA43" s="31"/>
      <c r="AB43" s="31"/>
      <c r="AC43" s="31"/>
      <c r="AD43" s="31"/>
      <c r="AE43" s="31"/>
      <c r="AF43" s="259"/>
      <c r="AG43" s="35">
        <f>IF(X43&lt;&gt;0,X43*(1+(SUM(AA43:AE43))),AF43)</f>
        <v>20500000</v>
      </c>
    </row>
    <row r="44" spans="1:33" s="212" customFormat="1" x14ac:dyDescent="0.2">
      <c r="A44" s="235" t="str">
        <f>'(C2) Burimet viti kaluar'!C41</f>
        <v>A.3.4.3</v>
      </c>
      <c r="B44" s="1142" t="str">
        <f>'(G1) Fjalori'!A252</f>
        <v>Tarifa për gjelbërimin nga bizneset</v>
      </c>
      <c r="C44" s="1143"/>
      <c r="D44" s="225">
        <f>'(C2) Burimet viti kaluar'!D41</f>
        <v>0</v>
      </c>
      <c r="E44" s="225">
        <f>'(C2) Burimet viti kaluar'!E41</f>
        <v>918074</v>
      </c>
      <c r="F44" s="225">
        <f>'(C2) Burimet viti kaluar'!F41</f>
        <v>1500000</v>
      </c>
      <c r="G44" s="1165"/>
      <c r="H44" s="1166"/>
      <c r="I44" s="31"/>
      <c r="J44" s="31"/>
      <c r="K44" s="31"/>
      <c r="L44" s="31"/>
      <c r="M44" s="31"/>
      <c r="N44" s="259"/>
      <c r="O44" s="35">
        <f>IF(F44&lt;&gt;0,F44*(1+(SUM(I44:M44))),N44)</f>
        <v>1500000</v>
      </c>
      <c r="P44" s="1165"/>
      <c r="Q44" s="1166"/>
      <c r="R44" s="31"/>
      <c r="S44" s="31"/>
      <c r="T44" s="31"/>
      <c r="U44" s="31"/>
      <c r="V44" s="31"/>
      <c r="W44" s="259"/>
      <c r="X44" s="35">
        <f>IF(O44&lt;&gt;0,O44*(1+(SUM(R44:V44))),W44)</f>
        <v>1500000</v>
      </c>
      <c r="Y44" s="1165"/>
      <c r="Z44" s="1166"/>
      <c r="AA44" s="31"/>
      <c r="AB44" s="31"/>
      <c r="AC44" s="31"/>
      <c r="AD44" s="31"/>
      <c r="AE44" s="31"/>
      <c r="AF44" s="259"/>
      <c r="AG44" s="35">
        <f>IF(X44&lt;&gt;0,X44*(1+(SUM(AA44:AE44))),AF44)</f>
        <v>1500000</v>
      </c>
    </row>
    <row r="45" spans="1:33" s="212" customFormat="1" x14ac:dyDescent="0.2">
      <c r="A45" s="235" t="str">
        <f>'(C2) Burimet viti kaluar'!C42</f>
        <v>A.3.4.4</v>
      </c>
      <c r="B45" s="695" t="str">
        <f>'(C2) Burimet viti kaluar'!A42</f>
        <v>Tarife per mirembajtjen e varezave</v>
      </c>
      <c r="C45" s="696"/>
      <c r="D45" s="697"/>
      <c r="E45" s="697">
        <f>'(C2) Burimet viti kaluar'!E42</f>
        <v>7352345</v>
      </c>
      <c r="F45" s="697">
        <f>'(C2) Burimet viti kaluar'!F42</f>
        <v>13000000</v>
      </c>
      <c r="G45" s="691"/>
      <c r="H45" s="692"/>
      <c r="I45" s="31"/>
      <c r="J45" s="31"/>
      <c r="K45" s="31"/>
      <c r="L45" s="31"/>
      <c r="M45" s="31">
        <v>1.4999999999999999E-2</v>
      </c>
      <c r="N45" s="694"/>
      <c r="O45" s="35">
        <f>IF(F45&lt;&gt;0,F45*(1+(SUM(I45:M45))),N45)</f>
        <v>13194999.999999998</v>
      </c>
      <c r="P45" s="691"/>
      <c r="Q45" s="692"/>
      <c r="R45" s="31">
        <v>1.4999999999999999E-2</v>
      </c>
      <c r="S45" s="31"/>
      <c r="T45" s="31"/>
      <c r="U45" s="31"/>
      <c r="V45" s="31"/>
      <c r="W45" s="694"/>
      <c r="X45" s="698">
        <f>IF(O45&lt;&gt;0,O45*(1+(SUM(R45:V45))),W45)</f>
        <v>13392924.999999996</v>
      </c>
      <c r="Y45" s="691"/>
      <c r="Z45" s="692"/>
      <c r="AA45" s="693">
        <v>1.4999999999999999E-2</v>
      </c>
      <c r="AB45" s="693"/>
      <c r="AC45" s="693"/>
      <c r="AD45" s="693"/>
      <c r="AE45" s="693"/>
      <c r="AF45" s="694"/>
      <c r="AG45" s="698">
        <f>IF(X45&lt;&gt;0,X45*(1+(SUM(AA45:AE45))),AF45)</f>
        <v>13593818.874999994</v>
      </c>
    </row>
    <row r="46" spans="1:33" s="220" customFormat="1" x14ac:dyDescent="0.25">
      <c r="A46" s="343" t="str">
        <f>'(C2) Burimet viti kaluar'!C45</f>
        <v>A.3.5</v>
      </c>
      <c r="B46" s="456" t="str">
        <f>'(G1) Fjalori'!A253</f>
        <v>Tarifa për shërbimet administrative të bashkisë</v>
      </c>
      <c r="C46" s="457"/>
      <c r="D46" s="235">
        <f>'(C2) Burimet viti kaluar'!D45</f>
        <v>31077612</v>
      </c>
      <c r="E46" s="235">
        <f>'(C2) Burimet viti kaluar'!E45</f>
        <v>25360257</v>
      </c>
      <c r="F46" s="235">
        <f>'(C2) Burimet viti kaluar'!F45</f>
        <v>31570000</v>
      </c>
      <c r="G46" s="235"/>
      <c r="H46" s="349"/>
      <c r="I46" s="458"/>
      <c r="J46" s="458"/>
      <c r="K46" s="458"/>
      <c r="L46" s="458"/>
      <c r="M46" s="458"/>
      <c r="N46" s="350"/>
      <c r="O46" s="349">
        <f>SUM(O47:O59)</f>
        <v>38762170</v>
      </c>
      <c r="P46" s="235"/>
      <c r="Q46" s="349"/>
      <c r="R46" s="349"/>
      <c r="S46" s="349"/>
      <c r="T46" s="349"/>
      <c r="U46" s="349"/>
      <c r="V46" s="349"/>
      <c r="W46" s="350"/>
      <c r="X46" s="349">
        <f>SUM(X47:X59)</f>
        <v>39101850.502000004</v>
      </c>
      <c r="Y46" s="235"/>
      <c r="Z46" s="349"/>
      <c r="AA46" s="349"/>
      <c r="AB46" s="349"/>
      <c r="AC46" s="349"/>
      <c r="AD46" s="349"/>
      <c r="AE46" s="349"/>
      <c r="AF46" s="350"/>
      <c r="AG46" s="350">
        <f>SUM(AG47:AG59)</f>
        <v>39141927.989083305</v>
      </c>
    </row>
    <row r="47" spans="1:33" s="212" customFormat="1" x14ac:dyDescent="0.2">
      <c r="A47" s="235" t="str">
        <f>'(C2) Burimet viti kaluar'!C46</f>
        <v>A.3.5.1</v>
      </c>
      <c r="B47" s="1142" t="str">
        <f>'(G1) Fjalori'!A254</f>
        <v>Tarifa për shërbimet administrative të bashkisë</v>
      </c>
      <c r="C47" s="1143"/>
      <c r="D47" s="225">
        <f>'(C2) Burimet viti kaluar'!D46</f>
        <v>402200</v>
      </c>
      <c r="E47" s="225">
        <f>'(C2) Burimet viti kaluar'!E46</f>
        <v>0</v>
      </c>
      <c r="F47" s="225">
        <f>'(C2) Burimet viti kaluar'!F46</f>
        <v>1000000</v>
      </c>
      <c r="G47" s="1165"/>
      <c r="H47" s="1166"/>
      <c r="I47" s="31">
        <v>-0.35949999999999999</v>
      </c>
      <c r="J47" s="31"/>
      <c r="K47" s="31"/>
      <c r="L47" s="31"/>
      <c r="M47" s="31"/>
      <c r="N47" s="259"/>
      <c r="O47" s="698">
        <f>IF(F47&lt;&gt;0,F47*(1+(SUM(I47:M47))),N47)-4550</f>
        <v>635950.00000000012</v>
      </c>
      <c r="P47" s="1165"/>
      <c r="Q47" s="1166"/>
      <c r="R47" s="31"/>
      <c r="S47" s="31"/>
      <c r="T47" s="31"/>
      <c r="U47" s="31"/>
      <c r="V47" s="700"/>
      <c r="W47" s="259"/>
      <c r="X47" s="698">
        <f>IF(O47&lt;&gt;0,O47*(1+(SUM(R47:V47))),W47)</f>
        <v>635950.00000000012</v>
      </c>
      <c r="Y47" s="1165"/>
      <c r="Z47" s="1166"/>
      <c r="AA47" s="31"/>
      <c r="AB47" s="31"/>
      <c r="AC47" s="31"/>
      <c r="AD47" s="31"/>
      <c r="AE47" s="31"/>
      <c r="AF47" s="259"/>
      <c r="AG47" s="698">
        <f t="shared" ref="AG47:AG59" si="5">IF(X47&lt;&gt;0,X47*(1+(SUM(AA47:AE47))),AF47)</f>
        <v>635950.00000000012</v>
      </c>
    </row>
    <row r="48" spans="1:33" s="212" customFormat="1" x14ac:dyDescent="0.2">
      <c r="A48" s="235" t="str">
        <f>'(C2) Burimet viti kaluar'!C47</f>
        <v>A.3.5.2</v>
      </c>
      <c r="B48" s="1142" t="str">
        <f>'(G1) Fjalori'!A255</f>
        <v>Tarifa për dhënien e liçensave, lejeve e autorizimeve</v>
      </c>
      <c r="C48" s="1143"/>
      <c r="D48" s="225">
        <f>'(C2) Burimet viti kaluar'!D47</f>
        <v>668110</v>
      </c>
      <c r="E48" s="225">
        <f>'(C2) Burimet viti kaluar'!E47</f>
        <v>0</v>
      </c>
      <c r="F48" s="225">
        <f>'(C2) Burimet viti kaluar'!F47</f>
        <v>0</v>
      </c>
      <c r="G48" s="1165"/>
      <c r="H48" s="1166"/>
      <c r="I48" s="31"/>
      <c r="J48" s="31"/>
      <c r="K48" s="31"/>
      <c r="L48" s="31"/>
      <c r="M48" s="31"/>
      <c r="N48" s="259">
        <v>500000</v>
      </c>
      <c r="O48" s="698">
        <f t="shared" ref="O48:O59" si="6">IF(F48&lt;&gt;0,F48*(1+(SUM(I48:M48))),N48)</f>
        <v>500000</v>
      </c>
      <c r="P48" s="1165"/>
      <c r="Q48" s="1166"/>
      <c r="R48" s="31"/>
      <c r="S48" s="31"/>
      <c r="T48" s="31"/>
      <c r="U48" s="31"/>
      <c r="V48" s="31"/>
      <c r="W48" s="259"/>
      <c r="X48" s="698">
        <f t="shared" ref="X48:X59" si="7">IF(O48&lt;&gt;0,O48*(1+(SUM(R48:V48))),W48)</f>
        <v>500000</v>
      </c>
      <c r="Y48" s="1165"/>
      <c r="Z48" s="1166"/>
      <c r="AA48" s="31"/>
      <c r="AB48" s="31"/>
      <c r="AC48" s="31"/>
      <c r="AD48" s="31"/>
      <c r="AE48" s="31"/>
      <c r="AF48" s="259"/>
      <c r="AG48" s="698">
        <f t="shared" si="5"/>
        <v>500000</v>
      </c>
    </row>
    <row r="49" spans="1:33" s="212" customFormat="1" x14ac:dyDescent="0.2">
      <c r="A49" s="235" t="str">
        <f>'(C2) Burimet viti kaluar'!C48</f>
        <v>A.3.5.3</v>
      </c>
      <c r="B49" s="1142" t="str">
        <f>'(G1) Fjalori'!A256</f>
        <v>Tarifa të kontrollit të zhvillimit të territorit</v>
      </c>
      <c r="C49" s="1143"/>
      <c r="D49" s="225">
        <f>'(C2) Burimet viti kaluar'!D48</f>
        <v>19069131</v>
      </c>
      <c r="E49" s="225">
        <f>'(C2) Burimet viti kaluar'!E48</f>
        <v>9107938</v>
      </c>
      <c r="F49" s="225">
        <f>'(C2) Burimet viti kaluar'!F48</f>
        <v>17000000</v>
      </c>
      <c r="G49" s="1165"/>
      <c r="H49" s="1166"/>
      <c r="I49" s="31"/>
      <c r="J49" s="31"/>
      <c r="K49" s="31">
        <v>2.946E-2</v>
      </c>
      <c r="L49" s="31"/>
      <c r="M49" s="31"/>
      <c r="N49" s="259"/>
      <c r="O49" s="698">
        <f>IF(F49&lt;&gt;0,F49*(1+(SUM(I49:M49))),N49)-820</f>
        <v>17500000</v>
      </c>
      <c r="P49" s="1165"/>
      <c r="Q49" s="1166"/>
      <c r="R49" s="31">
        <v>5.77E-3</v>
      </c>
      <c r="S49" s="31"/>
      <c r="T49" s="31"/>
      <c r="U49" s="31"/>
      <c r="V49" s="31"/>
      <c r="W49" s="259"/>
      <c r="X49" s="698">
        <f>IF(O49&lt;&gt;0,O49*(1+(SUM(R49:V49))),W49)-975</f>
        <v>17600000</v>
      </c>
      <c r="Y49" s="1165"/>
      <c r="Z49" s="1166"/>
      <c r="AA49" s="31"/>
      <c r="AB49" s="31"/>
      <c r="AC49" s="31"/>
      <c r="AD49" s="31"/>
      <c r="AE49" s="31"/>
      <c r="AF49" s="259"/>
      <c r="AG49" s="698">
        <f t="shared" si="5"/>
        <v>17600000</v>
      </c>
    </row>
    <row r="50" spans="1:33" s="212" customFormat="1" x14ac:dyDescent="0.2">
      <c r="A50" s="235" t="str">
        <f>'(C2) Burimet viti kaluar'!C49</f>
        <v>A.3.5.4</v>
      </c>
      <c r="B50" s="1142" t="str">
        <f>'(G1) Fjalori'!A257</f>
        <v>Tarifa për vulosje veterinarie të bagëtive të therura</v>
      </c>
      <c r="C50" s="1143"/>
      <c r="D50" s="225">
        <f>'(C2) Burimet viti kaluar'!D49</f>
        <v>796800</v>
      </c>
      <c r="E50" s="225">
        <f>'(C2) Burimet viti kaluar'!E49</f>
        <v>910000</v>
      </c>
      <c r="F50" s="225">
        <f>'(C2) Burimet viti kaluar'!F49</f>
        <v>770000</v>
      </c>
      <c r="G50" s="1165"/>
      <c r="H50" s="1166"/>
      <c r="I50" s="31"/>
      <c r="J50" s="31"/>
      <c r="K50" s="31">
        <v>0.04</v>
      </c>
      <c r="L50" s="31"/>
      <c r="M50" s="31"/>
      <c r="N50" s="259"/>
      <c r="O50" s="35">
        <f>IF(F50&lt;&gt;0,F50*(1+(SUM(I50:M50))),N50)-800</f>
        <v>800000</v>
      </c>
      <c r="P50" s="1165"/>
      <c r="Q50" s="1166"/>
      <c r="R50" s="31"/>
      <c r="S50" s="31"/>
      <c r="T50" s="31"/>
      <c r="U50" s="31"/>
      <c r="V50" s="31"/>
      <c r="W50" s="259"/>
      <c r="X50" s="35">
        <f t="shared" si="7"/>
        <v>800000</v>
      </c>
      <c r="Y50" s="1165"/>
      <c r="Z50" s="1166"/>
      <c r="AA50" s="31"/>
      <c r="AB50" s="31"/>
      <c r="AC50" s="31"/>
      <c r="AD50" s="31"/>
      <c r="AE50" s="31"/>
      <c r="AF50" s="259"/>
      <c r="AG50" s="35">
        <f t="shared" si="5"/>
        <v>800000</v>
      </c>
    </row>
    <row r="51" spans="1:33" s="212" customFormat="1" x14ac:dyDescent="0.2">
      <c r="A51" s="235" t="str">
        <f>'(C2) Burimet viti kaluar'!C50</f>
        <v>A.3.5.5</v>
      </c>
      <c r="B51" s="1142" t="str">
        <f>'(G1) Fjalori'!A258</f>
        <v>Tarifa e liçensimit të veprimtarive të transportit</v>
      </c>
      <c r="C51" s="1143"/>
      <c r="D51" s="225">
        <f>'(C2) Burimet viti kaluar'!D50</f>
        <v>776563</v>
      </c>
      <c r="E51" s="225">
        <f>'(C2) Burimet viti kaluar'!E50</f>
        <v>1203844</v>
      </c>
      <c r="F51" s="225">
        <f>'(C2) Burimet viti kaluar'!F50</f>
        <v>1000000</v>
      </c>
      <c r="G51" s="1165"/>
      <c r="H51" s="1166"/>
      <c r="I51" s="31"/>
      <c r="J51" s="31"/>
      <c r="K51" s="31"/>
      <c r="L51" s="31"/>
      <c r="M51" s="31"/>
      <c r="N51" s="259"/>
      <c r="O51" s="698">
        <f t="shared" si="6"/>
        <v>1000000</v>
      </c>
      <c r="P51" s="1165"/>
      <c r="Q51" s="1166"/>
      <c r="R51" s="31">
        <v>0.2</v>
      </c>
      <c r="S51" s="31"/>
      <c r="T51" s="31"/>
      <c r="U51" s="31"/>
      <c r="V51" s="701"/>
      <c r="W51" s="259"/>
      <c r="X51" s="698">
        <f>IF(O51&lt;&gt;0,O51*(1+(SUM(R51:V51))),W51)</f>
        <v>1200000</v>
      </c>
      <c r="Y51" s="1165"/>
      <c r="Z51" s="1166"/>
      <c r="AA51" s="31"/>
      <c r="AB51" s="31"/>
      <c r="AC51" s="31"/>
      <c r="AD51" s="31"/>
      <c r="AE51" s="31"/>
      <c r="AF51" s="259"/>
      <c r="AG51" s="698">
        <f t="shared" si="5"/>
        <v>1200000</v>
      </c>
    </row>
    <row r="52" spans="1:33" s="212" customFormat="1" x14ac:dyDescent="0.2">
      <c r="A52" s="235" t="str">
        <f>'(C2) Burimet viti kaluar'!C51</f>
        <v>A.3.5.6</v>
      </c>
      <c r="B52" s="1142" t="str">
        <f>'(G1) Fjalori'!A259</f>
        <v>Tarifa e parkimit për mjetet e liçensuara dhe vendparkime publike</v>
      </c>
      <c r="C52" s="1143"/>
      <c r="D52" s="225">
        <f>'(C2) Burimet viti kaluar'!D51</f>
        <v>2567926</v>
      </c>
      <c r="E52" s="225">
        <f>'(C2) Burimet viti kaluar'!E51</f>
        <v>2421850</v>
      </c>
      <c r="F52" s="225">
        <f>'(C2) Burimet viti kaluar'!F51</f>
        <v>4000000</v>
      </c>
      <c r="G52" s="1165"/>
      <c r="H52" s="1166"/>
      <c r="I52" s="31"/>
      <c r="J52" s="31"/>
      <c r="K52" s="31"/>
      <c r="L52" s="31"/>
      <c r="M52" s="31"/>
      <c r="N52" s="259"/>
      <c r="O52" s="698">
        <f t="shared" si="6"/>
        <v>4000000</v>
      </c>
      <c r="P52" s="1165"/>
      <c r="Q52" s="1166"/>
      <c r="R52" s="31"/>
      <c r="S52" s="31"/>
      <c r="T52" s="31"/>
      <c r="U52" s="31"/>
      <c r="V52" s="31"/>
      <c r="W52" s="259"/>
      <c r="X52" s="698">
        <f>IF(O52&lt;&gt;0,O52*(1+(SUM(R52:V52))),W52)</f>
        <v>4000000</v>
      </c>
      <c r="Y52" s="1165"/>
      <c r="Z52" s="1166"/>
      <c r="AA52" s="31"/>
      <c r="AB52" s="31"/>
      <c r="AC52" s="31"/>
      <c r="AD52" s="31"/>
      <c r="AE52" s="31"/>
      <c r="AF52" s="259"/>
      <c r="AG52" s="698">
        <f t="shared" si="5"/>
        <v>4000000</v>
      </c>
    </row>
    <row r="53" spans="1:33" s="212" customFormat="1" x14ac:dyDescent="0.2">
      <c r="A53" s="235" t="str">
        <f>'(C2) Burimet viti kaluar'!C52</f>
        <v>A.3.5.7</v>
      </c>
      <c r="B53" s="1142" t="str">
        <f>'(G1) Fjalori'!A260</f>
        <v>Tarifa për dhënie liçense për tregtimin e naftës bruto dhe nënprodukteve të saj</v>
      </c>
      <c r="C53" s="1143"/>
      <c r="D53" s="225">
        <f>'(C2) Burimet viti kaluar'!D52</f>
        <v>0</v>
      </c>
      <c r="E53" s="225">
        <f>'(C2) Burimet viti kaluar'!E52</f>
        <v>0</v>
      </c>
      <c r="F53" s="225">
        <f>'(C2) Burimet viti kaluar'!F52</f>
        <v>0</v>
      </c>
      <c r="G53" s="1165"/>
      <c r="H53" s="1166"/>
      <c r="I53" s="31"/>
      <c r="J53" s="31"/>
      <c r="K53" s="31"/>
      <c r="L53" s="31"/>
      <c r="M53" s="31"/>
      <c r="N53" s="259"/>
      <c r="O53" s="35">
        <f t="shared" si="6"/>
        <v>0</v>
      </c>
      <c r="P53" s="1165"/>
      <c r="Q53" s="1166"/>
      <c r="R53" s="31"/>
      <c r="S53" s="31"/>
      <c r="T53" s="31"/>
      <c r="U53" s="31"/>
      <c r="V53" s="31"/>
      <c r="W53" s="259"/>
      <c r="X53" s="35">
        <f t="shared" si="7"/>
        <v>0</v>
      </c>
      <c r="Y53" s="1165"/>
      <c r="Z53" s="1166"/>
      <c r="AA53" s="31"/>
      <c r="AB53" s="31"/>
      <c r="AC53" s="31"/>
      <c r="AD53" s="31"/>
      <c r="AE53" s="31"/>
      <c r="AF53" s="259"/>
      <c r="AG53" s="35">
        <f t="shared" si="5"/>
        <v>0</v>
      </c>
    </row>
    <row r="54" spans="1:33" s="212" customFormat="1" x14ac:dyDescent="0.2">
      <c r="A54" s="235" t="str">
        <f>'(C2) Burimet viti kaluar'!C53</f>
        <v>A.3.5.8</v>
      </c>
      <c r="B54" s="1142" t="str">
        <f>'(G1) Fjalori'!A261</f>
        <v>Tarifa për pyejt dhe kullotat</v>
      </c>
      <c r="C54" s="1143"/>
      <c r="D54" s="225">
        <f>'(C2) Burimet viti kaluar'!D53</f>
        <v>428130</v>
      </c>
      <c r="E54" s="225">
        <f>'(C2) Burimet viti kaluar'!E53</f>
        <v>345541</v>
      </c>
      <c r="F54" s="225">
        <f>'(C2) Burimet viti kaluar'!F53</f>
        <v>500000</v>
      </c>
      <c r="G54" s="1165"/>
      <c r="H54" s="1166"/>
      <c r="I54" s="31">
        <v>4.5999999999999996</v>
      </c>
      <c r="J54" s="31"/>
      <c r="K54" s="31"/>
      <c r="L54" s="31"/>
      <c r="M54" s="31"/>
      <c r="N54" s="259"/>
      <c r="O54" s="698">
        <f>IF(F54&lt;&gt;0,F54*(1+(SUM(I54:M54))),N54)</f>
        <v>2800000</v>
      </c>
      <c r="P54" s="1165"/>
      <c r="Q54" s="1166"/>
      <c r="R54" s="31"/>
      <c r="S54" s="31"/>
      <c r="T54" s="31"/>
      <c r="U54" s="31"/>
      <c r="V54" s="31"/>
      <c r="W54" s="259"/>
      <c r="X54" s="698">
        <f t="shared" si="7"/>
        <v>2800000</v>
      </c>
      <c r="Y54" s="1165"/>
      <c r="Z54" s="1166"/>
      <c r="AA54" s="31"/>
      <c r="AB54" s="31"/>
      <c r="AC54" s="31"/>
      <c r="AD54" s="31"/>
      <c r="AE54" s="31"/>
      <c r="AF54" s="259"/>
      <c r="AG54" s="698">
        <f t="shared" si="5"/>
        <v>2800000</v>
      </c>
    </row>
    <row r="55" spans="1:33" s="212" customFormat="1" x14ac:dyDescent="0.2">
      <c r="A55" s="235" t="str">
        <f>'(C2) Burimet viti kaluar'!C54</f>
        <v>A.3.5.9</v>
      </c>
      <c r="B55" s="1142" t="str">
        <f>'(G1) Fjalori'!A262</f>
        <v>Tarifa për shërbimet shtesë nga zjarrëfiksja</v>
      </c>
      <c r="C55" s="1143"/>
      <c r="D55" s="225">
        <f>'(C2) Burimet viti kaluar'!D54</f>
        <v>147240</v>
      </c>
      <c r="E55" s="225">
        <f>'(C2) Burimet viti kaluar'!E54</f>
        <v>249268</v>
      </c>
      <c r="F55" s="225">
        <f>'(C2) Burimet viti kaluar'!F54</f>
        <v>200000</v>
      </c>
      <c r="G55" s="1165"/>
      <c r="H55" s="1166"/>
      <c r="I55" s="31"/>
      <c r="J55" s="31"/>
      <c r="K55" s="31"/>
      <c r="L55" s="31"/>
      <c r="M55" s="31"/>
      <c r="N55" s="259"/>
      <c r="O55" s="35">
        <f t="shared" si="6"/>
        <v>200000</v>
      </c>
      <c r="P55" s="1165"/>
      <c r="Q55" s="1166"/>
      <c r="R55" s="31"/>
      <c r="S55" s="31"/>
      <c r="T55" s="31"/>
      <c r="U55" s="31"/>
      <c r="V55" s="31"/>
      <c r="W55" s="259"/>
      <c r="X55" s="35">
        <f t="shared" si="7"/>
        <v>200000</v>
      </c>
      <c r="Y55" s="1165"/>
      <c r="Z55" s="1166"/>
      <c r="AA55" s="31"/>
      <c r="AB55" s="31"/>
      <c r="AC55" s="31"/>
      <c r="AD55" s="31"/>
      <c r="AE55" s="31"/>
      <c r="AF55" s="259"/>
      <c r="AG55" s="35">
        <f t="shared" si="5"/>
        <v>200000</v>
      </c>
    </row>
    <row r="56" spans="1:33" s="212" customFormat="1" x14ac:dyDescent="0.2">
      <c r="A56" s="235" t="str">
        <f>'(C2) Burimet viti kaluar'!C55</f>
        <v>A.3.5.10</v>
      </c>
      <c r="B56" s="1142" t="str">
        <f>'(G1) Fjalori'!A263</f>
        <v>Tarifa për zënien dhe përdorimin e hapsirës publike dhe fasadave</v>
      </c>
      <c r="C56" s="1143"/>
      <c r="D56" s="225">
        <f>'(C2) Burimet viti kaluar'!D55</f>
        <v>5420679</v>
      </c>
      <c r="E56" s="225">
        <f>'(C2) Burimet viti kaluar'!E55</f>
        <v>10106366</v>
      </c>
      <c r="F56" s="225">
        <f>'(C2) Burimet viti kaluar'!F55</f>
        <v>5500000</v>
      </c>
      <c r="G56" s="1165"/>
      <c r="H56" s="1166"/>
      <c r="I56" s="31"/>
      <c r="J56" s="31"/>
      <c r="K56" s="31"/>
      <c r="L56" s="31"/>
      <c r="M56" s="31">
        <v>0.75360000000000005</v>
      </c>
      <c r="N56" s="259">
        <v>0</v>
      </c>
      <c r="O56" s="698">
        <f>IF(F56&lt;&gt;0,F56*(1+(SUM(I56:M56))),N56)+1420</f>
        <v>9646220</v>
      </c>
      <c r="P56" s="1165"/>
      <c r="Q56" s="1166"/>
      <c r="R56" s="31">
        <v>4.1000000000000003E-3</v>
      </c>
      <c r="S56" s="31"/>
      <c r="T56" s="31"/>
      <c r="U56" s="31"/>
      <c r="V56" s="455"/>
      <c r="W56" s="259"/>
      <c r="X56" s="35">
        <f>IF(O56&lt;&gt;0,O56*(1+(SUM(R56:V56))),W56)+131</f>
        <v>9685900.5020000003</v>
      </c>
      <c r="Y56" s="1165"/>
      <c r="Z56" s="1166"/>
      <c r="AA56" s="31"/>
      <c r="AB56" s="31"/>
      <c r="AC56" s="31">
        <v>4.15E-3</v>
      </c>
      <c r="AD56" s="31"/>
      <c r="AE56" s="31"/>
      <c r="AF56" s="259"/>
      <c r="AG56" s="35">
        <f>IF(X56&lt;&gt;0,X56*(1+(SUM(AA56:AE56))),AF56)-119</f>
        <v>9725977.9890833013</v>
      </c>
    </row>
    <row r="57" spans="1:33" s="212" customFormat="1" x14ac:dyDescent="0.2">
      <c r="A57" s="235" t="str">
        <f>'(C2) Burimet viti kaluar'!C56</f>
        <v>A.3.5.11</v>
      </c>
      <c r="B57" s="1142" t="str">
        <f>'(G1) Fjalori'!A264</f>
        <v xml:space="preserve">Tarifa për trajtimin e mbetjeve inerte në landfille </v>
      </c>
      <c r="C57" s="1143"/>
      <c r="D57" s="225">
        <f>'(C2) Burimet viti kaluar'!D56</f>
        <v>0</v>
      </c>
      <c r="E57" s="225">
        <f>'(C2) Burimet viti kaluar'!E56</f>
        <v>0</v>
      </c>
      <c r="F57" s="225">
        <f>'(C2) Burimet viti kaluar'!F56</f>
        <v>0</v>
      </c>
      <c r="G57" s="1165"/>
      <c r="H57" s="1166"/>
      <c r="I57" s="31"/>
      <c r="J57" s="31"/>
      <c r="K57" s="31"/>
      <c r="L57" s="31"/>
      <c r="M57" s="31"/>
      <c r="N57" s="259"/>
      <c r="O57" s="35">
        <f t="shared" si="6"/>
        <v>0</v>
      </c>
      <c r="P57" s="1165"/>
      <c r="Q57" s="1166"/>
      <c r="R57" s="31"/>
      <c r="S57" s="31"/>
      <c r="T57" s="31"/>
      <c r="U57" s="31"/>
      <c r="V57" s="31"/>
      <c r="W57" s="259"/>
      <c r="X57" s="35">
        <f t="shared" si="7"/>
        <v>0</v>
      </c>
      <c r="Y57" s="1165"/>
      <c r="Z57" s="1166"/>
      <c r="AA57" s="31"/>
      <c r="AB57" s="31"/>
      <c r="AC57" s="31"/>
      <c r="AD57" s="31"/>
      <c r="AE57" s="31"/>
      <c r="AF57" s="259"/>
      <c r="AG57" s="35">
        <f t="shared" si="5"/>
        <v>0</v>
      </c>
    </row>
    <row r="58" spans="1:33" s="212" customFormat="1" x14ac:dyDescent="0.2">
      <c r="A58" s="235" t="str">
        <f>'(C2) Burimet viti kaluar'!C57</f>
        <v>A.3.5.12</v>
      </c>
      <c r="B58" s="1142" t="str">
        <f>'(G1) Fjalori'!A265</f>
        <v>Tarifa për linjat ajrore dhe nëntoksore (Telefoni, Energji, TV Kabllor, Internet)</v>
      </c>
      <c r="C58" s="1143"/>
      <c r="D58" s="225">
        <f>'(C2) Burimet viti kaluar'!D57</f>
        <v>800833</v>
      </c>
      <c r="E58" s="225">
        <f>'(C2) Burimet viti kaluar'!E57</f>
        <v>1015450</v>
      </c>
      <c r="F58" s="225">
        <f>'(C2) Burimet viti kaluar'!F57</f>
        <v>1600000</v>
      </c>
      <c r="G58" s="1165"/>
      <c r="H58" s="1166"/>
      <c r="I58" s="31">
        <v>0.01</v>
      </c>
      <c r="J58" s="31"/>
      <c r="K58" s="31"/>
      <c r="L58" s="31"/>
      <c r="M58" s="31">
        <v>0.04</v>
      </c>
      <c r="N58" s="259"/>
      <c r="O58" s="698">
        <f>IF(F58&lt;&gt;0,F58*(1+(SUM(I58:M58))),N58)</f>
        <v>1680000</v>
      </c>
      <c r="P58" s="1165"/>
      <c r="Q58" s="1166"/>
      <c r="R58" s="31"/>
      <c r="S58" s="31"/>
      <c r="T58" s="31"/>
      <c r="U58" s="31"/>
      <c r="V58" s="31"/>
      <c r="W58" s="259"/>
      <c r="X58" s="698">
        <f t="shared" si="7"/>
        <v>1680000</v>
      </c>
      <c r="Y58" s="1165"/>
      <c r="Z58" s="1166"/>
      <c r="AA58" s="31"/>
      <c r="AB58" s="31"/>
      <c r="AC58" s="31"/>
      <c r="AD58" s="31"/>
      <c r="AE58" s="31"/>
      <c r="AF58" s="259"/>
      <c r="AG58" s="698">
        <f>IF(X58&lt;&gt;0,X58*(1+(SUM(AA58:AE58))),AF58)</f>
        <v>1680000</v>
      </c>
    </row>
    <row r="59" spans="1:33" s="212" customFormat="1" x14ac:dyDescent="0.2">
      <c r="A59" s="235" t="str">
        <f>'(C2) Burimet viti kaluar'!C58</f>
        <v>A.3.5.13</v>
      </c>
      <c r="B59" s="1142" t="str">
        <f>'(G1) Fjalori'!A266</f>
        <v>Tarifa nga dokumentat për tender, ankand etj</v>
      </c>
      <c r="C59" s="1143"/>
      <c r="D59" s="225">
        <f>'(C2) Burimet viti kaluar'!D58</f>
        <v>0</v>
      </c>
      <c r="E59" s="225">
        <f>'(C2) Burimet viti kaluar'!E58</f>
        <v>0</v>
      </c>
      <c r="F59" s="225">
        <f>'(C2) Burimet viti kaluar'!F58</f>
        <v>0</v>
      </c>
      <c r="G59" s="1165"/>
      <c r="H59" s="1166"/>
      <c r="I59" s="31"/>
      <c r="J59" s="31"/>
      <c r="K59" s="31"/>
      <c r="L59" s="31"/>
      <c r="M59" s="31"/>
      <c r="N59" s="259"/>
      <c r="O59" s="35">
        <f t="shared" si="6"/>
        <v>0</v>
      </c>
      <c r="P59" s="1165"/>
      <c r="Q59" s="1166"/>
      <c r="R59" s="31"/>
      <c r="S59" s="31"/>
      <c r="T59" s="31"/>
      <c r="U59" s="31"/>
      <c r="V59" s="31"/>
      <c r="W59" s="259"/>
      <c r="X59" s="35">
        <f t="shared" si="7"/>
        <v>0</v>
      </c>
      <c r="Y59" s="1165"/>
      <c r="Z59" s="1166"/>
      <c r="AA59" s="31"/>
      <c r="AB59" s="31"/>
      <c r="AC59" s="31"/>
      <c r="AD59" s="31"/>
      <c r="AE59" s="31"/>
      <c r="AF59" s="259"/>
      <c r="AG59" s="35">
        <f t="shared" si="5"/>
        <v>0</v>
      </c>
    </row>
    <row r="60" spans="1:33" s="220" customFormat="1" x14ac:dyDescent="0.25">
      <c r="A60" s="343" t="str">
        <f>'(C2) Burimet viti kaluar'!C59</f>
        <v>A.3.6</v>
      </c>
      <c r="B60" s="456" t="str">
        <f>'(G1) Fjalori'!A267</f>
        <v>Tarifa të institucioneve të arsimit, kulturës, sportit etj</v>
      </c>
      <c r="C60" s="457"/>
      <c r="D60" s="235">
        <f>'(C2) Burimet viti kaluar'!D59</f>
        <v>1696576</v>
      </c>
      <c r="E60" s="235">
        <f>'(C2) Burimet viti kaluar'!E59</f>
        <v>1723825</v>
      </c>
      <c r="F60" s="235">
        <f>'(C2) Burimet viti kaluar'!F59</f>
        <v>6274000</v>
      </c>
      <c r="G60" s="235"/>
      <c r="H60" s="349"/>
      <c r="I60" s="349"/>
      <c r="J60" s="349"/>
      <c r="K60" s="349"/>
      <c r="L60" s="349"/>
      <c r="M60" s="349"/>
      <c r="N60" s="350"/>
      <c r="O60" s="349">
        <f>SUM(O61:O69)</f>
        <v>6349999.7999999998</v>
      </c>
      <c r="P60" s="235"/>
      <c r="Q60" s="349"/>
      <c r="R60" s="349"/>
      <c r="S60" s="349"/>
      <c r="T60" s="349"/>
      <c r="U60" s="349"/>
      <c r="V60" s="349"/>
      <c r="W60" s="350"/>
      <c r="X60" s="349">
        <f>SUM(X61:X69)</f>
        <v>6349999.7999999998</v>
      </c>
      <c r="Y60" s="235"/>
      <c r="Z60" s="349"/>
      <c r="AA60" s="349"/>
      <c r="AB60" s="349"/>
      <c r="AC60" s="349"/>
      <c r="AD60" s="349"/>
      <c r="AE60" s="349"/>
      <c r="AF60" s="350"/>
      <c r="AG60" s="350">
        <f>SUM(AG61:AG69)</f>
        <v>6449999.7964000003</v>
      </c>
    </row>
    <row r="61" spans="1:33" s="212" customFormat="1" x14ac:dyDescent="0.2">
      <c r="A61" s="235" t="str">
        <f>'(C2) Burimet viti kaluar'!C60</f>
        <v>A.3.6.1</v>
      </c>
      <c r="B61" s="1142" t="str">
        <f>'(G1) Fjalori'!A268</f>
        <v>Bibloteka</v>
      </c>
      <c r="C61" s="1143"/>
      <c r="D61" s="225">
        <f>'(C2) Burimet viti kaluar'!D60</f>
        <v>0</v>
      </c>
      <c r="E61" s="225">
        <f>'(C2) Burimet viti kaluar'!E60</f>
        <v>0</v>
      </c>
      <c r="F61" s="225">
        <f>'(C2) Burimet viti kaluar'!F60</f>
        <v>0</v>
      </c>
      <c r="G61" s="1165"/>
      <c r="H61" s="1166"/>
      <c r="I61" s="31"/>
      <c r="J61" s="31"/>
      <c r="K61" s="31"/>
      <c r="L61" s="31"/>
      <c r="M61" s="31"/>
      <c r="N61" s="259"/>
      <c r="O61" s="35">
        <f t="shared" ref="O61:O72" si="8">IF(F61&lt;&gt;0,F61*(1+(SUM(I61:M61))),N61)</f>
        <v>0</v>
      </c>
      <c r="P61" s="1165"/>
      <c r="Q61" s="1166"/>
      <c r="R61" s="31"/>
      <c r="S61" s="31"/>
      <c r="T61" s="31"/>
      <c r="U61" s="31"/>
      <c r="V61" s="31"/>
      <c r="W61" s="259"/>
      <c r="X61" s="35">
        <f t="shared" ref="X61:X72" si="9">IF(O61&lt;&gt;0,O61*(1+(SUM(R61:V61))),W61)</f>
        <v>0</v>
      </c>
      <c r="Y61" s="1165"/>
      <c r="Z61" s="1166"/>
      <c r="AA61" s="31"/>
      <c r="AB61" s="31"/>
      <c r="AC61" s="31"/>
      <c r="AD61" s="31"/>
      <c r="AE61" s="31"/>
      <c r="AF61" s="259"/>
      <c r="AG61" s="35">
        <f t="shared" ref="AG61:AG72" si="10">IF(X61&lt;&gt;0,X61*(1+(SUM(AA61:AE61))),AF61)</f>
        <v>0</v>
      </c>
    </row>
    <row r="62" spans="1:33" s="212" customFormat="1" x14ac:dyDescent="0.2">
      <c r="A62" s="235" t="str">
        <f>'(C2) Burimet viti kaluar'!C61</f>
        <v>A.3.6.2</v>
      </c>
      <c r="B62" s="1142" t="str">
        <f>'(G1) Fjalori'!A269</f>
        <v>Muzeumet</v>
      </c>
      <c r="C62" s="1143"/>
      <c r="D62" s="225">
        <f>'(C2) Burimet viti kaluar'!D61</f>
        <v>0</v>
      </c>
      <c r="E62" s="225">
        <f>'(C2) Burimet viti kaluar'!E61</f>
        <v>0</v>
      </c>
      <c r="F62" s="225">
        <f>'(C2) Burimet viti kaluar'!F61</f>
        <v>0</v>
      </c>
      <c r="G62" s="1165"/>
      <c r="H62" s="1166"/>
      <c r="I62" s="31"/>
      <c r="J62" s="31"/>
      <c r="K62" s="31"/>
      <c r="L62" s="31"/>
      <c r="M62" s="31"/>
      <c r="N62" s="259"/>
      <c r="O62" s="35">
        <f t="shared" si="8"/>
        <v>0</v>
      </c>
      <c r="P62" s="1165"/>
      <c r="Q62" s="1166"/>
      <c r="R62" s="31"/>
      <c r="S62" s="31"/>
      <c r="T62" s="31"/>
      <c r="U62" s="31"/>
      <c r="V62" s="31"/>
      <c r="W62" s="259"/>
      <c r="X62" s="35">
        <f t="shared" si="9"/>
        <v>0</v>
      </c>
      <c r="Y62" s="1165"/>
      <c r="Z62" s="1166"/>
      <c r="AA62" s="31"/>
      <c r="AB62" s="31"/>
      <c r="AC62" s="31"/>
      <c r="AD62" s="31"/>
      <c r="AE62" s="31"/>
      <c r="AF62" s="259"/>
      <c r="AG62" s="35">
        <f t="shared" si="10"/>
        <v>0</v>
      </c>
    </row>
    <row r="63" spans="1:33" s="212" customFormat="1" x14ac:dyDescent="0.2">
      <c r="A63" s="235" t="str">
        <f>'(C2) Burimet viti kaluar'!C62</f>
        <v>A.3.6.3</v>
      </c>
      <c r="B63" s="1142" t="str">
        <f>'(G1) Fjalori'!A270</f>
        <v>Teatri</v>
      </c>
      <c r="C63" s="1143"/>
      <c r="D63" s="225">
        <f>'(C2) Burimet viti kaluar'!D62</f>
        <v>0</v>
      </c>
      <c r="E63" s="225">
        <f>'(C2) Burimet viti kaluar'!E62</f>
        <v>0</v>
      </c>
      <c r="F63" s="225">
        <f>'(C2) Burimet viti kaluar'!F62</f>
        <v>0</v>
      </c>
      <c r="G63" s="1165"/>
      <c r="H63" s="1166"/>
      <c r="I63" s="31"/>
      <c r="J63" s="31"/>
      <c r="K63" s="31"/>
      <c r="L63" s="31"/>
      <c r="M63" s="31"/>
      <c r="N63" s="259"/>
      <c r="O63" s="35">
        <f t="shared" si="8"/>
        <v>0</v>
      </c>
      <c r="P63" s="1165"/>
      <c r="Q63" s="1166"/>
      <c r="R63" s="31"/>
      <c r="S63" s="31"/>
      <c r="T63" s="31"/>
      <c r="U63" s="31"/>
      <c r="V63" s="31"/>
      <c r="W63" s="259"/>
      <c r="X63" s="35">
        <f t="shared" si="9"/>
        <v>0</v>
      </c>
      <c r="Y63" s="1165"/>
      <c r="Z63" s="1166"/>
      <c r="AA63" s="31"/>
      <c r="AB63" s="31"/>
      <c r="AC63" s="31"/>
      <c r="AD63" s="31"/>
      <c r="AE63" s="31"/>
      <c r="AF63" s="259"/>
      <c r="AG63" s="35">
        <f t="shared" si="10"/>
        <v>0</v>
      </c>
    </row>
    <row r="64" spans="1:33" s="212" customFormat="1" x14ac:dyDescent="0.2">
      <c r="A64" s="235" t="str">
        <f>'(C2) Burimet viti kaluar'!C63</f>
        <v>A.3.6.4</v>
      </c>
      <c r="B64" s="1142" t="str">
        <f>'(G1) Fjalori'!A271</f>
        <v>Qendra kulturore e fëmijëve</v>
      </c>
      <c r="C64" s="1143"/>
      <c r="D64" s="225">
        <f>'(C2) Burimet viti kaluar'!D63</f>
        <v>178400</v>
      </c>
      <c r="E64" s="225">
        <f>'(C2) Burimet viti kaluar'!E63</f>
        <v>12000</v>
      </c>
      <c r="F64" s="225">
        <f>'(C2) Burimet viti kaluar'!F63</f>
        <v>380000</v>
      </c>
      <c r="G64" s="1165"/>
      <c r="H64" s="1166"/>
      <c r="I64" s="31"/>
      <c r="J64" s="31">
        <v>0.03</v>
      </c>
      <c r="K64" s="31"/>
      <c r="L64" s="31"/>
      <c r="M64" s="31">
        <v>2.2800000000000001E-2</v>
      </c>
      <c r="N64" s="259"/>
      <c r="O64" s="698">
        <f>IF(F64&lt;&gt;0,F64*(1+(SUM(I64:M64))),N64)-64</f>
        <v>400000</v>
      </c>
      <c r="P64" s="1165"/>
      <c r="Q64" s="1166"/>
      <c r="R64" s="31"/>
      <c r="S64" s="31"/>
      <c r="T64" s="31"/>
      <c r="U64" s="31"/>
      <c r="V64" s="31"/>
      <c r="W64" s="259"/>
      <c r="X64" s="698">
        <f>IF(O64&lt;&gt;0,O64*(1+(SUM(R64:V64))),W64)</f>
        <v>400000</v>
      </c>
      <c r="Y64" s="1165"/>
      <c r="Z64" s="1166"/>
      <c r="AA64" s="31"/>
      <c r="AB64" s="31"/>
      <c r="AC64" s="31"/>
      <c r="AD64" s="31"/>
      <c r="AE64" s="31"/>
      <c r="AF64" s="259"/>
      <c r="AG64" s="698">
        <f>IF(X64&lt;&gt;0,X64*(1+(SUM(AA64:AE64))),AF64)</f>
        <v>400000</v>
      </c>
    </row>
    <row r="65" spans="1:33" s="212" customFormat="1" x14ac:dyDescent="0.2">
      <c r="A65" s="235" t="str">
        <f>'(C2) Burimet viti kaluar'!C64</f>
        <v>A.3.6.5</v>
      </c>
      <c r="B65" s="1142" t="str">
        <f>'(G1) Fjalori'!A272</f>
        <v>Pallati i sportit</v>
      </c>
      <c r="C65" s="1143"/>
      <c r="D65" s="225">
        <f>'(C2) Burimet viti kaluar'!D64</f>
        <v>151900</v>
      </c>
      <c r="E65" s="225">
        <f>'(C2) Burimet viti kaluar'!E64</f>
        <v>25400</v>
      </c>
      <c r="F65" s="225">
        <f>'(C2) Burimet viti kaluar'!F64</f>
        <v>350000</v>
      </c>
      <c r="G65" s="1165"/>
      <c r="H65" s="1166"/>
      <c r="I65" s="31"/>
      <c r="J65" s="31"/>
      <c r="K65" s="31"/>
      <c r="L65" s="31"/>
      <c r="M65" s="31"/>
      <c r="N65" s="259"/>
      <c r="O65" s="698">
        <f t="shared" si="8"/>
        <v>350000</v>
      </c>
      <c r="P65" s="1165"/>
      <c r="Q65" s="1166"/>
      <c r="R65" s="31"/>
      <c r="S65" s="31"/>
      <c r="T65" s="31"/>
      <c r="U65" s="31"/>
      <c r="V65" s="31"/>
      <c r="W65" s="259"/>
      <c r="X65" s="698">
        <f t="shared" si="9"/>
        <v>350000</v>
      </c>
      <c r="Y65" s="1165"/>
      <c r="Z65" s="1166"/>
      <c r="AA65" s="31"/>
      <c r="AB65" s="31"/>
      <c r="AC65" s="31"/>
      <c r="AD65" s="31"/>
      <c r="AE65" s="31"/>
      <c r="AF65" s="259"/>
      <c r="AG65" s="698">
        <f t="shared" si="10"/>
        <v>350000</v>
      </c>
    </row>
    <row r="66" spans="1:33" s="212" customFormat="1" x14ac:dyDescent="0.2">
      <c r="A66" s="235" t="str">
        <f>'(C2) Burimet viti kaluar'!C65</f>
        <v>A.3.6.6</v>
      </c>
      <c r="B66" s="1142" t="str">
        <f>'(G1) Fjalori'!A273</f>
        <v>Qendra Komunitare</v>
      </c>
      <c r="C66" s="1143"/>
      <c r="D66" s="225">
        <f>'(C2) Burimet viti kaluar'!D65</f>
        <v>0</v>
      </c>
      <c r="E66" s="225">
        <f>'(C2) Burimet viti kaluar'!E65</f>
        <v>0</v>
      </c>
      <c r="F66" s="225">
        <f>'(C2) Burimet viti kaluar'!F65</f>
        <v>0</v>
      </c>
      <c r="G66" s="1165"/>
      <c r="H66" s="1166"/>
      <c r="I66" s="31"/>
      <c r="J66" s="31"/>
      <c r="K66" s="31"/>
      <c r="L66" s="31"/>
      <c r="M66" s="31"/>
      <c r="N66" s="259"/>
      <c r="O66" s="35">
        <f t="shared" si="8"/>
        <v>0</v>
      </c>
      <c r="P66" s="1165"/>
      <c r="Q66" s="1166"/>
      <c r="R66" s="31"/>
      <c r="S66" s="31"/>
      <c r="T66" s="31"/>
      <c r="U66" s="31"/>
      <c r="V66" s="31"/>
      <c r="W66" s="259"/>
      <c r="X66" s="35">
        <f t="shared" si="9"/>
        <v>0</v>
      </c>
      <c r="Y66" s="1165"/>
      <c r="Z66" s="1166"/>
      <c r="AA66" s="31"/>
      <c r="AB66" s="31"/>
      <c r="AC66" s="31"/>
      <c r="AD66" s="31"/>
      <c r="AE66" s="31"/>
      <c r="AF66" s="259"/>
      <c r="AG66" s="35">
        <f t="shared" si="10"/>
        <v>0</v>
      </c>
    </row>
    <row r="67" spans="1:33" s="212" customFormat="1" x14ac:dyDescent="0.2">
      <c r="A67" s="235" t="str">
        <f>'(C2) Burimet viti kaluar'!C66</f>
        <v>A.3.6.7</v>
      </c>
      <c r="B67" s="1142" t="str">
        <f>'(G1) Fjalori'!A274</f>
        <v>Mensa (Konviktet)</v>
      </c>
      <c r="C67" s="1143"/>
      <c r="D67" s="225">
        <f>'(C2) Burimet viti kaluar'!D66</f>
        <v>0</v>
      </c>
      <c r="E67" s="225">
        <f>'(C2) Burimet viti kaluar'!E66</f>
        <v>0</v>
      </c>
      <c r="F67" s="225">
        <f>'(C2) Burimet viti kaluar'!F66</f>
        <v>0</v>
      </c>
      <c r="G67" s="1165"/>
      <c r="H67" s="1166"/>
      <c r="I67" s="31"/>
      <c r="J67" s="31"/>
      <c r="K67" s="31"/>
      <c r="L67" s="31"/>
      <c r="M67" s="31"/>
      <c r="N67" s="259"/>
      <c r="O67" s="35">
        <f t="shared" si="8"/>
        <v>0</v>
      </c>
      <c r="P67" s="1165"/>
      <c r="Q67" s="1166"/>
      <c r="R67" s="31"/>
      <c r="S67" s="31"/>
      <c r="T67" s="31"/>
      <c r="U67" s="31"/>
      <c r="V67" s="31"/>
      <c r="W67" s="259"/>
      <c r="X67" s="35">
        <f t="shared" si="9"/>
        <v>0</v>
      </c>
      <c r="Y67" s="1165"/>
      <c r="Z67" s="1166"/>
      <c r="AA67" s="31"/>
      <c r="AB67" s="31"/>
      <c r="AC67" s="31"/>
      <c r="AD67" s="31"/>
      <c r="AE67" s="31"/>
      <c r="AF67" s="259"/>
      <c r="AG67" s="35">
        <f t="shared" si="10"/>
        <v>0</v>
      </c>
    </row>
    <row r="68" spans="1:33" s="212" customFormat="1" x14ac:dyDescent="0.2">
      <c r="A68" s="235" t="str">
        <f>'(C2) Burimet viti kaluar'!C67</f>
        <v>A.3.6.8</v>
      </c>
      <c r="B68" s="1142" t="str">
        <f>'(G1) Fjalori'!A275</f>
        <v>Kopshtet</v>
      </c>
      <c r="C68" s="1143"/>
      <c r="D68" s="225">
        <f>'(C2) Burimet viti kaluar'!D67</f>
        <v>0</v>
      </c>
      <c r="E68" s="225">
        <f>'(C2) Burimet viti kaluar'!E67</f>
        <v>595945</v>
      </c>
      <c r="F68" s="225">
        <f>'(C2) Burimet viti kaluar'!F67</f>
        <v>0</v>
      </c>
      <c r="G68" s="1165"/>
      <c r="H68" s="1166"/>
      <c r="I68" s="31"/>
      <c r="J68" s="31"/>
      <c r="K68" s="31"/>
      <c r="L68" s="31"/>
      <c r="M68" s="31">
        <v>0.01</v>
      </c>
      <c r="N68" s="259"/>
      <c r="O68" s="35">
        <f t="shared" si="8"/>
        <v>0</v>
      </c>
      <c r="P68" s="1165"/>
      <c r="Q68" s="1166"/>
      <c r="R68" s="31"/>
      <c r="S68" s="31"/>
      <c r="T68" s="31"/>
      <c r="U68" s="31"/>
      <c r="V68" s="31"/>
      <c r="W68" s="259"/>
      <c r="X68" s="35">
        <f t="shared" si="9"/>
        <v>0</v>
      </c>
      <c r="Y68" s="1165"/>
      <c r="Z68" s="1166"/>
      <c r="AA68" s="31"/>
      <c r="AB68" s="31"/>
      <c r="AC68" s="31"/>
      <c r="AD68" s="31"/>
      <c r="AE68" s="31"/>
      <c r="AF68" s="259"/>
      <c r="AG68" s="698">
        <f>IF(X68&lt;&gt;0,X68*(1+(SUM(AA68:AE68))),AF68)</f>
        <v>0</v>
      </c>
    </row>
    <row r="69" spans="1:33" s="212" customFormat="1" x14ac:dyDescent="0.2">
      <c r="A69" s="235" t="str">
        <f>'(C2) Burimet viti kaluar'!C68</f>
        <v>A.3.6.9</v>
      </c>
      <c r="B69" s="1142" t="str">
        <f>'(G1) Fjalori'!A276</f>
        <v>Çerdhet</v>
      </c>
      <c r="C69" s="1143"/>
      <c r="D69" s="225">
        <f>'(C2) Burimet viti kaluar'!D68</f>
        <v>1366276</v>
      </c>
      <c r="E69" s="225">
        <f>'(C2) Burimet viti kaluar'!E68</f>
        <v>1090480</v>
      </c>
      <c r="F69" s="225">
        <f>'(C2) Burimet viti kaluar'!F68</f>
        <v>5544000</v>
      </c>
      <c r="G69" s="1165"/>
      <c r="H69" s="1166"/>
      <c r="I69" s="31"/>
      <c r="J69" s="31"/>
      <c r="K69" s="31"/>
      <c r="L69" s="31"/>
      <c r="M69" s="31">
        <v>1.0200000000000001E-2</v>
      </c>
      <c r="N69" s="259"/>
      <c r="O69" s="35">
        <f>IF(F69&lt;&gt;0,F69*(1+(SUM(I69:M69))),N69)-549</f>
        <v>5599999.7999999998</v>
      </c>
      <c r="P69" s="1165"/>
      <c r="Q69" s="1166"/>
      <c r="R69" s="31"/>
      <c r="S69" s="31"/>
      <c r="T69" s="31"/>
      <c r="U69" s="31"/>
      <c r="V69" s="31"/>
      <c r="W69" s="259"/>
      <c r="X69" s="35">
        <f t="shared" si="9"/>
        <v>5599999.7999999998</v>
      </c>
      <c r="Y69" s="1165"/>
      <c r="Z69" s="1166"/>
      <c r="AA69" s="31">
        <v>1.7999999999999999E-2</v>
      </c>
      <c r="AB69" s="31"/>
      <c r="AC69" s="31"/>
      <c r="AD69" s="31"/>
      <c r="AE69" s="31"/>
      <c r="AF69" s="259"/>
      <c r="AG69" s="698">
        <f>IF(X69&lt;&gt;0,X69*(1+(SUM(AA69:AE69))),AF69)-800</f>
        <v>5699999.7964000003</v>
      </c>
    </row>
    <row r="70" spans="1:33" s="220" customFormat="1" x14ac:dyDescent="0.2">
      <c r="A70" s="343" t="str">
        <f>'(C2) Burimet viti kaluar'!C69</f>
        <v>A.3.7</v>
      </c>
      <c r="B70" s="456" t="str">
        <f>'(G1) Fjalori'!A277</f>
        <v>Tarifa për furnizimin me ujë dhe kanalizime</v>
      </c>
      <c r="C70" s="457"/>
      <c r="D70" s="225">
        <f>'(C2) Burimet viti kaluar'!D69</f>
        <v>663300</v>
      </c>
      <c r="E70" s="225">
        <f>'(C2) Burimet viti kaluar'!E69</f>
        <v>0</v>
      </c>
      <c r="F70" s="225">
        <f>'(C2) Burimet viti kaluar'!F69</f>
        <v>0</v>
      </c>
      <c r="G70" s="1165"/>
      <c r="H70" s="1166"/>
      <c r="I70" s="31"/>
      <c r="J70" s="31"/>
      <c r="K70" s="31"/>
      <c r="L70" s="31"/>
      <c r="M70" s="31"/>
      <c r="N70" s="259"/>
      <c r="O70" s="35">
        <f t="shared" si="8"/>
        <v>0</v>
      </c>
      <c r="P70" s="1165"/>
      <c r="Q70" s="1166"/>
      <c r="R70" s="31"/>
      <c r="S70" s="31"/>
      <c r="T70" s="31"/>
      <c r="U70" s="31"/>
      <c r="V70" s="31"/>
      <c r="W70" s="259"/>
      <c r="X70" s="35">
        <f t="shared" si="9"/>
        <v>0</v>
      </c>
      <c r="Y70" s="1165"/>
      <c r="Z70" s="1166"/>
      <c r="AA70" s="31"/>
      <c r="AB70" s="31"/>
      <c r="AC70" s="31"/>
      <c r="AD70" s="31"/>
      <c r="AE70" s="31"/>
      <c r="AF70" s="259"/>
      <c r="AG70" s="35">
        <f t="shared" si="10"/>
        <v>0</v>
      </c>
    </row>
    <row r="71" spans="1:33" s="220" customFormat="1" x14ac:dyDescent="0.2">
      <c r="A71" s="343" t="str">
        <f>'(C2) Burimet viti kaluar'!C70</f>
        <v>A.3.8</v>
      </c>
      <c r="B71" s="456" t="str">
        <f>'(G1) Fjalori'!A278</f>
        <v>Tarifa për shërbimin e ujitjes dhe kullimit</v>
      </c>
      <c r="C71" s="457"/>
      <c r="D71" s="225">
        <f>'(C2) Burimet viti kaluar'!D70</f>
        <v>0</v>
      </c>
      <c r="E71" s="225">
        <f>'(C2) Burimet viti kaluar'!E70</f>
        <v>0</v>
      </c>
      <c r="F71" s="225">
        <f>'(C2) Burimet viti kaluar'!F70</f>
        <v>500000</v>
      </c>
      <c r="G71" s="1165"/>
      <c r="H71" s="1166"/>
      <c r="I71" s="31"/>
      <c r="J71" s="31"/>
      <c r="K71" s="31"/>
      <c r="L71" s="31"/>
      <c r="M71" s="31"/>
      <c r="N71" s="259"/>
      <c r="O71" s="35">
        <f t="shared" si="8"/>
        <v>500000</v>
      </c>
      <c r="P71" s="1165"/>
      <c r="Q71" s="1166"/>
      <c r="R71" s="31"/>
      <c r="S71" s="31"/>
      <c r="T71" s="31"/>
      <c r="U71" s="31"/>
      <c r="V71" s="31"/>
      <c r="W71" s="259"/>
      <c r="X71" s="35">
        <f t="shared" si="9"/>
        <v>500000</v>
      </c>
      <c r="Y71" s="1165"/>
      <c r="Z71" s="1166"/>
      <c r="AA71" s="31"/>
      <c r="AB71" s="31"/>
      <c r="AC71" s="31"/>
      <c r="AD71" s="31"/>
      <c r="AE71" s="31"/>
      <c r="AF71" s="259"/>
      <c r="AG71" s="35">
        <f t="shared" si="10"/>
        <v>500000</v>
      </c>
    </row>
    <row r="72" spans="1:33" s="220" customFormat="1" x14ac:dyDescent="0.2">
      <c r="A72" s="343" t="str">
        <f>'(C2) Burimet viti kaluar'!C71</f>
        <v>A.3.9</v>
      </c>
      <c r="B72" s="456" t="str">
        <f>'(G1) Fjalori'!A279</f>
        <v>Tarifa e përkohëshme</v>
      </c>
      <c r="C72" s="457"/>
      <c r="D72" s="225">
        <f>'(C2) Burimet viti kaluar'!D71</f>
        <v>76500</v>
      </c>
      <c r="E72" s="225">
        <f>'(C2) Burimet viti kaluar'!E71</f>
        <v>0</v>
      </c>
      <c r="F72" s="225">
        <f>'(C2) Burimet viti kaluar'!F71</f>
        <v>8500000</v>
      </c>
      <c r="G72" s="1165"/>
      <c r="H72" s="1166"/>
      <c r="I72" s="31"/>
      <c r="J72" s="31"/>
      <c r="K72" s="31"/>
      <c r="L72" s="31"/>
      <c r="M72" s="31"/>
      <c r="N72" s="259">
        <v>8000000</v>
      </c>
      <c r="O72" s="35">
        <f t="shared" si="8"/>
        <v>8500000</v>
      </c>
      <c r="P72" s="1165"/>
      <c r="Q72" s="1166"/>
      <c r="R72" s="31"/>
      <c r="S72" s="31"/>
      <c r="T72" s="31"/>
      <c r="U72" s="31"/>
      <c r="V72" s="31"/>
      <c r="W72" s="259"/>
      <c r="X72" s="35">
        <f t="shared" si="9"/>
        <v>8500000</v>
      </c>
      <c r="Y72" s="1165"/>
      <c r="Z72" s="1166"/>
      <c r="AA72" s="31"/>
      <c r="AB72" s="31"/>
      <c r="AC72" s="31"/>
      <c r="AD72" s="31"/>
      <c r="AE72" s="31"/>
      <c r="AF72" s="259"/>
      <c r="AG72" s="35">
        <f t="shared" si="10"/>
        <v>8500000</v>
      </c>
    </row>
    <row r="73" spans="1:33" s="220" customFormat="1" x14ac:dyDescent="0.2">
      <c r="A73" s="343" t="str">
        <f>'(C2) Burimet viti kaluar'!C72</f>
        <v>A.3.10</v>
      </c>
      <c r="B73" s="456" t="str">
        <f>'(G1) Fjalori'!A280</f>
        <v>Tarifa të tjera</v>
      </c>
      <c r="C73" s="457"/>
      <c r="D73" s="225">
        <f>'(C2) Burimet viti kaluar'!D72</f>
        <v>4391217</v>
      </c>
      <c r="E73" s="225">
        <f>'(C2) Burimet viti kaluar'!E72</f>
        <v>5875620</v>
      </c>
      <c r="F73" s="225">
        <f>'(C2) Burimet viti kaluar'!F72</f>
        <v>4600000</v>
      </c>
      <c r="G73" s="1165"/>
      <c r="H73" s="1166"/>
      <c r="I73" s="31">
        <v>0.01</v>
      </c>
      <c r="J73" s="31">
        <v>1.47E-2</v>
      </c>
      <c r="K73" s="31"/>
      <c r="L73" s="31"/>
      <c r="M73" s="31"/>
      <c r="N73" s="259"/>
      <c r="O73" s="35">
        <f>IF(F73&lt;&gt;0,F73*(1+(SUM(I73:M73))),N73)-770</f>
        <v>4712850</v>
      </c>
      <c r="P73" s="1165"/>
      <c r="Q73" s="1166"/>
      <c r="R73" s="31"/>
      <c r="S73" s="31"/>
      <c r="T73" s="31"/>
      <c r="U73" s="31"/>
      <c r="V73" s="31">
        <v>1E-3</v>
      </c>
      <c r="W73" s="259"/>
      <c r="X73" s="35">
        <f>IF(O73&lt;&gt;0,O73*(1+(SUM(R73:V73))),W73)+26</f>
        <v>4717588.8499999996</v>
      </c>
      <c r="Y73" s="1165"/>
      <c r="Z73" s="1166"/>
      <c r="AA73" s="31">
        <v>1E-3</v>
      </c>
      <c r="AB73" s="31"/>
      <c r="AC73" s="31"/>
      <c r="AD73" s="31"/>
      <c r="AE73" s="31"/>
      <c r="AF73" s="259"/>
      <c r="AG73" s="35">
        <f>IF(X73&lt;&gt;0,X73*(1+(SUM(AA73:AE73))),AF73)+75</f>
        <v>4722381.4388499996</v>
      </c>
    </row>
    <row r="74" spans="1:33" s="209" customFormat="1" x14ac:dyDescent="0.25">
      <c r="B74" s="214"/>
      <c r="C74" s="214"/>
      <c r="Y74" s="453"/>
      <c r="Z74" s="214"/>
      <c r="AA74" s="214"/>
      <c r="AB74" s="214"/>
      <c r="AC74" s="214"/>
      <c r="AD74" s="214"/>
      <c r="AE74" s="214"/>
      <c r="AF74" s="214"/>
      <c r="AG74" s="454"/>
    </row>
    <row r="75" spans="1:33" s="212" customFormat="1" ht="17.25" customHeight="1" x14ac:dyDescent="0.25">
      <c r="D75" s="443">
        <f>D29</f>
        <v>2019</v>
      </c>
      <c r="E75" s="443">
        <f>E29</f>
        <v>2020</v>
      </c>
      <c r="F75" s="443">
        <f>F29</f>
        <v>2021</v>
      </c>
      <c r="G75" s="1176">
        <f>G29</f>
        <v>2022</v>
      </c>
      <c r="H75" s="1177"/>
      <c r="I75" s="1177"/>
      <c r="J75" s="1177"/>
      <c r="K75" s="1177"/>
      <c r="L75" s="1177"/>
      <c r="M75" s="1177"/>
      <c r="N75" s="1177"/>
      <c r="O75" s="1178"/>
      <c r="P75" s="1176">
        <f>P29</f>
        <v>2023</v>
      </c>
      <c r="Q75" s="1177"/>
      <c r="R75" s="1177"/>
      <c r="S75" s="1177"/>
      <c r="T75" s="1177"/>
      <c r="U75" s="1177"/>
      <c r="V75" s="1177"/>
      <c r="W75" s="1177"/>
      <c r="X75" s="1177"/>
      <c r="Y75" s="1176">
        <f>Y29</f>
        <v>2024</v>
      </c>
      <c r="Z75" s="1177"/>
      <c r="AA75" s="1177"/>
      <c r="AB75" s="1177"/>
      <c r="AC75" s="1177"/>
      <c r="AD75" s="1177"/>
      <c r="AE75" s="1177"/>
      <c r="AF75" s="1177"/>
      <c r="AG75" s="1178"/>
    </row>
    <row r="76" spans="1:33" s="217" customFormat="1" ht="30.75" customHeight="1" x14ac:dyDescent="0.25">
      <c r="B76" s="216"/>
      <c r="C76" s="216"/>
      <c r="D76" s="260" t="str">
        <f>D30</f>
        <v>Viti t-2</v>
      </c>
      <c r="E76" s="260" t="str">
        <f>E30</f>
        <v>Viti i shkuar</v>
      </c>
      <c r="F76" s="260" t="str">
        <f>F30</f>
        <v>Viti aktual</v>
      </c>
      <c r="G76" s="1168"/>
      <c r="H76" s="1170"/>
      <c r="I76" s="1170"/>
      <c r="J76" s="1170"/>
      <c r="K76" s="1170"/>
      <c r="L76" s="1170"/>
      <c r="M76" s="1170"/>
      <c r="N76" s="1169"/>
      <c r="O76" s="447" t="str">
        <f>'(G1) Fjalori'!A351</f>
        <v>Vlerësimi i të Ardhurave</v>
      </c>
      <c r="P76" s="1168"/>
      <c r="Q76" s="1170"/>
      <c r="R76" s="1170"/>
      <c r="S76" s="1170"/>
      <c r="T76" s="1170"/>
      <c r="U76" s="1170"/>
      <c r="V76" s="1170"/>
      <c r="W76" s="1169"/>
      <c r="X76" s="447" t="str">
        <f>O76</f>
        <v>Vlerësimi i të Ardhurave</v>
      </c>
      <c r="Y76" s="1168"/>
      <c r="Z76" s="1170"/>
      <c r="AA76" s="1170"/>
      <c r="AB76" s="1170"/>
      <c r="AC76" s="1170"/>
      <c r="AD76" s="1170"/>
      <c r="AE76" s="1170"/>
      <c r="AF76" s="1169"/>
      <c r="AG76" s="448" t="str">
        <f>X76</f>
        <v>Vlerësimi i të Ardhurave</v>
      </c>
    </row>
    <row r="77" spans="1:33" s="212" customFormat="1" ht="18.75" x14ac:dyDescent="0.25">
      <c r="A77" s="241" t="str">
        <f>'(C2) Burimet viti kaluar'!C73</f>
        <v>A.4</v>
      </c>
      <c r="B77" s="1146" t="str">
        <f>'(G1) Fjalori'!A281</f>
        <v>TË ARDHURAT E TJERA</v>
      </c>
      <c r="C77" s="1147"/>
      <c r="D77" s="346">
        <f>'(C2) Burimet viti kaluar'!D73</f>
        <v>14506160</v>
      </c>
      <c r="E77" s="346">
        <f>'(C2) Burimet viti kaluar'!E73</f>
        <v>19413286</v>
      </c>
      <c r="F77" s="346">
        <f>'(C2) Burimet viti kaluar'!F73</f>
        <v>76197721</v>
      </c>
      <c r="G77" s="348"/>
      <c r="H77" s="348"/>
      <c r="I77" s="348"/>
      <c r="J77" s="348"/>
      <c r="K77" s="348"/>
      <c r="L77" s="348"/>
      <c r="M77" s="348"/>
      <c r="N77" s="348"/>
      <c r="O77" s="346">
        <f>SUM(O78:O91)</f>
        <v>67641988</v>
      </c>
      <c r="P77" s="348"/>
      <c r="Q77" s="348"/>
      <c r="R77" s="348"/>
      <c r="S77" s="348"/>
      <c r="T77" s="348"/>
      <c r="U77" s="348"/>
      <c r="V77" s="348"/>
      <c r="W77" s="348"/>
      <c r="X77" s="346">
        <f>SUM(X78:X91)</f>
        <v>68041988</v>
      </c>
      <c r="Y77" s="452"/>
      <c r="Z77" s="348"/>
      <c r="AA77" s="348"/>
      <c r="AB77" s="348"/>
      <c r="AC77" s="348"/>
      <c r="AD77" s="348"/>
      <c r="AE77" s="348"/>
      <c r="AF77" s="348"/>
      <c r="AG77" s="346">
        <f>SUM(AG78:AG91)</f>
        <v>68041988</v>
      </c>
    </row>
    <row r="78" spans="1:33" s="220" customFormat="1" x14ac:dyDescent="0.2">
      <c r="A78" s="343" t="str">
        <f>'(C2) Burimet viti kaluar'!C74</f>
        <v>A.4.1</v>
      </c>
      <c r="B78" s="343" t="str">
        <f>'(G1) Fjalori'!A282</f>
        <v>Qeraja nga asetet në pronësi të bashkisë</v>
      </c>
      <c r="C78" s="435"/>
      <c r="D78" s="225">
        <f>'(C2) Burimet viti kaluar'!D74</f>
        <v>12455709</v>
      </c>
      <c r="E78" s="225">
        <f>'(C2) Burimet viti kaluar'!E74</f>
        <v>10576653</v>
      </c>
      <c r="F78" s="225">
        <f>'(C2) Burimet viti kaluar'!F74</f>
        <v>13541988</v>
      </c>
      <c r="G78" s="1165"/>
      <c r="H78" s="1167"/>
      <c r="I78" s="1167"/>
      <c r="J78" s="1167"/>
      <c r="K78" s="1167"/>
      <c r="L78" s="1167"/>
      <c r="M78" s="1167"/>
      <c r="N78" s="1166"/>
      <c r="O78" s="706">
        <f>800000+13541988</f>
        <v>14341988</v>
      </c>
      <c r="P78" s="1165"/>
      <c r="Q78" s="1167"/>
      <c r="R78" s="1167"/>
      <c r="S78" s="1167"/>
      <c r="T78" s="1167"/>
      <c r="U78" s="1167"/>
      <c r="V78" s="1167"/>
      <c r="W78" s="1166"/>
      <c r="X78" s="455">
        <f>800000+13541988</f>
        <v>14341988</v>
      </c>
      <c r="Y78" s="1165"/>
      <c r="Z78" s="1167"/>
      <c r="AA78" s="1167"/>
      <c r="AB78" s="1167"/>
      <c r="AC78" s="1167"/>
      <c r="AD78" s="1167"/>
      <c r="AE78" s="1167"/>
      <c r="AF78" s="1166"/>
      <c r="AG78" s="455">
        <f>800000+13541988</f>
        <v>14341988</v>
      </c>
    </row>
    <row r="79" spans="1:33" s="220" customFormat="1" x14ac:dyDescent="0.2">
      <c r="A79" s="343" t="str">
        <f>'(C2) Burimet viti kaluar'!C75</f>
        <v>A.4.2</v>
      </c>
      <c r="B79" s="343" t="str">
        <f>'(G1) Fjalori'!A283</f>
        <v>Kthimi nga investimet kapitale</v>
      </c>
      <c r="C79" s="435"/>
      <c r="D79" s="225">
        <f>'(C2) Burimet viti kaluar'!D75</f>
        <v>0</v>
      </c>
      <c r="E79" s="225">
        <f>'(C2) Burimet viti kaluar'!E75</f>
        <v>0</v>
      </c>
      <c r="F79" s="225">
        <f>'(C2) Burimet viti kaluar'!F75</f>
        <v>0</v>
      </c>
      <c r="G79" s="1165"/>
      <c r="H79" s="1167"/>
      <c r="I79" s="1167"/>
      <c r="J79" s="1167"/>
      <c r="K79" s="1167"/>
      <c r="L79" s="1167"/>
      <c r="M79" s="1167"/>
      <c r="N79" s="1166"/>
      <c r="O79" s="455"/>
      <c r="P79" s="1165"/>
      <c r="Q79" s="1167"/>
      <c r="R79" s="1167"/>
      <c r="S79" s="1167"/>
      <c r="T79" s="1167"/>
      <c r="U79" s="1167"/>
      <c r="V79" s="1167"/>
      <c r="W79" s="1166"/>
      <c r="X79" s="455"/>
      <c r="Y79" s="1165"/>
      <c r="Z79" s="1167"/>
      <c r="AA79" s="1167"/>
      <c r="AB79" s="1167"/>
      <c r="AC79" s="1167"/>
      <c r="AD79" s="1167"/>
      <c r="AE79" s="1167"/>
      <c r="AF79" s="1166"/>
      <c r="AG79" s="455"/>
    </row>
    <row r="80" spans="1:33" s="220" customFormat="1" x14ac:dyDescent="0.2">
      <c r="A80" s="343" t="str">
        <f>'(C2) Burimet viti kaluar'!C76</f>
        <v>A.4.3</v>
      </c>
      <c r="B80" s="343" t="str">
        <f>'(G1) Fjalori'!A284</f>
        <v>Fitimi nga ndërmarrjet publike në varësi të Bashkisë</v>
      </c>
      <c r="C80" s="435"/>
      <c r="D80" s="225">
        <f>'(C2) Burimet viti kaluar'!D76</f>
        <v>0</v>
      </c>
      <c r="E80" s="225">
        <f>'(C2) Burimet viti kaluar'!E76</f>
        <v>0</v>
      </c>
      <c r="F80" s="225">
        <f>'(C2) Burimet viti kaluar'!F76</f>
        <v>0</v>
      </c>
      <c r="G80" s="1165"/>
      <c r="H80" s="1167"/>
      <c r="I80" s="1167"/>
      <c r="J80" s="1167"/>
      <c r="K80" s="1167"/>
      <c r="L80" s="1167"/>
      <c r="M80" s="1167"/>
      <c r="N80" s="1166"/>
      <c r="O80" s="455"/>
      <c r="P80" s="1165"/>
      <c r="Q80" s="1167"/>
      <c r="R80" s="1167"/>
      <c r="S80" s="1167"/>
      <c r="T80" s="1167"/>
      <c r="U80" s="1167"/>
      <c r="V80" s="1167"/>
      <c r="W80" s="1166"/>
      <c r="X80" s="455"/>
      <c r="Y80" s="1165"/>
      <c r="Z80" s="1167"/>
      <c r="AA80" s="1167"/>
      <c r="AB80" s="1167"/>
      <c r="AC80" s="1167"/>
      <c r="AD80" s="1167"/>
      <c r="AE80" s="1167"/>
      <c r="AF80" s="1166"/>
      <c r="AG80" s="455"/>
    </row>
    <row r="81" spans="1:33" s="220" customFormat="1" x14ac:dyDescent="0.2">
      <c r="A81" s="343" t="str">
        <f>'(C2) Burimet viti kaluar'!C77</f>
        <v>A.4.4</v>
      </c>
      <c r="B81" s="343" t="str">
        <f>'(G1) Fjalori'!A285</f>
        <v>Kthimi nga partneriteti publik privat</v>
      </c>
      <c r="C81" s="435"/>
      <c r="D81" s="225">
        <f>'(C2) Burimet viti kaluar'!D77</f>
        <v>0</v>
      </c>
      <c r="E81" s="225">
        <f>'(C2) Burimet viti kaluar'!E77</f>
        <v>0</v>
      </c>
      <c r="F81" s="225">
        <f>'(C2) Burimet viti kaluar'!F77</f>
        <v>0</v>
      </c>
      <c r="G81" s="1165"/>
      <c r="H81" s="1167"/>
      <c r="I81" s="1167"/>
      <c r="J81" s="1167"/>
      <c r="K81" s="1167"/>
      <c r="L81" s="1167"/>
      <c r="M81" s="1167"/>
      <c r="N81" s="1166"/>
      <c r="O81" s="455"/>
      <c r="P81" s="1165"/>
      <c r="Q81" s="1167"/>
      <c r="R81" s="1167"/>
      <c r="S81" s="1167"/>
      <c r="T81" s="1167"/>
      <c r="U81" s="1167"/>
      <c r="V81" s="1167"/>
      <c r="W81" s="1166"/>
      <c r="X81" s="455"/>
      <c r="Y81" s="1165"/>
      <c r="Z81" s="1167"/>
      <c r="AA81" s="1167"/>
      <c r="AB81" s="1167"/>
      <c r="AC81" s="1167"/>
      <c r="AD81" s="1167"/>
      <c r="AE81" s="1167"/>
      <c r="AF81" s="1166"/>
      <c r="AG81" s="455"/>
    </row>
    <row r="82" spans="1:33" s="220" customFormat="1" x14ac:dyDescent="0.2">
      <c r="A82" s="343" t="str">
        <f>'(C2) Burimet viti kaluar'!C78</f>
        <v>A.4.5</v>
      </c>
      <c r="B82" s="343" t="str">
        <f>'(G1) Fjalori'!A286</f>
        <v>Tërheqje e të ardhura krijuar nga shërbimet</v>
      </c>
      <c r="C82" s="435"/>
      <c r="D82" s="225">
        <f>'(C2) Burimet viti kaluar'!D78</f>
        <v>0</v>
      </c>
      <c r="E82" s="225">
        <f>'(C2) Burimet viti kaluar'!E78</f>
        <v>0</v>
      </c>
      <c r="F82" s="225">
        <f>'(C2) Burimet viti kaluar'!F78</f>
        <v>0</v>
      </c>
      <c r="G82" s="1165"/>
      <c r="H82" s="1167"/>
      <c r="I82" s="1167"/>
      <c r="J82" s="1167"/>
      <c r="K82" s="1167"/>
      <c r="L82" s="1167"/>
      <c r="M82" s="1167"/>
      <c r="N82" s="1166"/>
      <c r="O82" s="455"/>
      <c r="P82" s="1165"/>
      <c r="Q82" s="1167"/>
      <c r="R82" s="1167"/>
      <c r="S82" s="1167"/>
      <c r="T82" s="1167"/>
      <c r="U82" s="1167"/>
      <c r="V82" s="1167"/>
      <c r="W82" s="1166"/>
      <c r="X82" s="455"/>
      <c r="Y82" s="1165"/>
      <c r="Z82" s="1167"/>
      <c r="AA82" s="1167"/>
      <c r="AB82" s="1167"/>
      <c r="AC82" s="1167"/>
      <c r="AD82" s="1167"/>
      <c r="AE82" s="1167"/>
      <c r="AF82" s="1166"/>
      <c r="AG82" s="455"/>
    </row>
    <row r="83" spans="1:33" s="220" customFormat="1" x14ac:dyDescent="0.2">
      <c r="A83" s="343" t="str">
        <f>'(C2) Burimet viti kaluar'!C79</f>
        <v>A.4.6</v>
      </c>
      <c r="B83" s="343" t="str">
        <f>'(G1) Fjalori'!A287</f>
        <v>Shitja e mallrave dhe shërbimeve</v>
      </c>
      <c r="C83" s="435"/>
      <c r="D83" s="225">
        <f>'(C2) Burimet viti kaluar'!D79</f>
        <v>0</v>
      </c>
      <c r="E83" s="225">
        <f>'(C2) Burimet viti kaluar'!E79</f>
        <v>0</v>
      </c>
      <c r="F83" s="225">
        <f>'(C2) Burimet viti kaluar'!F79</f>
        <v>0</v>
      </c>
      <c r="G83" s="1165"/>
      <c r="H83" s="1167"/>
      <c r="I83" s="1167"/>
      <c r="J83" s="1167"/>
      <c r="K83" s="1167"/>
      <c r="L83" s="1167"/>
      <c r="M83" s="1167"/>
      <c r="N83" s="1166"/>
      <c r="O83" s="455"/>
      <c r="P83" s="1165"/>
      <c r="Q83" s="1167"/>
      <c r="R83" s="1167"/>
      <c r="S83" s="1167"/>
      <c r="T83" s="1167"/>
      <c r="U83" s="1167"/>
      <c r="V83" s="1167"/>
      <c r="W83" s="1166"/>
      <c r="X83" s="455"/>
      <c r="Y83" s="1165"/>
      <c r="Z83" s="1167"/>
      <c r="AA83" s="1167"/>
      <c r="AB83" s="1167"/>
      <c r="AC83" s="1167"/>
      <c r="AD83" s="1167"/>
      <c r="AE83" s="1167"/>
      <c r="AF83" s="1166"/>
      <c r="AG83" s="455"/>
    </row>
    <row r="84" spans="1:33" s="220" customFormat="1" x14ac:dyDescent="0.2">
      <c r="A84" s="343" t="str">
        <f>'(C2) Burimet viti kaluar'!C80</f>
        <v>A.4.7</v>
      </c>
      <c r="B84" s="343" t="str">
        <f>'(G1) Fjalori'!A288</f>
        <v>Kundravajtjet administrative (Gjobat)</v>
      </c>
      <c r="C84" s="435"/>
      <c r="D84" s="225">
        <f>'(C2) Burimet viti kaluar'!D80</f>
        <v>1556378</v>
      </c>
      <c r="E84" s="225">
        <f>'(C2) Burimet viti kaluar'!E80</f>
        <v>620045</v>
      </c>
      <c r="F84" s="225">
        <f>'(C2) Burimet viti kaluar'!F80</f>
        <v>3000000</v>
      </c>
      <c r="G84" s="1165"/>
      <c r="H84" s="1167"/>
      <c r="I84" s="1167"/>
      <c r="J84" s="1167"/>
      <c r="K84" s="1167"/>
      <c r="L84" s="1167"/>
      <c r="M84" s="1167"/>
      <c r="N84" s="1166"/>
      <c r="O84" s="455">
        <v>3000000</v>
      </c>
      <c r="P84" s="1165"/>
      <c r="Q84" s="1167"/>
      <c r="R84" s="1167"/>
      <c r="S84" s="1167"/>
      <c r="T84" s="1167"/>
      <c r="U84" s="1167"/>
      <c r="V84" s="1167"/>
      <c r="W84" s="1166"/>
      <c r="X84" s="455">
        <v>3000000</v>
      </c>
      <c r="Y84" s="1165"/>
      <c r="Z84" s="1167"/>
      <c r="AA84" s="1167"/>
      <c r="AB84" s="1167"/>
      <c r="AC84" s="1167"/>
      <c r="AD84" s="1167"/>
      <c r="AE84" s="1167"/>
      <c r="AF84" s="1166"/>
      <c r="AG84" s="455">
        <v>3000000</v>
      </c>
    </row>
    <row r="85" spans="1:33" s="220" customFormat="1" x14ac:dyDescent="0.2">
      <c r="A85" s="343" t="str">
        <f>'(C2) Burimet viti kaluar'!C81</f>
        <v>A.4.8</v>
      </c>
      <c r="B85" s="343" t="str">
        <f>'(G1) Fjalori'!A289</f>
        <v>Sekuestrime dhe Zhdëmtime</v>
      </c>
      <c r="C85" s="435"/>
      <c r="D85" s="225">
        <f>'(C2) Burimet viti kaluar'!D81</f>
        <v>0</v>
      </c>
      <c r="E85" s="225">
        <f>'(C2) Burimet viti kaluar'!E81</f>
        <v>0</v>
      </c>
      <c r="F85" s="225">
        <f>'(C2) Burimet viti kaluar'!F81</f>
        <v>0</v>
      </c>
      <c r="G85" s="1165"/>
      <c r="H85" s="1167"/>
      <c r="I85" s="1167"/>
      <c r="J85" s="1167"/>
      <c r="K85" s="1167"/>
      <c r="L85" s="1167"/>
      <c r="M85" s="1167"/>
      <c r="N85" s="1166"/>
      <c r="O85" s="455"/>
      <c r="P85" s="1165"/>
      <c r="Q85" s="1167"/>
      <c r="R85" s="1167"/>
      <c r="S85" s="1167"/>
      <c r="T85" s="1167"/>
      <c r="U85" s="1167"/>
      <c r="V85" s="1167"/>
      <c r="W85" s="1166"/>
      <c r="X85" s="455"/>
      <c r="Y85" s="1165"/>
      <c r="Z85" s="1167"/>
      <c r="AA85" s="1167"/>
      <c r="AB85" s="1167"/>
      <c r="AC85" s="1167"/>
      <c r="AD85" s="1167"/>
      <c r="AE85" s="1167"/>
      <c r="AF85" s="1166"/>
      <c r="AG85" s="455"/>
    </row>
    <row r="86" spans="1:33" s="220" customFormat="1" x14ac:dyDescent="0.2">
      <c r="A86" s="343" t="str">
        <f>'(C2) Burimet viti kaluar'!C82</f>
        <v>A.4.9</v>
      </c>
      <c r="B86" s="343" t="str">
        <f>'(G1) Fjalori'!A290</f>
        <v>Kuotat e anëtarësisë së bashkive</v>
      </c>
      <c r="C86" s="435"/>
      <c r="D86" s="225">
        <f>'(C2) Burimet viti kaluar'!D82</f>
        <v>0</v>
      </c>
      <c r="E86" s="225">
        <f>'(C2) Burimet viti kaluar'!E82</f>
        <v>0</v>
      </c>
      <c r="F86" s="225">
        <f>'(C2) Burimet viti kaluar'!F82</f>
        <v>0</v>
      </c>
      <c r="G86" s="1165"/>
      <c r="H86" s="1167"/>
      <c r="I86" s="1167"/>
      <c r="J86" s="1167"/>
      <c r="K86" s="1167"/>
      <c r="L86" s="1167"/>
      <c r="M86" s="1167"/>
      <c r="N86" s="1166"/>
      <c r="O86" s="455"/>
      <c r="P86" s="1165"/>
      <c r="Q86" s="1167"/>
      <c r="R86" s="1167"/>
      <c r="S86" s="1167"/>
      <c r="T86" s="1167"/>
      <c r="U86" s="1167"/>
      <c r="V86" s="1167"/>
      <c r="W86" s="1166"/>
      <c r="X86" s="455"/>
      <c r="Y86" s="1165"/>
      <c r="Z86" s="1167"/>
      <c r="AA86" s="1167"/>
      <c r="AB86" s="1167"/>
      <c r="AC86" s="1167"/>
      <c r="AD86" s="1167"/>
      <c r="AE86" s="1167"/>
      <c r="AF86" s="1166"/>
      <c r="AG86" s="455"/>
    </row>
    <row r="87" spans="1:33" s="220" customFormat="1" x14ac:dyDescent="0.2">
      <c r="A87" s="343" t="str">
        <f>'(C2) Burimet viti kaluar'!C83</f>
        <v>A.4.10</v>
      </c>
      <c r="B87" s="343" t="str">
        <f>'(G1) Fjalori'!A291</f>
        <v>Trasferta dhe ndihma nga njësitë e tjera vendore</v>
      </c>
      <c r="C87" s="435"/>
      <c r="D87" s="225">
        <f>'(C2) Burimet viti kaluar'!D83</f>
        <v>0</v>
      </c>
      <c r="E87" s="225">
        <f>'(C2) Burimet viti kaluar'!E83</f>
        <v>0</v>
      </c>
      <c r="F87" s="225">
        <f>'(C2) Burimet viti kaluar'!F83</f>
        <v>0</v>
      </c>
      <c r="G87" s="1165"/>
      <c r="H87" s="1167"/>
      <c r="I87" s="1167"/>
      <c r="J87" s="1167"/>
      <c r="K87" s="1167"/>
      <c r="L87" s="1167"/>
      <c r="M87" s="1167"/>
      <c r="N87" s="1166"/>
      <c r="O87" s="455"/>
      <c r="P87" s="1165"/>
      <c r="Q87" s="1167"/>
      <c r="R87" s="1167"/>
      <c r="S87" s="1167"/>
      <c r="T87" s="1167"/>
      <c r="U87" s="1167"/>
      <c r="V87" s="1167"/>
      <c r="W87" s="1166"/>
      <c r="X87" s="455"/>
      <c r="Y87" s="1165"/>
      <c r="Z87" s="1167"/>
      <c r="AA87" s="1167"/>
      <c r="AB87" s="1167"/>
      <c r="AC87" s="1167"/>
      <c r="AD87" s="1167"/>
      <c r="AE87" s="1167"/>
      <c r="AF87" s="1166"/>
      <c r="AG87" s="455"/>
    </row>
    <row r="88" spans="1:33" s="220" customFormat="1" x14ac:dyDescent="0.2">
      <c r="A88" s="343" t="str">
        <f>'(C2) Burimet viti kaluar'!C84</f>
        <v>A.4.11</v>
      </c>
      <c r="B88" s="343" t="str">
        <f>'(G1) Fjalori'!A292</f>
        <v>Grante nga ndihma ndërkombëtare</v>
      </c>
      <c r="C88" s="435"/>
      <c r="D88" s="225">
        <f>'(C2) Burimet viti kaluar'!D84</f>
        <v>0</v>
      </c>
      <c r="E88" s="225">
        <f>'(C2) Burimet viti kaluar'!E84</f>
        <v>1769598</v>
      </c>
      <c r="F88" s="225">
        <f>'(C2) Burimet viti kaluar'!F84</f>
        <v>58655733</v>
      </c>
      <c r="G88" s="1165"/>
      <c r="H88" s="1167"/>
      <c r="I88" s="1167"/>
      <c r="J88" s="1167"/>
      <c r="K88" s="1167"/>
      <c r="L88" s="1167"/>
      <c r="M88" s="1167"/>
      <c r="N88" s="1166"/>
      <c r="O88" s="455">
        <v>50000000</v>
      </c>
      <c r="P88" s="1165"/>
      <c r="Q88" s="1167"/>
      <c r="R88" s="1167"/>
      <c r="S88" s="1167"/>
      <c r="T88" s="1167"/>
      <c r="U88" s="1167"/>
      <c r="V88" s="1167"/>
      <c r="W88" s="1166"/>
      <c r="X88" s="455">
        <v>50000000</v>
      </c>
      <c r="Y88" s="1165"/>
      <c r="Z88" s="1167"/>
      <c r="AA88" s="1167"/>
      <c r="AB88" s="1167"/>
      <c r="AC88" s="1167"/>
      <c r="AD88" s="1167"/>
      <c r="AE88" s="1167"/>
      <c r="AF88" s="1166"/>
      <c r="AG88" s="455">
        <v>50000000</v>
      </c>
    </row>
    <row r="89" spans="1:33" s="220" customFormat="1" x14ac:dyDescent="0.2">
      <c r="A89" s="343" t="str">
        <f>'(C2) Burimet viti kaluar'!C85</f>
        <v>A.4.12</v>
      </c>
      <c r="B89" s="343" t="str">
        <f>'(G1) Fjalori'!A293</f>
        <v>Shitja e aseteve financiare</v>
      </c>
      <c r="C89" s="435"/>
      <c r="D89" s="225">
        <f>'(C2) Burimet viti kaluar'!D85</f>
        <v>0</v>
      </c>
      <c r="E89" s="225">
        <f>'(C2) Burimet viti kaluar'!E85</f>
        <v>0</v>
      </c>
      <c r="F89" s="225">
        <f>'(C2) Burimet viti kaluar'!F85</f>
        <v>0</v>
      </c>
      <c r="G89" s="1165"/>
      <c r="H89" s="1167"/>
      <c r="I89" s="1167"/>
      <c r="J89" s="1167"/>
      <c r="K89" s="1167"/>
      <c r="L89" s="1167"/>
      <c r="M89" s="1167"/>
      <c r="N89" s="1166"/>
      <c r="O89" s="455"/>
      <c r="P89" s="1165"/>
      <c r="Q89" s="1167"/>
      <c r="R89" s="1167"/>
      <c r="S89" s="1167"/>
      <c r="T89" s="1167"/>
      <c r="U89" s="1167"/>
      <c r="V89" s="1167"/>
      <c r="W89" s="1166"/>
      <c r="X89" s="455"/>
      <c r="Y89" s="1165"/>
      <c r="Z89" s="1167"/>
      <c r="AA89" s="1167"/>
      <c r="AB89" s="1167"/>
      <c r="AC89" s="1167"/>
      <c r="AD89" s="1167"/>
      <c r="AE89" s="1167"/>
      <c r="AF89" s="1166"/>
      <c r="AG89" s="455"/>
    </row>
    <row r="90" spans="1:33" s="220" customFormat="1" x14ac:dyDescent="0.2">
      <c r="A90" s="343" t="str">
        <f>'(C2) Burimet viti kaluar'!C86</f>
        <v>A.4.13</v>
      </c>
      <c r="B90" s="343" t="str">
        <f>'(G1) Fjalori'!A294</f>
        <v>Shitja e aseteve fikse të prekshme / paprekshme</v>
      </c>
      <c r="C90" s="435"/>
      <c r="D90" s="225">
        <f>'(C2) Burimet viti kaluar'!D86</f>
        <v>42963</v>
      </c>
      <c r="E90" s="225">
        <f>'(C2) Burimet viti kaluar'!E86</f>
        <v>0</v>
      </c>
      <c r="F90" s="225">
        <f>'(C2) Burimet viti kaluar'!F86</f>
        <v>0</v>
      </c>
      <c r="G90" s="1165"/>
      <c r="H90" s="1167"/>
      <c r="I90" s="1167"/>
      <c r="J90" s="1167"/>
      <c r="K90" s="1167"/>
      <c r="L90" s="1167"/>
      <c r="M90" s="1167"/>
      <c r="N90" s="1166"/>
      <c r="O90" s="455">
        <v>100000</v>
      </c>
      <c r="P90" s="1165"/>
      <c r="Q90" s="1167"/>
      <c r="R90" s="1167"/>
      <c r="S90" s="1167"/>
      <c r="T90" s="1167"/>
      <c r="U90" s="1167"/>
      <c r="V90" s="1167"/>
      <c r="W90" s="1166"/>
      <c r="X90" s="455">
        <v>100000</v>
      </c>
      <c r="Y90" s="1165"/>
      <c r="Z90" s="1167"/>
      <c r="AA90" s="1167"/>
      <c r="AB90" s="1167"/>
      <c r="AC90" s="1167"/>
      <c r="AD90" s="1167"/>
      <c r="AE90" s="1167"/>
      <c r="AF90" s="1166"/>
      <c r="AG90" s="455">
        <v>100000</v>
      </c>
    </row>
    <row r="91" spans="1:33" s="220" customFormat="1" x14ac:dyDescent="0.2">
      <c r="A91" s="343" t="str">
        <f>'(C2) Burimet viti kaluar'!C87</f>
        <v>A.4.14</v>
      </c>
      <c r="B91" s="343" t="str">
        <f>'(G1) Fjalori'!A295</f>
        <v>Të tjera</v>
      </c>
      <c r="C91" s="435"/>
      <c r="D91" s="225">
        <f>'(C2) Burimet viti kaluar'!D87</f>
        <v>451110</v>
      </c>
      <c r="E91" s="225">
        <f>'(C2) Burimet viti kaluar'!E87</f>
        <v>6446990</v>
      </c>
      <c r="F91" s="225">
        <f>'(C2) Burimet viti kaluar'!F87</f>
        <v>1000000</v>
      </c>
      <c r="G91" s="1165"/>
      <c r="H91" s="1167"/>
      <c r="I91" s="1167"/>
      <c r="J91" s="1167"/>
      <c r="K91" s="1167"/>
      <c r="L91" s="1167"/>
      <c r="M91" s="1167"/>
      <c r="N91" s="1166"/>
      <c r="O91" s="455">
        <v>200000</v>
      </c>
      <c r="P91" s="1165"/>
      <c r="Q91" s="1167"/>
      <c r="R91" s="1167"/>
      <c r="S91" s="1167"/>
      <c r="T91" s="1167"/>
      <c r="U91" s="1167"/>
      <c r="V91" s="1167"/>
      <c r="W91" s="1166"/>
      <c r="X91" s="455">
        <v>600000</v>
      </c>
      <c r="Y91" s="1165"/>
      <c r="Z91" s="1167"/>
      <c r="AA91" s="1167"/>
      <c r="AB91" s="1167"/>
      <c r="AC91" s="1167"/>
      <c r="AD91" s="1167"/>
      <c r="AE91" s="1167"/>
      <c r="AF91" s="1166"/>
      <c r="AG91" s="706">
        <v>600000</v>
      </c>
    </row>
    <row r="92" spans="1:33" s="212" customFormat="1" ht="18.75" x14ac:dyDescent="0.25">
      <c r="A92" s="342" t="str">
        <f>'(C2) Burimet viti kaluar'!C88</f>
        <v>B</v>
      </c>
      <c r="B92" s="1171" t="str">
        <f>'(G1) Fjalori'!A296</f>
        <v>TË ARDHURA NGA BUXHETI QENDROR</v>
      </c>
      <c r="C92" s="1172"/>
      <c r="D92" s="345">
        <f>'(C2) Burimet viti kaluar'!D88</f>
        <v>1282147295.9200001</v>
      </c>
      <c r="E92" s="345">
        <f>'(C2) Burimet viti kaluar'!E88</f>
        <v>1511087141</v>
      </c>
      <c r="F92" s="345">
        <f>'(C2) Burimet viti kaluar'!F88</f>
        <v>1591558562</v>
      </c>
      <c r="G92" s="347"/>
      <c r="H92" s="347"/>
      <c r="I92" s="347"/>
      <c r="J92" s="347"/>
      <c r="K92" s="347"/>
      <c r="L92" s="347"/>
      <c r="M92" s="347"/>
      <c r="N92" s="347"/>
      <c r="O92" s="390">
        <f>SUM(O93:O97)-O94</f>
        <v>1591558562</v>
      </c>
      <c r="P92" s="347"/>
      <c r="Q92" s="347"/>
      <c r="R92" s="347"/>
      <c r="S92" s="347"/>
      <c r="T92" s="347"/>
      <c r="U92" s="347"/>
      <c r="V92" s="347"/>
      <c r="W92" s="347"/>
      <c r="X92" s="390">
        <f>SUM(X93:X97)-X94</f>
        <v>1543217562</v>
      </c>
      <c r="Y92" s="449"/>
      <c r="Z92" s="347"/>
      <c r="AA92" s="347"/>
      <c r="AB92" s="347"/>
      <c r="AC92" s="347"/>
      <c r="AD92" s="347"/>
      <c r="AE92" s="347"/>
      <c r="AF92" s="347"/>
      <c r="AG92" s="390">
        <f>SUM(AG93:AG97)-AG94</f>
        <v>1568719562</v>
      </c>
    </row>
    <row r="93" spans="1:33" s="220" customFormat="1" ht="18.75" x14ac:dyDescent="0.2">
      <c r="A93" s="241" t="str">
        <f>'(C2) Burimet viti kaluar'!C89</f>
        <v>B.1</v>
      </c>
      <c r="B93" s="1146" t="str">
        <f>'(G1) Fjalori'!A297</f>
        <v>Transferta e pakushtëzuar</v>
      </c>
      <c r="C93" s="1147"/>
      <c r="D93" s="225">
        <f>'(C2) Burimet viti kaluar'!D89</f>
        <v>377251901.92000002</v>
      </c>
      <c r="E93" s="225">
        <f>'(C2) Burimet viti kaluar'!E89</f>
        <v>376705000</v>
      </c>
      <c r="F93" s="225">
        <f>'(C2) Burimet viti kaluar'!F89</f>
        <v>431564000</v>
      </c>
      <c r="G93" s="1165"/>
      <c r="H93" s="1167"/>
      <c r="I93" s="1167"/>
      <c r="J93" s="1167"/>
      <c r="K93" s="1167"/>
      <c r="L93" s="1167"/>
      <c r="M93" s="1167"/>
      <c r="N93" s="1166"/>
      <c r="O93" s="455">
        <v>431564000</v>
      </c>
      <c r="P93" s="1165"/>
      <c r="Q93" s="1167"/>
      <c r="R93" s="1167"/>
      <c r="S93" s="1167"/>
      <c r="T93" s="1167"/>
      <c r="U93" s="1167"/>
      <c r="V93" s="1167"/>
      <c r="W93" s="1166"/>
      <c r="X93" s="455">
        <v>383223000</v>
      </c>
      <c r="Y93" s="455">
        <v>431564000</v>
      </c>
      <c r="Z93" s="455">
        <v>431564000</v>
      </c>
      <c r="AA93" s="455">
        <v>431564000</v>
      </c>
      <c r="AB93" s="455">
        <v>431564000</v>
      </c>
      <c r="AC93" s="455">
        <v>431564000</v>
      </c>
      <c r="AD93" s="455">
        <v>431564000</v>
      </c>
      <c r="AE93" s="455">
        <v>431564000</v>
      </c>
      <c r="AF93" s="455">
        <v>431564000</v>
      </c>
      <c r="AG93" s="455">
        <v>408725000</v>
      </c>
    </row>
    <row r="94" spans="1:33" s="220" customFormat="1" ht="18.75" x14ac:dyDescent="0.25">
      <c r="A94" s="241" t="str">
        <f>'(C2) Burimet viti kaluar'!C90</f>
        <v>B.2</v>
      </c>
      <c r="B94" s="1146" t="str">
        <f>'(G1) Fjalori'!A298</f>
        <v>Transferta e kushtëzuar</v>
      </c>
      <c r="C94" s="1147"/>
      <c r="D94" s="346">
        <f>'(C2) Burimet viti kaluar'!D90</f>
        <v>759409548</v>
      </c>
      <c r="E94" s="346">
        <f>'(C2) Burimet viti kaluar'!E90</f>
        <v>944007141</v>
      </c>
      <c r="F94" s="346">
        <f>'(C2) Burimet viti kaluar'!F90</f>
        <v>944008000</v>
      </c>
      <c r="G94" s="391"/>
      <c r="H94" s="392"/>
      <c r="I94" s="392"/>
      <c r="J94" s="392"/>
      <c r="K94" s="392"/>
      <c r="L94" s="392"/>
      <c r="M94" s="392"/>
      <c r="N94" s="393"/>
      <c r="O94" s="392">
        <f>SUM(O95:O96)</f>
        <v>944008000</v>
      </c>
      <c r="P94" s="391"/>
      <c r="Q94" s="392"/>
      <c r="R94" s="392"/>
      <c r="S94" s="392"/>
      <c r="T94" s="392"/>
      <c r="U94" s="392"/>
      <c r="V94" s="392"/>
      <c r="W94" s="393"/>
      <c r="X94" s="392">
        <f>SUM(X95:X96)</f>
        <v>944008000</v>
      </c>
      <c r="Y94" s="391"/>
      <c r="Z94" s="392"/>
      <c r="AA94" s="392"/>
      <c r="AB94" s="392"/>
      <c r="AC94" s="392"/>
      <c r="AD94" s="392"/>
      <c r="AE94" s="392"/>
      <c r="AF94" s="393"/>
      <c r="AG94" s="613">
        <f>SUM(AG95:AG96)</f>
        <v>944008000</v>
      </c>
    </row>
    <row r="95" spans="1:33" s="220" customFormat="1" x14ac:dyDescent="0.2">
      <c r="A95" s="343" t="str">
        <f>'(C2) Burimet viti kaluar'!C91</f>
        <v>B.2.1</v>
      </c>
      <c r="B95" s="343" t="str">
        <f>'(G1) Fjalori'!A299</f>
        <v>Për funskionet e deleguara</v>
      </c>
      <c r="C95" s="435"/>
      <c r="D95" s="225">
        <f>'(C2) Burimet viti kaluar'!D91</f>
        <v>759409548</v>
      </c>
      <c r="E95" s="225">
        <f>'(C2) Burimet viti kaluar'!E91</f>
        <v>944007141</v>
      </c>
      <c r="F95" s="225">
        <f>'(C2) Burimet viti kaluar'!F91</f>
        <v>944008000</v>
      </c>
      <c r="G95" s="1165"/>
      <c r="H95" s="1167"/>
      <c r="I95" s="1167"/>
      <c r="J95" s="1167"/>
      <c r="K95" s="1167"/>
      <c r="L95" s="1167"/>
      <c r="M95" s="1167"/>
      <c r="N95" s="1166"/>
      <c r="O95" s="455">
        <f>944008000</f>
        <v>944008000</v>
      </c>
      <c r="P95" s="1165"/>
      <c r="Q95" s="1167"/>
      <c r="R95" s="1167"/>
      <c r="S95" s="1167"/>
      <c r="T95" s="1167"/>
      <c r="U95" s="1167"/>
      <c r="V95" s="1167"/>
      <c r="W95" s="1166"/>
      <c r="X95" s="455">
        <f t="shared" ref="X95:AG95" si="11">944008000</f>
        <v>944008000</v>
      </c>
      <c r="Y95" s="455">
        <f t="shared" si="11"/>
        <v>944008000</v>
      </c>
      <c r="Z95" s="455">
        <f t="shared" si="11"/>
        <v>944008000</v>
      </c>
      <c r="AA95" s="455">
        <f t="shared" si="11"/>
        <v>944008000</v>
      </c>
      <c r="AB95" s="455">
        <f t="shared" si="11"/>
        <v>944008000</v>
      </c>
      <c r="AC95" s="455">
        <f t="shared" si="11"/>
        <v>944008000</v>
      </c>
      <c r="AD95" s="455">
        <f t="shared" si="11"/>
        <v>944008000</v>
      </c>
      <c r="AE95" s="455">
        <f t="shared" si="11"/>
        <v>944008000</v>
      </c>
      <c r="AF95" s="455">
        <f t="shared" si="11"/>
        <v>944008000</v>
      </c>
      <c r="AG95" s="455">
        <f t="shared" si="11"/>
        <v>944008000</v>
      </c>
    </row>
    <row r="96" spans="1:33" s="220" customFormat="1" x14ac:dyDescent="0.2">
      <c r="A96" s="343" t="str">
        <f>'(C2) Burimet viti kaluar'!C92</f>
        <v>B.2.2</v>
      </c>
      <c r="B96" s="343" t="str">
        <f>'(G1) Fjalori'!A300</f>
        <v xml:space="preserve">Për projekte të veçanta (FZHR dhe të tjera) </v>
      </c>
      <c r="C96" s="435"/>
      <c r="D96" s="225">
        <f>'(C2) Burimet viti kaluar'!D92</f>
        <v>0</v>
      </c>
      <c r="E96" s="225">
        <f>'(C2) Burimet viti kaluar'!E92</f>
        <v>0</v>
      </c>
      <c r="F96" s="225">
        <f>'(C2) Burimet viti kaluar'!F92</f>
        <v>0</v>
      </c>
      <c r="G96" s="1165"/>
      <c r="H96" s="1167"/>
      <c r="I96" s="1167"/>
      <c r="J96" s="1167"/>
      <c r="K96" s="1167"/>
      <c r="L96" s="1167"/>
      <c r="M96" s="1167"/>
      <c r="N96" s="1166"/>
      <c r="O96" s="455"/>
      <c r="P96" s="1165"/>
      <c r="Q96" s="1167"/>
      <c r="R96" s="1167"/>
      <c r="S96" s="1167"/>
      <c r="T96" s="1167"/>
      <c r="U96" s="1167"/>
      <c r="V96" s="1167"/>
      <c r="W96" s="1166"/>
      <c r="X96" s="455"/>
      <c r="Y96" s="1165"/>
      <c r="Z96" s="1167"/>
      <c r="AA96" s="1167"/>
      <c r="AB96" s="1167"/>
      <c r="AC96" s="1167"/>
      <c r="AD96" s="1167"/>
      <c r="AE96" s="1167"/>
      <c r="AF96" s="1166"/>
      <c r="AG96" s="455"/>
    </row>
    <row r="97" spans="1:33" s="220" customFormat="1" ht="18.75" x14ac:dyDescent="0.25">
      <c r="A97" s="241" t="str">
        <f>'(C2) Burimet viti kaluar'!C93</f>
        <v>B.3</v>
      </c>
      <c r="B97" s="1146" t="str">
        <f>'(G1) Fjalori'!A301</f>
        <v>Trasferta specifike</v>
      </c>
      <c r="C97" s="1147"/>
      <c r="D97" s="225">
        <f>'(C2) Burimet viti kaluar'!D93</f>
        <v>145485846</v>
      </c>
      <c r="E97" s="225">
        <f>'(C2) Burimet viti kaluar'!E93</f>
        <v>190375000</v>
      </c>
      <c r="F97" s="225">
        <f>'(C2) Burimet viti kaluar'!F93</f>
        <v>215986562</v>
      </c>
      <c r="G97" s="391"/>
      <c r="H97" s="392"/>
      <c r="I97" s="392"/>
      <c r="J97" s="392"/>
      <c r="K97" s="392"/>
      <c r="L97" s="392"/>
      <c r="M97" s="392"/>
      <c r="N97" s="393"/>
      <c r="O97" s="957">
        <v>215986562</v>
      </c>
      <c r="P97" s="391"/>
      <c r="Q97" s="392"/>
      <c r="R97" s="392"/>
      <c r="S97" s="392"/>
      <c r="T97" s="392"/>
      <c r="U97" s="392"/>
      <c r="V97" s="392"/>
      <c r="W97" s="393"/>
      <c r="X97" s="957">
        <v>215986562</v>
      </c>
      <c r="Y97" s="957">
        <v>215986562</v>
      </c>
      <c r="Z97" s="957">
        <v>215986562</v>
      </c>
      <c r="AA97" s="957">
        <v>215986562</v>
      </c>
      <c r="AB97" s="957">
        <v>215986562</v>
      </c>
      <c r="AC97" s="957">
        <v>215986562</v>
      </c>
      <c r="AD97" s="957">
        <v>215986562</v>
      </c>
      <c r="AE97" s="957">
        <v>215986562</v>
      </c>
      <c r="AF97" s="957">
        <v>215986562</v>
      </c>
      <c r="AG97" s="957">
        <v>215986562</v>
      </c>
    </row>
    <row r="98" spans="1:33" s="212" customFormat="1" ht="18.75" x14ac:dyDescent="0.25">
      <c r="A98" s="342" t="str">
        <f>'(C2) Burimet viti kaluar'!C94</f>
        <v>C</v>
      </c>
      <c r="B98" s="1171" t="str">
        <f>'(G1) Fjalori'!A302</f>
        <v>HUAMARRJA</v>
      </c>
      <c r="C98" s="1172"/>
      <c r="D98" s="345">
        <f>'(C2) Burimet viti kaluar'!D94</f>
        <v>0</v>
      </c>
      <c r="E98" s="345">
        <f>'(C2) Burimet viti kaluar'!E94</f>
        <v>0</v>
      </c>
      <c r="F98" s="345">
        <f>'(C2) Burimet viti kaluar'!F94</f>
        <v>0</v>
      </c>
      <c r="G98" s="347"/>
      <c r="H98" s="347"/>
      <c r="I98" s="347"/>
      <c r="J98" s="347"/>
      <c r="K98" s="347"/>
      <c r="L98" s="347"/>
      <c r="M98" s="347"/>
      <c r="N98" s="347"/>
      <c r="O98" s="390">
        <f>SUM(O99:O100)</f>
        <v>0</v>
      </c>
      <c r="P98" s="347"/>
      <c r="Q98" s="347"/>
      <c r="R98" s="347"/>
      <c r="S98" s="347"/>
      <c r="T98" s="347"/>
      <c r="U98" s="347"/>
      <c r="V98" s="347"/>
      <c r="W98" s="347"/>
      <c r="X98" s="390">
        <f>SUM(X99:X100)</f>
        <v>0</v>
      </c>
      <c r="Y98" s="449"/>
      <c r="Z98" s="347"/>
      <c r="AA98" s="347"/>
      <c r="AB98" s="347"/>
      <c r="AC98" s="347"/>
      <c r="AD98" s="347"/>
      <c r="AE98" s="347"/>
      <c r="AF98" s="347"/>
      <c r="AG98" s="390">
        <f>SUM(AG99:AG100)</f>
        <v>0</v>
      </c>
    </row>
    <row r="99" spans="1:33" s="220" customFormat="1" ht="18.75" x14ac:dyDescent="0.2">
      <c r="A99" s="241" t="str">
        <f>'(C2) Burimet viti kaluar'!C95</f>
        <v>C.1</v>
      </c>
      <c r="B99" s="1146" t="str">
        <f>'(G1) Fjalori'!A303</f>
        <v>Huamarrja afatshkurtë</v>
      </c>
      <c r="C99" s="1147"/>
      <c r="D99" s="225">
        <f>'(C2) Burimet viti kaluar'!D95</f>
        <v>0</v>
      </c>
      <c r="E99" s="225">
        <f>'(C2) Burimet viti kaluar'!E95</f>
        <v>0</v>
      </c>
      <c r="F99" s="225">
        <f>'(C2) Burimet viti kaluar'!F95</f>
        <v>0</v>
      </c>
      <c r="G99" s="391"/>
      <c r="H99" s="392"/>
      <c r="I99" s="392"/>
      <c r="J99" s="392"/>
      <c r="K99" s="392"/>
      <c r="L99" s="392"/>
      <c r="M99" s="392"/>
      <c r="N99" s="393"/>
      <c r="O99" s="455"/>
      <c r="P99" s="391"/>
      <c r="Q99" s="392"/>
      <c r="R99" s="392"/>
      <c r="S99" s="392"/>
      <c r="T99" s="392"/>
      <c r="U99" s="392"/>
      <c r="V99" s="392"/>
      <c r="W99" s="393"/>
      <c r="X99" s="455"/>
      <c r="Y99" s="391"/>
      <c r="Z99" s="392"/>
      <c r="AA99" s="392"/>
      <c r="AB99" s="392"/>
      <c r="AC99" s="392"/>
      <c r="AD99" s="392"/>
      <c r="AE99" s="392"/>
      <c r="AF99" s="393"/>
      <c r="AG99" s="455"/>
    </row>
    <row r="100" spans="1:33" s="220" customFormat="1" ht="18.75" x14ac:dyDescent="0.2">
      <c r="A100" s="241" t="str">
        <f>'(C2) Burimet viti kaluar'!C96</f>
        <v>C.2</v>
      </c>
      <c r="B100" s="1146" t="str">
        <f>'(G1) Fjalori'!A304</f>
        <v>Huamarrja afatgjatë</v>
      </c>
      <c r="C100" s="1147"/>
      <c r="D100" s="225">
        <f>'(C2) Burimet viti kaluar'!D96</f>
        <v>0</v>
      </c>
      <c r="E100" s="225">
        <f>'(C2) Burimet viti kaluar'!E96</f>
        <v>0</v>
      </c>
      <c r="F100" s="225">
        <f>'(C2) Burimet viti kaluar'!F96</f>
        <v>0</v>
      </c>
      <c r="G100" s="391"/>
      <c r="H100" s="392"/>
      <c r="I100" s="392"/>
      <c r="J100" s="392"/>
      <c r="K100" s="392"/>
      <c r="L100" s="392"/>
      <c r="M100" s="392"/>
      <c r="N100" s="393"/>
      <c r="O100" s="455"/>
      <c r="P100" s="391"/>
      <c r="Q100" s="392"/>
      <c r="R100" s="392"/>
      <c r="S100" s="392"/>
      <c r="T100" s="392"/>
      <c r="U100" s="392"/>
      <c r="V100" s="392"/>
      <c r="W100" s="393"/>
      <c r="X100" s="455"/>
      <c r="Y100" s="391"/>
      <c r="Z100" s="392"/>
      <c r="AA100" s="392"/>
      <c r="AB100" s="392"/>
      <c r="AC100" s="392"/>
      <c r="AD100" s="392"/>
      <c r="AE100" s="392"/>
      <c r="AF100" s="393"/>
      <c r="AG100" s="455"/>
    </row>
    <row r="101" spans="1:33" s="212" customFormat="1" ht="18.75" x14ac:dyDescent="0.25">
      <c r="A101" s="342" t="str">
        <f>'(C2) Burimet viti kaluar'!C97</f>
        <v>D</v>
      </c>
      <c r="B101" s="1171" t="str">
        <f>'(G1) Fjalori'!A305</f>
        <v>TRASHËGIMI NGA VITI I SHKUAR</v>
      </c>
      <c r="C101" s="1172"/>
      <c r="D101" s="345">
        <f>'(C2) Burimet viti kaluar'!D97</f>
        <v>192108512</v>
      </c>
      <c r="E101" s="345">
        <f>'(C2) Burimet viti kaluar'!E97</f>
        <v>205582874</v>
      </c>
      <c r="F101" s="345">
        <f>'(C2) Burimet viti kaluar'!F97</f>
        <v>184917574</v>
      </c>
      <c r="G101" s="347"/>
      <c r="H101" s="347"/>
      <c r="I101" s="347"/>
      <c r="J101" s="347"/>
      <c r="K101" s="347"/>
      <c r="L101" s="347"/>
      <c r="M101" s="347"/>
      <c r="N101" s="347"/>
      <c r="O101" s="390">
        <f>SUM(O102:O103)</f>
        <v>0</v>
      </c>
      <c r="P101" s="347"/>
      <c r="Q101" s="347"/>
      <c r="R101" s="347"/>
      <c r="S101" s="347"/>
      <c r="T101" s="347"/>
      <c r="U101" s="347"/>
      <c r="V101" s="347"/>
      <c r="W101" s="347"/>
      <c r="X101" s="390">
        <f>SUM(X102:X103)</f>
        <v>0</v>
      </c>
      <c r="Y101" s="449"/>
      <c r="Z101" s="347"/>
      <c r="AA101" s="347"/>
      <c r="AB101" s="347"/>
      <c r="AC101" s="347"/>
      <c r="AD101" s="347"/>
      <c r="AE101" s="347"/>
      <c r="AF101" s="347"/>
      <c r="AG101" s="390">
        <f>SUM(AG102:AG103)</f>
        <v>0</v>
      </c>
    </row>
    <row r="102" spans="1:33" s="220" customFormat="1" ht="18.75" x14ac:dyDescent="0.2">
      <c r="A102" s="241" t="str">
        <f>'(C2) Burimet viti kaluar'!C98</f>
        <v>D.1</v>
      </c>
      <c r="B102" s="1146" t="str">
        <f>'(G1) Fjalori'!A306</f>
        <v>Trashëgimi pa destinacion</v>
      </c>
      <c r="C102" s="1147"/>
      <c r="D102" s="225">
        <f>'(C2) Burimet viti kaluar'!D98</f>
        <v>132338149</v>
      </c>
      <c r="E102" s="225">
        <f>'(C2) Burimet viti kaluar'!E98</f>
        <v>143626560</v>
      </c>
      <c r="F102" s="225">
        <f>'(C2) Burimet viti kaluar'!F98</f>
        <v>135992057</v>
      </c>
      <c r="G102" s="391"/>
      <c r="H102" s="392"/>
      <c r="I102" s="392"/>
      <c r="J102" s="392"/>
      <c r="K102" s="392"/>
      <c r="L102" s="392"/>
      <c r="M102" s="392"/>
      <c r="N102" s="393"/>
      <c r="O102" s="455"/>
      <c r="P102" s="391"/>
      <c r="Q102" s="392"/>
      <c r="R102" s="392"/>
      <c r="S102" s="392"/>
      <c r="T102" s="392"/>
      <c r="U102" s="392"/>
      <c r="V102" s="392"/>
      <c r="W102" s="393"/>
      <c r="X102" s="35"/>
      <c r="Y102" s="391"/>
      <c r="Z102" s="392"/>
      <c r="AA102" s="392"/>
      <c r="AB102" s="392"/>
      <c r="AC102" s="392"/>
      <c r="AD102" s="392"/>
      <c r="AE102" s="392"/>
      <c r="AF102" s="393"/>
      <c r="AG102" s="35"/>
    </row>
    <row r="103" spans="1:33" s="220" customFormat="1" ht="18.75" x14ac:dyDescent="0.2">
      <c r="A103" s="241" t="str">
        <f>'(C2) Burimet viti kaluar'!C99</f>
        <v>D.2</v>
      </c>
      <c r="B103" s="1146" t="str">
        <f>'(G1) Fjalori'!A307</f>
        <v>Trashëgimi me destinacion</v>
      </c>
      <c r="C103" s="1147"/>
      <c r="D103" s="225">
        <f>'(C2) Burimet viti kaluar'!D99</f>
        <v>59770363</v>
      </c>
      <c r="E103" s="225">
        <f>'(C2) Burimet viti kaluar'!E99</f>
        <v>61956314</v>
      </c>
      <c r="F103" s="225">
        <f>'(C2) Burimet viti kaluar'!F99</f>
        <v>48925517</v>
      </c>
      <c r="G103" s="391"/>
      <c r="H103" s="392"/>
      <c r="I103" s="392"/>
      <c r="J103" s="392"/>
      <c r="K103" s="392"/>
      <c r="L103" s="392"/>
      <c r="M103" s="392"/>
      <c r="N103" s="393"/>
      <c r="O103" s="35">
        <f>'(C4) Trashëgimi me destinacion'!D170</f>
        <v>0</v>
      </c>
      <c r="P103" s="391"/>
      <c r="Q103" s="392"/>
      <c r="R103" s="392"/>
      <c r="S103" s="392"/>
      <c r="T103" s="392"/>
      <c r="U103" s="392"/>
      <c r="V103" s="392"/>
      <c r="W103" s="393"/>
      <c r="X103" s="35"/>
      <c r="Y103" s="391"/>
      <c r="Z103" s="392"/>
      <c r="AA103" s="392"/>
      <c r="AB103" s="392"/>
      <c r="AC103" s="392"/>
      <c r="AD103" s="392"/>
      <c r="AE103" s="392"/>
      <c r="AF103" s="393"/>
      <c r="AG103" s="35"/>
    </row>
    <row r="104" spans="1:33" s="386" customFormat="1" ht="19.5" thickBot="1" x14ac:dyDescent="0.3">
      <c r="A104" s="385"/>
      <c r="B104" s="385" t="str">
        <f>'(G1) Fjalori'!A352</f>
        <v>TOTALI I BURIMEVE BUXHETORE</v>
      </c>
      <c r="C104" s="385"/>
      <c r="D104" s="387">
        <f>D101+D98+D92+D7</f>
        <v>1765195168.9200001</v>
      </c>
      <c r="E104" s="387">
        <f>E101+E98+E92+E7</f>
        <v>2023827429</v>
      </c>
      <c r="F104" s="387">
        <f>F101+F98+F92+F7</f>
        <v>2365512857</v>
      </c>
      <c r="G104" s="388"/>
      <c r="H104" s="388"/>
      <c r="I104" s="388"/>
      <c r="J104" s="388"/>
      <c r="K104" s="388"/>
      <c r="L104" s="388"/>
      <c r="M104" s="388"/>
      <c r="N104" s="388"/>
      <c r="O104" s="699">
        <f>O101+O98+O92+O7</f>
        <v>2186381363.8000002</v>
      </c>
      <c r="P104" s="389"/>
      <c r="Q104" s="389"/>
      <c r="R104" s="389"/>
      <c r="S104" s="389"/>
      <c r="T104" s="389"/>
      <c r="U104" s="389"/>
      <c r="V104" s="389"/>
      <c r="W104" s="389"/>
      <c r="X104" s="699">
        <f>X101+X98+X92+X7</f>
        <v>2142953089.227</v>
      </c>
      <c r="Y104" s="389"/>
      <c r="Z104" s="389"/>
      <c r="AA104" s="389"/>
      <c r="AB104" s="389"/>
      <c r="AC104" s="389"/>
      <c r="AD104" s="389"/>
      <c r="AE104" s="389"/>
      <c r="AF104" s="389"/>
      <c r="AG104" s="699">
        <f>AG101+AG98+AG92+AG7</f>
        <v>2172787287.6475081</v>
      </c>
    </row>
    <row r="105" spans="1:33" ht="13.5" thickTop="1" x14ac:dyDescent="0.2"/>
    <row r="106" spans="1:33" x14ac:dyDescent="0.2">
      <c r="B106" s="111"/>
      <c r="C106" s="111"/>
    </row>
    <row r="108" spans="1:33" s="102" customFormat="1" x14ac:dyDescent="0.2">
      <c r="B108" s="32"/>
      <c r="C108" s="32"/>
      <c r="D108" s="32"/>
      <c r="E108" s="32"/>
      <c r="F108" s="32"/>
    </row>
    <row r="109" spans="1:33" s="47" customFormat="1" ht="13.5" hidden="1" customHeight="1" thickBot="1" x14ac:dyDescent="0.25">
      <c r="B109" s="189" t="s">
        <v>1</v>
      </c>
      <c r="C109" s="190"/>
      <c r="D109" s="190"/>
      <c r="E109" s="93" t="e">
        <f>E104+#REF!</f>
        <v>#REF!</v>
      </c>
      <c r="F109" s="93" t="e">
        <f>F104+#REF!</f>
        <v>#REF!</v>
      </c>
    </row>
    <row r="110" spans="1:33" x14ac:dyDescent="0.2">
      <c r="D110" s="102">
        <f>'(E1) Vlerësimi i burimeve'!G18+'(E1) Vlerësimi i burimeve'!C6</f>
        <v>0</v>
      </c>
    </row>
    <row r="111" spans="1:33" ht="15" x14ac:dyDescent="0.25">
      <c r="B111" s="71"/>
      <c r="C111" s="71"/>
      <c r="D111" s="48"/>
      <c r="O111" s="455">
        <v>372291000</v>
      </c>
      <c r="X111" s="455">
        <v>395256000</v>
      </c>
      <c r="AF111" s="455"/>
      <c r="AG111" s="455">
        <v>420151000</v>
      </c>
    </row>
    <row r="112" spans="1:33" x14ac:dyDescent="0.2">
      <c r="AG112" s="101">
        <v>395099000</v>
      </c>
    </row>
    <row r="113" spans="15:33" x14ac:dyDescent="0.2">
      <c r="O113" s="101">
        <v>342161000</v>
      </c>
      <c r="X113" s="101">
        <v>367543000</v>
      </c>
    </row>
    <row r="115" spans="15:33" x14ac:dyDescent="0.2">
      <c r="O115" s="101">
        <f>O111-O113</f>
        <v>30130000</v>
      </c>
      <c r="X115" s="101">
        <f>X111-X113</f>
        <v>27713000</v>
      </c>
      <c r="AG115" s="101">
        <f>AG111-AG112</f>
        <v>25052000</v>
      </c>
    </row>
    <row r="149" spans="4:4" x14ac:dyDescent="0.2">
      <c r="D149" s="101"/>
    </row>
    <row r="150" spans="4:4" x14ac:dyDescent="0.2">
      <c r="D150" s="101"/>
    </row>
    <row r="151" spans="4:4" x14ac:dyDescent="0.2">
      <c r="D151" s="101"/>
    </row>
    <row r="152" spans="4:4" x14ac:dyDescent="0.2">
      <c r="D152" s="101"/>
    </row>
    <row r="153" spans="4:4" x14ac:dyDescent="0.2">
      <c r="D153" s="101"/>
    </row>
    <row r="154" spans="4:4" x14ac:dyDescent="0.2">
      <c r="D154" s="101"/>
    </row>
  </sheetData>
  <sheetProtection selectLockedCells="1"/>
  <mergeCells count="224">
    <mergeCell ref="B35:C35"/>
    <mergeCell ref="Y68:Z68"/>
    <mergeCell ref="Y69:Z69"/>
    <mergeCell ref="Y70:Z70"/>
    <mergeCell ref="Y71:Z71"/>
    <mergeCell ref="Y72:Z72"/>
    <mergeCell ref="Y73:Z73"/>
    <mergeCell ref="P30:Q30"/>
    <mergeCell ref="Y30:Z30"/>
    <mergeCell ref="Y57:Z57"/>
    <mergeCell ref="Y58:Z58"/>
    <mergeCell ref="Y59:Z59"/>
    <mergeCell ref="Y61:Z61"/>
    <mergeCell ref="Y62:Z62"/>
    <mergeCell ref="Y63:Z63"/>
    <mergeCell ref="Y64:Z64"/>
    <mergeCell ref="Y65:Z65"/>
    <mergeCell ref="Y66:Z66"/>
    <mergeCell ref="P70:Q70"/>
    <mergeCell ref="P71:Q71"/>
    <mergeCell ref="P72:Q72"/>
    <mergeCell ref="P73:Q73"/>
    <mergeCell ref="Y33:Z33"/>
    <mergeCell ref="Y34:Z34"/>
    <mergeCell ref="Y35:Z35"/>
    <mergeCell ref="Y36:Z36"/>
    <mergeCell ref="Y38:Z38"/>
    <mergeCell ref="Y39:Z39"/>
    <mergeCell ref="Y40:Z40"/>
    <mergeCell ref="Y42:Z42"/>
    <mergeCell ref="Y43:Z43"/>
    <mergeCell ref="Y44:Z44"/>
    <mergeCell ref="Y47:Z47"/>
    <mergeCell ref="Y48:Z48"/>
    <mergeCell ref="Y49:Z49"/>
    <mergeCell ref="Y50:Z50"/>
    <mergeCell ref="Y51:Z51"/>
    <mergeCell ref="Y52:Z52"/>
    <mergeCell ref="Y53:Z53"/>
    <mergeCell ref="Y54:Z54"/>
    <mergeCell ref="Y55:Z55"/>
    <mergeCell ref="Y56:Z56"/>
    <mergeCell ref="B67:C67"/>
    <mergeCell ref="B68:C68"/>
    <mergeCell ref="B69:C69"/>
    <mergeCell ref="P33:Q33"/>
    <mergeCell ref="P34:Q34"/>
    <mergeCell ref="P35:Q35"/>
    <mergeCell ref="P36:Q36"/>
    <mergeCell ref="P38:Q38"/>
    <mergeCell ref="P39:Q39"/>
    <mergeCell ref="P40:Q40"/>
    <mergeCell ref="P42:Q42"/>
    <mergeCell ref="P43:Q43"/>
    <mergeCell ref="P44:Q44"/>
    <mergeCell ref="P47:Q47"/>
    <mergeCell ref="P48:Q48"/>
    <mergeCell ref="P49:Q49"/>
    <mergeCell ref="P50:Q50"/>
    <mergeCell ref="P51:Q51"/>
    <mergeCell ref="P52:Q52"/>
    <mergeCell ref="P53:Q53"/>
    <mergeCell ref="P61:Q61"/>
    <mergeCell ref="P62:Q62"/>
    <mergeCell ref="P63:Q63"/>
    <mergeCell ref="P64:Q64"/>
    <mergeCell ref="B57:C57"/>
    <mergeCell ref="B58:C58"/>
    <mergeCell ref="B59:C59"/>
    <mergeCell ref="B61:C61"/>
    <mergeCell ref="B62:C62"/>
    <mergeCell ref="B63:C63"/>
    <mergeCell ref="B64:C64"/>
    <mergeCell ref="B65:C65"/>
    <mergeCell ref="B66:C66"/>
    <mergeCell ref="A3:AG3"/>
    <mergeCell ref="A1:AG1"/>
    <mergeCell ref="B77:C77"/>
    <mergeCell ref="B92:C92"/>
    <mergeCell ref="B93:C93"/>
    <mergeCell ref="G5:O5"/>
    <mergeCell ref="P5:X5"/>
    <mergeCell ref="Y5:AG5"/>
    <mergeCell ref="G29:O29"/>
    <mergeCell ref="P29:X29"/>
    <mergeCell ref="Y29:AG29"/>
    <mergeCell ref="G75:O75"/>
    <mergeCell ref="P75:X75"/>
    <mergeCell ref="Y75:AG75"/>
    <mergeCell ref="G76:N76"/>
    <mergeCell ref="Y76:AF76"/>
    <mergeCell ref="B33:C33"/>
    <mergeCell ref="B34:C34"/>
    <mergeCell ref="B38:C38"/>
    <mergeCell ref="B39:C39"/>
    <mergeCell ref="B40:C40"/>
    <mergeCell ref="B42:C42"/>
    <mergeCell ref="G82:N82"/>
    <mergeCell ref="G83:N83"/>
    <mergeCell ref="B103:C103"/>
    <mergeCell ref="B31:C31"/>
    <mergeCell ref="B22:C22"/>
    <mergeCell ref="B8:C8"/>
    <mergeCell ref="B7:C7"/>
    <mergeCell ref="B94:C94"/>
    <mergeCell ref="B97:C97"/>
    <mergeCell ref="B99:C99"/>
    <mergeCell ref="B100:C100"/>
    <mergeCell ref="B102:C102"/>
    <mergeCell ref="B101:C101"/>
    <mergeCell ref="B98:C98"/>
    <mergeCell ref="B43:C43"/>
    <mergeCell ref="B44:C44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G84:N84"/>
    <mergeCell ref="G85:N85"/>
    <mergeCell ref="G86:N86"/>
    <mergeCell ref="P76:W76"/>
    <mergeCell ref="G78:N78"/>
    <mergeCell ref="G79:N79"/>
    <mergeCell ref="G80:N80"/>
    <mergeCell ref="G81:N81"/>
    <mergeCell ref="P78:W78"/>
    <mergeCell ref="P79:W79"/>
    <mergeCell ref="P80:W80"/>
    <mergeCell ref="P81:W81"/>
    <mergeCell ref="P82:W82"/>
    <mergeCell ref="P83:W83"/>
    <mergeCell ref="P84:W84"/>
    <mergeCell ref="P85:W85"/>
    <mergeCell ref="P86:W86"/>
    <mergeCell ref="G93:N93"/>
    <mergeCell ref="G95:N95"/>
    <mergeCell ref="G96:N96"/>
    <mergeCell ref="P93:W93"/>
    <mergeCell ref="G87:N87"/>
    <mergeCell ref="G88:N88"/>
    <mergeCell ref="G89:N89"/>
    <mergeCell ref="G90:N90"/>
    <mergeCell ref="G91:N91"/>
    <mergeCell ref="P87:W87"/>
    <mergeCell ref="P88:W88"/>
    <mergeCell ref="P89:W89"/>
    <mergeCell ref="P90:W90"/>
    <mergeCell ref="P91:W91"/>
    <mergeCell ref="P58:Q58"/>
    <mergeCell ref="P59:Q59"/>
    <mergeCell ref="Y96:AF96"/>
    <mergeCell ref="Y81:AF81"/>
    <mergeCell ref="Y82:AF82"/>
    <mergeCell ref="Y83:AF83"/>
    <mergeCell ref="Y84:AF84"/>
    <mergeCell ref="Y85:AF85"/>
    <mergeCell ref="Y86:AF86"/>
    <mergeCell ref="Y87:AF87"/>
    <mergeCell ref="Y88:AF88"/>
    <mergeCell ref="Y89:AF89"/>
    <mergeCell ref="Y90:AF90"/>
    <mergeCell ref="Y91:AF91"/>
    <mergeCell ref="P95:W95"/>
    <mergeCell ref="P96:W96"/>
    <mergeCell ref="P65:Q65"/>
    <mergeCell ref="P66:Q66"/>
    <mergeCell ref="P67:Q67"/>
    <mergeCell ref="P68:Q68"/>
    <mergeCell ref="P69:Q69"/>
    <mergeCell ref="Y67:Z67"/>
    <mergeCell ref="G54:H54"/>
    <mergeCell ref="G55:H55"/>
    <mergeCell ref="Y80:AF80"/>
    <mergeCell ref="G30:H30"/>
    <mergeCell ref="G33:H33"/>
    <mergeCell ref="G34:H34"/>
    <mergeCell ref="G35:H35"/>
    <mergeCell ref="G36:H36"/>
    <mergeCell ref="G38:H38"/>
    <mergeCell ref="G39:H39"/>
    <mergeCell ref="G40:H40"/>
    <mergeCell ref="G42:H42"/>
    <mergeCell ref="G43:H43"/>
    <mergeCell ref="G44:H44"/>
    <mergeCell ref="G47:H47"/>
    <mergeCell ref="G48:H48"/>
    <mergeCell ref="G49:H49"/>
    <mergeCell ref="G50:H50"/>
    <mergeCell ref="Y78:AF78"/>
    <mergeCell ref="Y79:AF79"/>
    <mergeCell ref="P54:Q54"/>
    <mergeCell ref="P55:Q55"/>
    <mergeCell ref="P56:Q56"/>
    <mergeCell ref="P57:Q57"/>
    <mergeCell ref="B11:C11"/>
    <mergeCell ref="B12:C12"/>
    <mergeCell ref="B13:C13"/>
    <mergeCell ref="B14:C14"/>
    <mergeCell ref="G72:H72"/>
    <mergeCell ref="G73:H73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6:H56"/>
    <mergeCell ref="G57:H57"/>
    <mergeCell ref="G58:H58"/>
    <mergeCell ref="G59:H59"/>
    <mergeCell ref="G61:H61"/>
    <mergeCell ref="G51:H51"/>
    <mergeCell ref="G52:H52"/>
    <mergeCell ref="G53:H53"/>
  </mergeCells>
  <printOptions verticalCentered="1" gridLines="1"/>
  <pageMargins left="0.1" right="0.1" top="0.2" bottom="0.2" header="0.17" footer="0.31496062992126"/>
  <pageSetup paperSize="9" scale="86" fitToHeight="4" pageOrder="overThenDown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3" manualBreakCount="3">
    <brk id="41" min="1" max="28" man="1"/>
    <brk id="80" min="1" max="28" man="1"/>
    <brk id="188" min="1" max="16" man="1"/>
  </rowBreaks>
  <colBreaks count="1" manualBreakCount="1">
    <brk id="15" max="10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3">
    <tabColor theme="9"/>
    <pageSetUpPr fitToPage="1"/>
  </sheetPr>
  <dimension ref="A1:BB151"/>
  <sheetViews>
    <sheetView showGridLines="0" workbookViewId="0">
      <selection activeCell="AW9" sqref="AW9"/>
    </sheetView>
  </sheetViews>
  <sheetFormatPr defaultColWidth="4.140625" defaultRowHeight="15" x14ac:dyDescent="0.25"/>
  <cols>
    <col min="1" max="1" width="9" style="525" customWidth="1"/>
    <col min="2" max="2" width="21.5703125" style="525" customWidth="1"/>
    <col min="3" max="3" width="54.140625" style="525" customWidth="1"/>
    <col min="4" max="4" width="13" style="526" customWidth="1"/>
    <col min="5" max="5" width="13.140625" style="525" customWidth="1"/>
    <col min="6" max="6" width="12.7109375" style="525" customWidth="1" collapsed="1"/>
    <col min="7" max="7" width="7.42578125" style="525" hidden="1" customWidth="1"/>
    <col min="8" max="8" width="7.85546875" style="525" hidden="1" customWidth="1"/>
    <col min="9" max="9" width="8.7109375" style="525" hidden="1" customWidth="1"/>
    <col min="10" max="10" width="5.85546875" style="525" hidden="1" customWidth="1"/>
    <col min="11" max="11" width="6.28515625" style="525" hidden="1" customWidth="1"/>
    <col min="12" max="13" width="5.7109375" style="525" hidden="1" customWidth="1"/>
    <col min="14" max="14" width="7.28515625" style="525" hidden="1" customWidth="1"/>
    <col min="15" max="15" width="13.85546875" style="525" customWidth="1"/>
    <col min="16" max="17" width="5.140625" style="525" hidden="1" customWidth="1"/>
    <col min="18" max="18" width="5.85546875" style="525" hidden="1" customWidth="1"/>
    <col min="19" max="19" width="5.140625" style="525" hidden="1" customWidth="1"/>
    <col min="20" max="20" width="6" style="525" hidden="1" customWidth="1"/>
    <col min="21" max="21" width="5.85546875" style="525" hidden="1" customWidth="1"/>
    <col min="22" max="22" width="5.140625" style="525" hidden="1" customWidth="1"/>
    <col min="23" max="23" width="7.28515625" style="525" hidden="1" customWidth="1"/>
    <col min="24" max="24" width="12.85546875" style="525" customWidth="1"/>
    <col min="25" max="26" width="5.140625" style="525" hidden="1" customWidth="1"/>
    <col min="27" max="28" width="5.85546875" style="525" hidden="1" customWidth="1"/>
    <col min="29" max="29" width="7.140625" style="525" hidden="1" customWidth="1"/>
    <col min="30" max="31" width="5.140625" style="525" hidden="1" customWidth="1"/>
    <col min="32" max="32" width="6.28515625" style="525" hidden="1" customWidth="1"/>
    <col min="33" max="33" width="13.28515625" style="525" customWidth="1"/>
    <col min="34" max="34" width="11.5703125" style="525" customWidth="1"/>
    <col min="35" max="35" width="75" style="525" customWidth="1"/>
    <col min="36" max="36" width="18.85546875" style="525" customWidth="1"/>
    <col min="37" max="46" width="11.5703125" style="525" customWidth="1"/>
    <col min="47" max="47" width="16.28515625" style="525" customWidth="1"/>
    <col min="48" max="48" width="11.5703125" style="525" customWidth="1"/>
    <col min="49" max="49" width="15.5703125" style="525" customWidth="1"/>
    <col min="50" max="50" width="11.5703125" style="525" customWidth="1"/>
    <col min="51" max="51" width="14.85546875" style="525" customWidth="1"/>
    <col min="52" max="199" width="11.5703125" style="525" customWidth="1"/>
    <col min="200" max="200" width="3.85546875" style="525" customWidth="1"/>
    <col min="201" max="201" width="22" style="525" customWidth="1"/>
    <col min="202" max="204" width="4.140625" style="525" customWidth="1"/>
    <col min="205" max="205" width="5.85546875" style="525" customWidth="1"/>
    <col min="206" max="206" width="4.140625" style="525" customWidth="1"/>
    <col min="207" max="207" width="0.85546875" style="525" customWidth="1"/>
    <col min="208" max="208" width="5.85546875" style="525" customWidth="1"/>
    <col min="209" max="209" width="4.140625" style="525" customWidth="1"/>
    <col min="210" max="210" width="0.85546875" style="525" customWidth="1"/>
    <col min="211" max="211" width="5.85546875" style="525" customWidth="1"/>
    <col min="212" max="212" width="4.140625" style="525" customWidth="1"/>
    <col min="213" max="213" width="0.85546875" style="525" customWidth="1"/>
    <col min="214" max="214" width="5.85546875" style="525" customWidth="1"/>
    <col min="215" max="16384" width="4.140625" style="525"/>
  </cols>
  <sheetData>
    <row r="1" spans="1:54" s="492" customFormat="1" ht="15" customHeight="1" x14ac:dyDescent="0.25">
      <c r="A1" s="1182" t="str">
        <f>'(G1) Fjalori'!A13</f>
        <v>Verdhë = Per tu plotësuar nga Departamenti i Financës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  <c r="Q1" s="1182"/>
      <c r="R1" s="1182"/>
      <c r="S1" s="1182"/>
      <c r="T1" s="1182"/>
      <c r="U1" s="1182"/>
      <c r="V1" s="1182"/>
      <c r="W1" s="1182"/>
      <c r="X1" s="1182"/>
      <c r="Y1" s="1182"/>
      <c r="Z1" s="1182"/>
      <c r="AA1" s="1182"/>
      <c r="AB1" s="1182"/>
      <c r="AC1" s="1182"/>
      <c r="AD1" s="1182"/>
      <c r="AE1" s="1182"/>
      <c r="AF1" s="1182"/>
      <c r="AG1" s="1182"/>
      <c r="AH1" s="1182"/>
      <c r="AI1" s="1182"/>
      <c r="AJ1" s="1182"/>
      <c r="AK1" s="1182"/>
      <c r="AL1" s="1182"/>
      <c r="AM1" s="1182"/>
      <c r="AN1" s="1182"/>
      <c r="AO1" s="1182"/>
      <c r="AP1" s="1182"/>
      <c r="AQ1" s="1182"/>
      <c r="AR1" s="1182"/>
      <c r="AS1" s="1182"/>
      <c r="AT1" s="1182"/>
      <c r="AU1" s="1182"/>
      <c r="AV1" s="1182"/>
      <c r="AW1" s="1182"/>
      <c r="AX1" s="1182"/>
      <c r="AY1" s="1182"/>
      <c r="AZ1" s="1182"/>
      <c r="BA1" s="1182"/>
      <c r="BB1" s="1182"/>
    </row>
    <row r="2" spans="1:54" s="492" customFormat="1" ht="13.15" customHeight="1" x14ac:dyDescent="0.25">
      <c r="D2" s="494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5"/>
      <c r="AY2" s="535"/>
      <c r="AZ2" s="530"/>
      <c r="BA2" s="530"/>
      <c r="BB2" s="530"/>
    </row>
    <row r="3" spans="1:54" s="492" customFormat="1" ht="21" customHeight="1" x14ac:dyDescent="0.25">
      <c r="A3" s="1181" t="str">
        <f>'(G1) Fjalori'!A357</f>
        <v>(E2) KONTROLLI I BESUESHMERISE NE VLERESIMIN E TE ARDHURAVE TE VETA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1181"/>
      <c r="AB3" s="1181"/>
      <c r="AC3" s="1181"/>
      <c r="AD3" s="1181"/>
      <c r="AE3" s="1181"/>
      <c r="AF3" s="1181"/>
      <c r="AG3" s="1181"/>
      <c r="AH3" s="1181"/>
      <c r="AI3" s="1181"/>
      <c r="AJ3" s="1181"/>
      <c r="AK3" s="1181"/>
      <c r="AL3" s="1181"/>
      <c r="AM3" s="1181"/>
      <c r="AN3" s="1181"/>
      <c r="AO3" s="1181"/>
      <c r="AP3" s="1181"/>
      <c r="AQ3" s="1181"/>
      <c r="AR3" s="1181"/>
      <c r="AS3" s="1181"/>
      <c r="AT3" s="1181"/>
      <c r="AU3" s="1181"/>
      <c r="AV3" s="1181"/>
      <c r="AW3" s="1181"/>
      <c r="AX3" s="1181"/>
      <c r="AY3" s="1181"/>
      <c r="AZ3" s="1181"/>
      <c r="BA3" s="1181"/>
      <c r="BB3" s="1181"/>
    </row>
    <row r="4" spans="1:54" s="536" customFormat="1" ht="13.15" customHeight="1" x14ac:dyDescent="0.25">
      <c r="B4" s="537"/>
      <c r="C4" s="537"/>
      <c r="AI4" s="230"/>
      <c r="AK4" s="538"/>
      <c r="AL4" s="538"/>
      <c r="AM4" s="538"/>
      <c r="AN4" s="538"/>
      <c r="AO4" s="538"/>
      <c r="AP4" s="538"/>
      <c r="AQ4" s="538"/>
      <c r="AR4" s="538"/>
      <c r="AS4" s="538"/>
      <c r="AT4" s="538"/>
      <c r="AU4" s="538"/>
      <c r="AV4" s="538"/>
      <c r="AW4" s="538"/>
      <c r="AX4" s="539"/>
      <c r="AY4" s="539"/>
      <c r="AZ4" s="538"/>
      <c r="BA4" s="538"/>
      <c r="BB4" s="538"/>
    </row>
    <row r="5" spans="1:54" s="492" customFormat="1" ht="17.25" customHeight="1" x14ac:dyDescent="0.25">
      <c r="D5" s="495">
        <f>'(B1)Informacion i përgjithshëm '!B5</f>
        <v>2019</v>
      </c>
      <c r="E5" s="495">
        <f>'(B1)Informacion i përgjithshëm '!B6</f>
        <v>2020</v>
      </c>
      <c r="F5" s="495">
        <f>'(B1)Informacion i përgjithshëm '!B7</f>
        <v>2021</v>
      </c>
      <c r="G5" s="1191">
        <f>'(A1) Titulli'!B42</f>
        <v>2022</v>
      </c>
      <c r="H5" s="1192"/>
      <c r="I5" s="1192"/>
      <c r="J5" s="1192"/>
      <c r="K5" s="1192"/>
      <c r="L5" s="1192"/>
      <c r="M5" s="1192"/>
      <c r="N5" s="1192"/>
      <c r="O5" s="1193"/>
      <c r="P5" s="1191">
        <f>'(A1) Titulli'!B43</f>
        <v>2023</v>
      </c>
      <c r="Q5" s="1192"/>
      <c r="R5" s="1192"/>
      <c r="S5" s="1192"/>
      <c r="T5" s="1192"/>
      <c r="U5" s="1192"/>
      <c r="V5" s="1192"/>
      <c r="W5" s="1192"/>
      <c r="X5" s="1192"/>
      <c r="Y5" s="1191">
        <f>'(A1) Titulli'!B44</f>
        <v>2024</v>
      </c>
      <c r="Z5" s="1192"/>
      <c r="AA5" s="1192"/>
      <c r="AB5" s="1192"/>
      <c r="AC5" s="1192"/>
      <c r="AD5" s="1192"/>
      <c r="AE5" s="1192"/>
      <c r="AF5" s="1192"/>
      <c r="AG5" s="1193"/>
      <c r="AK5" s="484">
        <f>D$5</f>
        <v>2019</v>
      </c>
      <c r="AL5" s="484">
        <f>E$5</f>
        <v>2020</v>
      </c>
      <c r="AM5" s="484">
        <f>F$5</f>
        <v>2021</v>
      </c>
      <c r="AN5" s="163">
        <f>AM5+1</f>
        <v>2022</v>
      </c>
      <c r="AO5" s="163">
        <f>AN5+1</f>
        <v>2023</v>
      </c>
      <c r="AP5" s="163">
        <f>AO5+1</f>
        <v>2024</v>
      </c>
      <c r="AQ5" s="163">
        <f>AN5</f>
        <v>2022</v>
      </c>
      <c r="AR5" s="163">
        <f>AO5</f>
        <v>2023</v>
      </c>
      <c r="AS5" s="163">
        <f>AP5</f>
        <v>2024</v>
      </c>
      <c r="AT5" s="1179">
        <f>AQ5</f>
        <v>2022</v>
      </c>
      <c r="AU5" s="1180"/>
      <c r="AV5" s="1179">
        <f>AR5</f>
        <v>2023</v>
      </c>
      <c r="AW5" s="1180"/>
      <c r="AX5" s="1179">
        <f>AS5</f>
        <v>2024</v>
      </c>
      <c r="AY5" s="1180"/>
      <c r="AZ5" s="163">
        <f>AQ5</f>
        <v>2022</v>
      </c>
      <c r="BA5" s="163">
        <f>AR5</f>
        <v>2023</v>
      </c>
      <c r="BB5" s="163">
        <f>AS5</f>
        <v>2024</v>
      </c>
    </row>
    <row r="6" spans="1:54" s="496" customFormat="1" ht="44.1" customHeight="1" thickBot="1" x14ac:dyDescent="0.3">
      <c r="B6" s="497"/>
      <c r="C6" s="497"/>
      <c r="D6" s="498" t="str">
        <f>'(B1)Informacion i përgjithshëm '!A5</f>
        <v>Viti t-2</v>
      </c>
      <c r="E6" s="498" t="str">
        <f>'(G1) Fjalori'!A6</f>
        <v>Viti i shkuar</v>
      </c>
      <c r="F6" s="499" t="str">
        <f>'(G1) Fjalori'!A7</f>
        <v>Viti aktual</v>
      </c>
      <c r="G6" s="500" t="str">
        <f>'(G1) Fjalori'!A343</f>
        <v>Impakti i rritjes reale ekonomike në %</v>
      </c>
      <c r="H6" s="500" t="str">
        <f>'(G1) Fjalori'!A342</f>
        <v>Impakti i inflacionit në %</v>
      </c>
      <c r="I6" s="500" t="str">
        <f>'(G1) Fjalori'!A345</f>
        <v>Impakti i rritjes së popullsisë në %</v>
      </c>
      <c r="J6" s="500" t="str">
        <f>'(G1) Fjalori'!A346</f>
        <v>Vlerësimi i impaktit nga përmirësimi në %</v>
      </c>
      <c r="K6" s="500" t="str">
        <f>'(G1) Fjalori'!A348</f>
        <v>Përmirësimi i përdorimit të potencialit tatimor në %</v>
      </c>
      <c r="L6" s="500" t="str">
        <f>'(G1) Fjalori'!A349</f>
        <v>Ndryshimi i normës së taksës në %</v>
      </c>
      <c r="M6" s="500" t="str">
        <f>'(G1) Fjalori'!A347</f>
        <v>Vlerësimi i impaktit të faktorëve të tjerë në %</v>
      </c>
      <c r="N6" s="500" t="str">
        <f>'(G1) Fjalori'!A$762</f>
        <v>Vlera bazë e të ardhurave të reja</v>
      </c>
      <c r="P6" s="500" t="str">
        <f t="shared" ref="P6:W6" si="0">G6</f>
        <v>Impakti i rritjes reale ekonomike në %</v>
      </c>
      <c r="Q6" s="500" t="str">
        <f t="shared" si="0"/>
        <v>Impakti i inflacionit në %</v>
      </c>
      <c r="R6" s="500" t="str">
        <f t="shared" si="0"/>
        <v>Impakti i rritjes së popullsisë në %</v>
      </c>
      <c r="S6" s="500" t="str">
        <f t="shared" si="0"/>
        <v>Vlerësimi i impaktit nga përmirësimi në %</v>
      </c>
      <c r="T6" s="500" t="str">
        <f t="shared" si="0"/>
        <v>Përmirësimi i përdorimit të potencialit tatimor në %</v>
      </c>
      <c r="U6" s="500" t="str">
        <f t="shared" si="0"/>
        <v>Ndryshimi i normës së taksës në %</v>
      </c>
      <c r="V6" s="500" t="str">
        <f t="shared" si="0"/>
        <v>Vlerësimi i impaktit të faktorëve të tjerë në %</v>
      </c>
      <c r="W6" s="500" t="str">
        <f t="shared" si="0"/>
        <v>Vlera bazë e të ardhurave të reja</v>
      </c>
      <c r="Y6" s="500" t="str">
        <f t="shared" ref="Y6:AF6" si="1">P6</f>
        <v>Impakti i rritjes reale ekonomike në %</v>
      </c>
      <c r="Z6" s="500" t="str">
        <f t="shared" si="1"/>
        <v>Impakti i inflacionit në %</v>
      </c>
      <c r="AA6" s="500" t="str">
        <f t="shared" si="1"/>
        <v>Impakti i rritjes së popullsisë në %</v>
      </c>
      <c r="AB6" s="500" t="str">
        <f t="shared" si="1"/>
        <v>Vlerësimi i impaktit nga përmirësimi në %</v>
      </c>
      <c r="AC6" s="500" t="str">
        <f t="shared" si="1"/>
        <v>Përmirësimi i përdorimit të potencialit tatimor në %</v>
      </c>
      <c r="AD6" s="500" t="str">
        <f t="shared" si="1"/>
        <v>Ndryshimi i normës së taksës në %</v>
      </c>
      <c r="AE6" s="500" t="str">
        <f t="shared" si="1"/>
        <v>Vlerësimi i impaktit të faktorëve të tjerë në %</v>
      </c>
      <c r="AF6" s="500" t="str">
        <f t="shared" si="1"/>
        <v>Vlera bazë e të ardhurave të reja</v>
      </c>
      <c r="AG6" s="501"/>
      <c r="AI6" s="529"/>
      <c r="AK6" s="1183" t="str">
        <f>'(G1) Fjalori'!A1020</f>
        <v>Rezultatet e viteve të kaluara</v>
      </c>
      <c r="AL6" s="1183"/>
      <c r="AM6" s="1183"/>
      <c r="AN6" s="1183" t="str">
        <f>'(G1) Fjalori'!A1021</f>
        <v>Vlerësimi më i mirë i trendit</v>
      </c>
      <c r="AO6" s="1183"/>
      <c r="AP6" s="1183"/>
      <c r="AQ6" s="1183" t="str">
        <f>'(G1) Fjalori'!A1022</f>
        <v>Intervali i besimit të lartë</v>
      </c>
      <c r="AR6" s="1183"/>
      <c r="AS6" s="1183"/>
      <c r="AT6" s="1184" t="str">
        <f>'(G1) Fjalori'!A1023</f>
        <v>Vlerësimi i buxhetit</v>
      </c>
      <c r="AU6" s="1184"/>
      <c r="AV6" s="1184"/>
      <c r="AW6" s="1184"/>
      <c r="AX6" s="1184"/>
      <c r="AY6" s="1184"/>
      <c r="AZ6" s="1183" t="str">
        <f>'(G1) Fjalori'!A1024</f>
        <v>Intervali i besimit të ulët</v>
      </c>
      <c r="BA6" s="1183"/>
      <c r="BB6" s="1183"/>
    </row>
    <row r="7" spans="1:54" s="492" customFormat="1" ht="15.75" thickBot="1" x14ac:dyDescent="0.3">
      <c r="A7" s="502" t="str">
        <f>'(C2) Burimet viti kaluar'!C7</f>
        <v>A</v>
      </c>
      <c r="B7" s="1194" t="str">
        <f>'(G1) Fjalori'!A218</f>
        <v>TË ARDHURA NGA BURIMET E VETA</v>
      </c>
      <c r="C7" s="1195"/>
      <c r="D7" s="503">
        <f>'(C2) Burimet viti kaluar'!D7</f>
        <v>290939361</v>
      </c>
      <c r="E7" s="503">
        <f>'(C2) Burimet viti kaluar'!E7</f>
        <v>307157414</v>
      </c>
      <c r="F7" s="503">
        <f>'(C2) Burimet viti kaluar'!F7</f>
        <v>589036721</v>
      </c>
      <c r="G7" s="504"/>
      <c r="H7" s="504"/>
      <c r="I7" s="504"/>
      <c r="J7" s="504"/>
      <c r="K7" s="504"/>
      <c r="L7" s="504"/>
      <c r="M7" s="504"/>
      <c r="N7" s="504"/>
      <c r="O7" s="505">
        <f>'(E1) Vlerësimi i burimeve'!O7</f>
        <v>594822801.79999995</v>
      </c>
      <c r="P7" s="505">
        <f>'(E1) Vlerësimi i burimeve'!P7</f>
        <v>0</v>
      </c>
      <c r="Q7" s="505">
        <f>'(E1) Vlerësimi i burimeve'!Q7</f>
        <v>0</v>
      </c>
      <c r="R7" s="505">
        <f>'(E1) Vlerësimi i burimeve'!R7</f>
        <v>0</v>
      </c>
      <c r="S7" s="505">
        <f>'(E1) Vlerësimi i burimeve'!S7</f>
        <v>0</v>
      </c>
      <c r="T7" s="505">
        <f>'(E1) Vlerësimi i burimeve'!T7</f>
        <v>0</v>
      </c>
      <c r="U7" s="505">
        <f>'(E1) Vlerësimi i burimeve'!U7</f>
        <v>0</v>
      </c>
      <c r="V7" s="505">
        <f>'(E1) Vlerësimi i burimeve'!V7</f>
        <v>0</v>
      </c>
      <c r="W7" s="505">
        <f>'(E1) Vlerësimi i burimeve'!W7</f>
        <v>0</v>
      </c>
      <c r="X7" s="505">
        <f>'(E1) Vlerësimi i burimeve'!X7</f>
        <v>599735527.227</v>
      </c>
      <c r="Y7" s="505">
        <f>'(E1) Vlerësimi i burimeve'!Y7</f>
        <v>0</v>
      </c>
      <c r="Z7" s="505">
        <f>'(E1) Vlerësimi i burimeve'!Z7</f>
        <v>0</v>
      </c>
      <c r="AA7" s="505">
        <f>'(E1) Vlerësimi i burimeve'!AA7</f>
        <v>0</v>
      </c>
      <c r="AB7" s="505">
        <f>'(E1) Vlerësimi i burimeve'!AB7</f>
        <v>0</v>
      </c>
      <c r="AC7" s="505">
        <f>'(E1) Vlerësimi i burimeve'!AC7</f>
        <v>0</v>
      </c>
      <c r="AD7" s="505">
        <f>'(E1) Vlerësimi i burimeve'!AD7</f>
        <v>0</v>
      </c>
      <c r="AE7" s="505">
        <f>'(E1) Vlerësimi i burimeve'!AE7</f>
        <v>0</v>
      </c>
      <c r="AF7" s="505">
        <f>'(E1) Vlerësimi i burimeve'!AF7</f>
        <v>0</v>
      </c>
      <c r="AG7" s="505">
        <f>'(E1) Vlerësimi i burimeve'!AG7</f>
        <v>604067725.64750814</v>
      </c>
      <c r="AJ7" s="540"/>
      <c r="AK7" s="483">
        <f t="shared" ref="AK7:AM9" si="2">D7</f>
        <v>290939361</v>
      </c>
      <c r="AL7" s="483">
        <f t="shared" si="2"/>
        <v>307157414</v>
      </c>
      <c r="AM7" s="483">
        <f t="shared" si="2"/>
        <v>589036721</v>
      </c>
      <c r="AN7" s="491">
        <f>_xlfn.FORECAST.ETS(AN$5,AK7:AM7,AK$5:AM$5,0,1)</f>
        <v>703762099.81382692</v>
      </c>
      <c r="AO7" s="491">
        <f>_xlfn.FORECAST.ETS(AO$5,AK7:AM7,AK$5:AM$5,0,1)</f>
        <v>842277443.92335391</v>
      </c>
      <c r="AP7" s="491">
        <f>_xlfn.FORECAST.ETS(AP$5,AK7:AM7,AK$5:AM$5,0,1)</f>
        <v>980792788.0328809</v>
      </c>
      <c r="AQ7" s="491">
        <f>AN7+_xlfn.FORECAST.ETS.CONFINT(AN$5,AK7:AM7,AK$5:AM$5,0.8,0)</f>
        <v>803971168.29951882</v>
      </c>
      <c r="AR7" s="491">
        <f>AO7+_xlfn.FORECAST.ETS.CONFINT(AO$5,AK7:AM7,AK$5:AM$5,0.8,0)</f>
        <v>944451437.68857574</v>
      </c>
      <c r="AS7" s="531">
        <f>AP7+_xlfn.FORECAST.ETS.CONFINT(AP$5,AK7:AM7,AK$5:AM$5,0.8,0)</f>
        <v>1087241283.1236355</v>
      </c>
      <c r="AT7" s="532">
        <f>'(E1) Vlerësimi i burimeve'!O7</f>
        <v>594822801.79999995</v>
      </c>
      <c r="AU7" s="534" t="str">
        <f>IF(OR(AT7&gt;AQ7,AT7&lt;AZ7),"ATTENTION","Plausible")</f>
        <v>ATTENTION</v>
      </c>
      <c r="AV7" s="532">
        <f>'(E1) Vlerësimi i burimeve'!X7</f>
        <v>599735527.227</v>
      </c>
      <c r="AW7" s="534" t="str">
        <f>IF(OR(AV7&gt;AR7,AV7&lt;BA7),"ATTENTION","Plausible")</f>
        <v>ATTENTION</v>
      </c>
      <c r="AX7" s="532">
        <f>'(E1) Vlerësimi i burimeve'!AG7</f>
        <v>604067725.64750814</v>
      </c>
      <c r="AY7" s="534" t="str">
        <f>IF(OR(AX7&gt;AS7,AX7&lt;BB7),"ATTENTION","Plausible")</f>
        <v>ATTENTION</v>
      </c>
      <c r="AZ7" s="533">
        <f>AN7-_xlfn.FORECAST.ETS.CONFINT(AN$5,AK7:AM7,AK$5:AM$5,0.8,0)</f>
        <v>603553031.32813501</v>
      </c>
      <c r="BA7" s="491">
        <f>AO7-_xlfn.FORECAST.ETS.CONFINT(AO$5,AK7:AM7,AK$5:AM$5,0.8,0)</f>
        <v>740103450.15813208</v>
      </c>
      <c r="BB7" s="491">
        <f>AP7-_xlfn.FORECAST.ETS.CONFINT(AP$5,AK7:AM7,AK$5:AM$5,0.8,0)</f>
        <v>874344292.94212627</v>
      </c>
    </row>
    <row r="8" spans="1:54" s="492" customFormat="1" ht="15.75" thickBot="1" x14ac:dyDescent="0.3">
      <c r="A8" s="506" t="str">
        <f>'(C2) Burimet viti kaluar'!C8</f>
        <v>A.1</v>
      </c>
      <c r="B8" s="1189" t="str">
        <f>'(G1) Fjalori'!A219</f>
        <v>TË ARDHURA NGA TAKSAT LOKALE</v>
      </c>
      <c r="C8" s="1190"/>
      <c r="D8" s="507">
        <f>'(C2) Burimet viti kaluar'!D8</f>
        <v>83485418</v>
      </c>
      <c r="E8" s="507">
        <f>'(C2) Burimet viti kaluar'!E8</f>
        <v>79642315</v>
      </c>
      <c r="F8" s="507">
        <f>'(C2) Burimet viti kaluar'!F8</f>
        <v>197835000</v>
      </c>
      <c r="G8" s="552"/>
      <c r="H8" s="552"/>
      <c r="I8" s="552"/>
      <c r="J8" s="552"/>
      <c r="K8" s="552"/>
      <c r="L8" s="552"/>
      <c r="M8" s="552"/>
      <c r="N8" s="552"/>
      <c r="O8" s="507">
        <f>SUM(O9:O21)-O10</f>
        <v>197835000</v>
      </c>
      <c r="P8" s="552"/>
      <c r="Q8" s="552"/>
      <c r="R8" s="552"/>
      <c r="S8" s="552"/>
      <c r="T8" s="552"/>
      <c r="U8" s="552"/>
      <c r="V8" s="552"/>
      <c r="W8" s="552"/>
      <c r="X8" s="508">
        <f>SUM(X9:X21)-X10</f>
        <v>204735000</v>
      </c>
      <c r="Y8" s="553"/>
      <c r="Z8" s="552"/>
      <c r="AA8" s="552"/>
      <c r="AB8" s="552"/>
      <c r="AC8" s="552"/>
      <c r="AD8" s="552"/>
      <c r="AE8" s="552"/>
      <c r="AF8" s="552"/>
      <c r="AG8" s="507">
        <f>SUM(AG9:AG21)-AG10</f>
        <v>208530000</v>
      </c>
      <c r="AH8" s="554"/>
      <c r="AI8" s="554"/>
      <c r="AJ8" s="555"/>
      <c r="AK8" s="556">
        <f t="shared" si="2"/>
        <v>83485418</v>
      </c>
      <c r="AL8" s="556">
        <f t="shared" si="2"/>
        <v>79642315</v>
      </c>
      <c r="AM8" s="556">
        <f t="shared" si="2"/>
        <v>197835000</v>
      </c>
      <c r="AN8" s="557">
        <f>_xlfn.FORECAST.ETS(AN$5,AK8:AM8,AK$5:AM$5,0,1)</f>
        <v>239242828.208294</v>
      </c>
      <c r="AO8" s="557">
        <f>_xlfn.FORECAST.ETS(AO$5,AK8:AM8,AK$5:AM$5,0,1)</f>
        <v>291578961.23198801</v>
      </c>
      <c r="AP8" s="557">
        <f>_xlfn.FORECAST.ETS(AP$5,AK8:AM8,AK$5:AM$5,0,1)</f>
        <v>343915094.25568199</v>
      </c>
      <c r="AQ8" s="557">
        <f>AN8+_xlfn.FORECAST.ETS.CONFINT(AN$5,AK8:AM8,AK$5:AM$5,0.8,0)</f>
        <v>285275482.39954984</v>
      </c>
      <c r="AR8" s="557">
        <f>AO8+_xlfn.FORECAST.ETS.CONFINT(AO$5,AK8:AM8,AK$5:AM$5,0.8,0)</f>
        <v>338514235.58797652</v>
      </c>
      <c r="AS8" s="557">
        <f>AP8+_xlfn.FORECAST.ETS.CONFINT(AP$5,AK8:AM8,AK$5:AM$5,0.8,0)</f>
        <v>392813929.83753306</v>
      </c>
      <c r="AT8" s="622">
        <f>'(E1) Vlerësimi i burimeve'!O8</f>
        <v>201204247</v>
      </c>
      <c r="AU8" s="623" t="str">
        <f t="shared" ref="AU8:AU63" si="3">IF(OR(AT8&gt;AQ8,AT8&lt;AZ8),"ATTENTION","Plausible")</f>
        <v>Plausible</v>
      </c>
      <c r="AV8" s="558">
        <f>'(E1) Vlerësimi i burimeve'!X8</f>
        <v>202960990.46999997</v>
      </c>
      <c r="AW8" s="559" t="str">
        <f t="shared" ref="AW8:AW63" si="4">IF(OR(AV8&gt;AR8,AV8&lt;BA8),"ATTENTION","Plausible")</f>
        <v>ATTENTION</v>
      </c>
      <c r="AX8" s="558">
        <f>'(E1) Vlerësimi i burimeve'!AG8</f>
        <v>204751333.77409995</v>
      </c>
      <c r="AY8" s="559" t="str">
        <f t="shared" ref="AY8:AY63" si="5">IF(OR(AX8&gt;AS8,AX8&lt;BB8),"ATTENTION","Plausible")</f>
        <v>ATTENTION</v>
      </c>
      <c r="AZ8" s="557">
        <f>AN8-_xlfn.FORECAST.ETS.CONFINT(AN$5,AK8:AM8,AK$5:AM$5,0.8,0)</f>
        <v>193210174.01703814</v>
      </c>
      <c r="BA8" s="557">
        <f>AO8-_xlfn.FORECAST.ETS.CONFINT(AO$5,AK8:AM8,AK$5:AM$5,0.8,0)</f>
        <v>244643686.87599951</v>
      </c>
      <c r="BB8" s="557">
        <f>AP8-_xlfn.FORECAST.ETS.CONFINT(AP$5,AK8:AM8,AK$5:AM$5,0.8,0)</f>
        <v>295016258.67383093</v>
      </c>
    </row>
    <row r="9" spans="1:54" s="509" customFormat="1" ht="15.75" thickBot="1" x14ac:dyDescent="0.3">
      <c r="A9" s="510" t="str">
        <f>'(C2) Burimet viti kaluar'!C9</f>
        <v>A.1.1</v>
      </c>
      <c r="B9" s="510" t="str">
        <f>'(G1) Fjalori'!A220</f>
        <v>Taksa vendore mbi biznesin e vogël</v>
      </c>
      <c r="C9" s="511"/>
      <c r="D9" s="512">
        <f>'(C2) Burimet viti kaluar'!D9</f>
        <v>2477148</v>
      </c>
      <c r="E9" s="513">
        <f>'(C2) Burimet viti kaluar'!E9</f>
        <v>2354788</v>
      </c>
      <c r="F9" s="513">
        <f>'(C2) Burimet viti kaluar'!F9</f>
        <v>4000000</v>
      </c>
      <c r="G9" s="514"/>
      <c r="H9" s="514"/>
      <c r="I9" s="514"/>
      <c r="J9" s="514"/>
      <c r="K9" s="514"/>
      <c r="L9" s="514"/>
      <c r="M9" s="514"/>
      <c r="N9" s="515">
        <v>1000</v>
      </c>
      <c r="O9" s="516">
        <f>IF(F9&lt;&gt;0,F9*(1+(SUM(G9:M9))),N9)</f>
        <v>4000000</v>
      </c>
      <c r="P9" s="514"/>
      <c r="Q9" s="514"/>
      <c r="R9" s="514"/>
      <c r="S9" s="514"/>
      <c r="T9" s="514"/>
      <c r="U9" s="514"/>
      <c r="V9" s="514"/>
      <c r="W9" s="515"/>
      <c r="X9" s="516">
        <f>IF(O9&lt;&gt;0,O9*(1+(SUM(P9:V9))),W9)</f>
        <v>4000000</v>
      </c>
      <c r="Y9" s="514"/>
      <c r="Z9" s="514"/>
      <c r="AA9" s="514"/>
      <c r="AB9" s="514"/>
      <c r="AC9" s="514"/>
      <c r="AD9" s="514"/>
      <c r="AE9" s="514"/>
      <c r="AF9" s="515"/>
      <c r="AG9" s="516">
        <f>IF(X9&lt;&gt;0,X9*(1+(SUM(Y9:AE9))),AF9)</f>
        <v>4000000</v>
      </c>
      <c r="AI9" s="493" t="str">
        <f>B9</f>
        <v>Taksa vendore mbi biznesin e vogël</v>
      </c>
      <c r="AJ9" s="517"/>
      <c r="AK9" s="483">
        <f t="shared" si="2"/>
        <v>2477148</v>
      </c>
      <c r="AL9" s="483">
        <f t="shared" si="2"/>
        <v>2354788</v>
      </c>
      <c r="AM9" s="483">
        <f t="shared" si="2"/>
        <v>4000000</v>
      </c>
      <c r="AN9" s="491">
        <f>_xlfn.FORECAST.ETS(AN$5,AK9:AM9,AK$5:AM$5,0,1)</f>
        <v>4533056.5813859999</v>
      </c>
      <c r="AO9" s="491">
        <f>_xlfn.FORECAST.ETS(AO$5,AK9:AM9,AK$5:AM$5,0,1)</f>
        <v>5224399.2353719994</v>
      </c>
      <c r="AP9" s="491">
        <f>_xlfn.FORECAST.ETS(AP$5,AK9:AM9,AK$5:AM$5,0,1)</f>
        <v>5915741.8893579999</v>
      </c>
      <c r="AQ9" s="491">
        <f>AN9+_xlfn.FORECAST.ETS.CONFINT(AN$5,AK9:AM9,AK$5:AM$5,0.8,0)</f>
        <v>5199795.6746276189</v>
      </c>
      <c r="AR9" s="491">
        <f>AO9+_xlfn.FORECAST.ETS.CONFINT(AO$5,AK9:AM9,AK$5:AM$5,0.8,0)</f>
        <v>5904211.9208439309</v>
      </c>
      <c r="AS9" s="491">
        <f>AP9+_xlfn.FORECAST.ETS.CONFINT(AP$5,AK9:AM9,AK$5:AM$5,0.8,0)</f>
        <v>6623994.886479497</v>
      </c>
      <c r="AT9" s="624">
        <f>'(E1) Vlerësimi i burimeve'!O9</f>
        <v>4000000</v>
      </c>
      <c r="AU9" s="625" t="str">
        <f t="shared" si="3"/>
        <v>Plausible</v>
      </c>
      <c r="AV9" s="624">
        <f>'(E1) Vlerësimi i burimeve'!X9</f>
        <v>4000000</v>
      </c>
      <c r="AW9" s="625" t="str">
        <f t="shared" si="4"/>
        <v>ATTENTION</v>
      </c>
      <c r="AX9" s="624">
        <f>'(E1) Vlerësimi i burimeve'!AG9</f>
        <v>4000000</v>
      </c>
      <c r="AY9" s="625" t="str">
        <f t="shared" si="5"/>
        <v>ATTENTION</v>
      </c>
      <c r="AZ9" s="491">
        <f>AN9-_xlfn.FORECAST.ETS.CONFINT(AN$5,AK9:AM9,AK$5:AM$5,0.8,0)</f>
        <v>3866317.4881443805</v>
      </c>
      <c r="BA9" s="491">
        <f>AO9-_xlfn.FORECAST.ETS.CONFINT(AO$5,AK9:AM9,AK$5:AM$5,0.8,0)</f>
        <v>4544586.549900068</v>
      </c>
      <c r="BB9" s="491">
        <f>AP9-_xlfn.FORECAST.ETS.CONFINT(AP$5,AK9:AM9,AK$5:AM$5,0.8,0)</f>
        <v>5207488.8922365028</v>
      </c>
    </row>
    <row r="10" spans="1:54" s="509" customFormat="1" ht="15.75" thickBot="1" x14ac:dyDescent="0.3">
      <c r="A10" s="510" t="str">
        <f>'(C2) Burimet viti kaluar'!C10</f>
        <v>A.1.2</v>
      </c>
      <c r="B10" s="518" t="str">
        <f>'(G1) Fjalori'!A221</f>
        <v>Taksa mbi pasurinë e paluajtshme</v>
      </c>
      <c r="C10" s="519"/>
      <c r="D10" s="520">
        <f>'(C2) Burimet viti kaluar'!D10</f>
        <v>57067098</v>
      </c>
      <c r="E10" s="520">
        <f>'(C2) Burimet viti kaluar'!E10</f>
        <v>62226369</v>
      </c>
      <c r="F10" s="520">
        <f>'(C2) Burimet viti kaluar'!F10</f>
        <v>78600000</v>
      </c>
      <c r="G10" s="521"/>
      <c r="H10" s="521"/>
      <c r="I10" s="521"/>
      <c r="J10" s="521"/>
      <c r="K10" s="521"/>
      <c r="L10" s="521"/>
      <c r="M10" s="521"/>
      <c r="N10" s="521"/>
      <c r="O10" s="521">
        <f>SUM(O11:O14)</f>
        <v>78600000</v>
      </c>
      <c r="P10" s="521"/>
      <c r="Q10" s="521"/>
      <c r="R10" s="521"/>
      <c r="S10" s="521"/>
      <c r="T10" s="521"/>
      <c r="U10" s="521"/>
      <c r="V10" s="521"/>
      <c r="W10" s="521"/>
      <c r="X10" s="521">
        <f>SUM(X11:X14)</f>
        <v>85500000</v>
      </c>
      <c r="Y10" s="521"/>
      <c r="Z10" s="521"/>
      <c r="AA10" s="521"/>
      <c r="AB10" s="521"/>
      <c r="AC10" s="521"/>
      <c r="AD10" s="521"/>
      <c r="AE10" s="521"/>
      <c r="AF10" s="521"/>
      <c r="AG10" s="521">
        <f>SUM(AG11:AG14)</f>
        <v>89295000</v>
      </c>
      <c r="AI10" s="493" t="str">
        <f t="shared" ref="AI10:AI63" si="6">B10</f>
        <v>Taksa mbi pasurinë e paluajtshme</v>
      </c>
      <c r="AJ10" s="517"/>
      <c r="AK10" s="483">
        <f t="shared" ref="AK10:AK63" si="7">D10</f>
        <v>57067098</v>
      </c>
      <c r="AL10" s="483">
        <f t="shared" ref="AL10:AL63" si="8">E10</f>
        <v>62226369</v>
      </c>
      <c r="AM10" s="483">
        <f t="shared" ref="AM10:AM63" si="9">F10</f>
        <v>78600000</v>
      </c>
      <c r="AN10" s="491">
        <f t="shared" ref="AN10:AN63" si="10">_xlfn.FORECAST.ETS(AN$5,AK10:AM10,AK$5:AM$5,0,1)</f>
        <v>87917561.295180008</v>
      </c>
      <c r="AO10" s="491">
        <f t="shared" ref="AO10:AO63" si="11">_xlfn.FORECAST.ETS(AO$5,AK10:AM10,AK$5:AM$5,0,1)</f>
        <v>98239368.528360009</v>
      </c>
      <c r="AP10" s="491">
        <f t="shared" ref="AP10:AP63" si="12">_xlfn.FORECAST.ETS(AP$5,AK10:AM10,AK$5:AM$5,0,1)</f>
        <v>108561175.76154</v>
      </c>
      <c r="AQ10" s="491">
        <f t="shared" ref="AQ10:AQ63" si="13">AN10+_xlfn.FORECAST.ETS.CONFINT(AN$5,AK10:AM10,AK$5:AM$5,0.8,0)</f>
        <v>92147687.263279229</v>
      </c>
      <c r="AR10" s="491">
        <f t="shared" ref="AR10:AR63" si="14">AO10+_xlfn.FORECAST.ETS.CONFINT(AO$5,AK10:AM10,AK$5:AM$5,0.8,0)</f>
        <v>102552439.89826687</v>
      </c>
      <c r="AS10" s="491">
        <f t="shared" ref="AS10:AS63" si="15">AP10+_xlfn.FORECAST.ETS.CONFINT(AP$5,AK10:AM10,AK$5:AM$5,0.8,0)</f>
        <v>113054686.67979364</v>
      </c>
      <c r="AT10" s="624">
        <f>'(E1) Vlerësimi i burimeve'!O10</f>
        <v>80171997</v>
      </c>
      <c r="AU10" s="625" t="str">
        <f t="shared" si="3"/>
        <v>ATTENTION</v>
      </c>
      <c r="AV10" s="624">
        <f>'(E1) Vlerësimi i burimeve'!X10</f>
        <v>81775436.939999998</v>
      </c>
      <c r="AW10" s="625" t="str">
        <f t="shared" si="4"/>
        <v>ATTENTION</v>
      </c>
      <c r="AX10" s="624">
        <f>'(E1) Vlerësimi i burimeve'!AG10</f>
        <v>83410945.678800002</v>
      </c>
      <c r="AY10" s="625" t="str">
        <f t="shared" si="5"/>
        <v>ATTENTION</v>
      </c>
      <c r="AZ10" s="491">
        <f t="shared" ref="AZ10:AZ63" si="16">AN10-_xlfn.FORECAST.ETS.CONFINT(AN$5,AK10:AM10,AK$5:AM$5,0.8,0)</f>
        <v>83687435.327080786</v>
      </c>
      <c r="BA10" s="491">
        <f t="shared" ref="BA10:BA63" si="17">AO10-_xlfn.FORECAST.ETS.CONFINT(AO$5,AK10:AM10,AK$5:AM$5,0.8,0)</f>
        <v>93926297.158453152</v>
      </c>
      <c r="BB10" s="491">
        <f t="shared" ref="BB10:BB63" si="18">AP10-_xlfn.FORECAST.ETS.CONFINT(AP$5,AK10:AM10,AK$5:AM$5,0.8,0)</f>
        <v>104067664.84328635</v>
      </c>
    </row>
    <row r="11" spans="1:54" s="492" customFormat="1" ht="15.75" thickBot="1" x14ac:dyDescent="0.3">
      <c r="A11" s="520" t="str">
        <f>'(C2) Burimet viti kaluar'!C11</f>
        <v>A.1.2.1</v>
      </c>
      <c r="B11" s="1187" t="str">
        <f>'(G1) Fjalori'!A222</f>
        <v>Taksa mbi ndërtesën</v>
      </c>
      <c r="C11" s="1188"/>
      <c r="D11" s="512">
        <f>'(C2) Burimet viti kaluar'!D11</f>
        <v>51324261</v>
      </c>
      <c r="E11" s="513">
        <f>'(C2) Burimet viti kaluar'!E11</f>
        <v>55923655</v>
      </c>
      <c r="F11" s="513">
        <f>'(C2) Burimet viti kaluar'!F11</f>
        <v>69000000</v>
      </c>
      <c r="G11" s="514"/>
      <c r="H11" s="514"/>
      <c r="I11" s="514"/>
      <c r="J11" s="514"/>
      <c r="K11" s="514"/>
      <c r="L11" s="514"/>
      <c r="M11" s="514"/>
      <c r="N11" s="515">
        <v>1000</v>
      </c>
      <c r="O11" s="516">
        <f>IF(F11&lt;&gt;0,F11*(1+(SUM(G11:M11))),N11)</f>
        <v>69000000</v>
      </c>
      <c r="P11" s="514"/>
      <c r="Q11" s="514">
        <v>0.02</v>
      </c>
      <c r="R11" s="514">
        <v>0.01</v>
      </c>
      <c r="S11" s="514"/>
      <c r="T11" s="514">
        <v>7.0000000000000007E-2</v>
      </c>
      <c r="U11" s="514"/>
      <c r="V11" s="514"/>
      <c r="W11" s="515"/>
      <c r="X11" s="516">
        <f>IF(O11&lt;&gt;0,O11*(1+(SUM(P11:V11))),W11)</f>
        <v>75900000</v>
      </c>
      <c r="Y11" s="514"/>
      <c r="Z11" s="514">
        <v>0.01</v>
      </c>
      <c r="AA11" s="514">
        <v>0.01</v>
      </c>
      <c r="AB11" s="514"/>
      <c r="AC11" s="514">
        <v>0.03</v>
      </c>
      <c r="AD11" s="514"/>
      <c r="AE11" s="514"/>
      <c r="AF11" s="515"/>
      <c r="AG11" s="516">
        <f>IF(X11&lt;&gt;0,X11*(1+(SUM(Y11:AE11))),AF11)</f>
        <v>79695000</v>
      </c>
      <c r="AI11" s="493" t="str">
        <f t="shared" si="6"/>
        <v>Taksa mbi ndërtesën</v>
      </c>
      <c r="AJ11" s="517"/>
      <c r="AK11" s="483">
        <f t="shared" si="7"/>
        <v>51324261</v>
      </c>
      <c r="AL11" s="483">
        <f t="shared" si="8"/>
        <v>55923655</v>
      </c>
      <c r="AM11" s="483">
        <f t="shared" si="9"/>
        <v>69000000</v>
      </c>
      <c r="AN11" s="491">
        <f t="shared" si="10"/>
        <v>76742651.669275507</v>
      </c>
      <c r="AO11" s="491">
        <f t="shared" si="11"/>
        <v>85244414.300601006</v>
      </c>
      <c r="AP11" s="491">
        <f t="shared" si="12"/>
        <v>93746176.931926504</v>
      </c>
      <c r="AQ11" s="491">
        <f t="shared" si="13"/>
        <v>79940210.027969599</v>
      </c>
      <c r="AR11" s="491">
        <f t="shared" si="14"/>
        <v>88504671.208904579</v>
      </c>
      <c r="AS11" s="491">
        <f t="shared" si="15"/>
        <v>97142828.356706977</v>
      </c>
      <c r="AT11" s="624">
        <f>'(E1) Vlerësimi i burimeve'!O11</f>
        <v>70380000</v>
      </c>
      <c r="AU11" s="625" t="str">
        <f t="shared" si="3"/>
        <v>ATTENTION</v>
      </c>
      <c r="AV11" s="624">
        <f>'(E1) Vlerësimi i burimeve'!X11</f>
        <v>71787600</v>
      </c>
      <c r="AW11" s="625" t="str">
        <f t="shared" si="4"/>
        <v>ATTENTION</v>
      </c>
      <c r="AX11" s="624">
        <f>'(E1) Vlerësimi i burimeve'!AG11</f>
        <v>73223352</v>
      </c>
      <c r="AY11" s="625" t="str">
        <f t="shared" si="5"/>
        <v>ATTENTION</v>
      </c>
      <c r="AZ11" s="491">
        <f t="shared" si="16"/>
        <v>73545093.310581416</v>
      </c>
      <c r="BA11" s="491">
        <f t="shared" si="17"/>
        <v>81984157.392297432</v>
      </c>
      <c r="BB11" s="491">
        <f t="shared" si="18"/>
        <v>90349525.507146031</v>
      </c>
    </row>
    <row r="12" spans="1:54" s="492" customFormat="1" ht="15.75" thickBot="1" x14ac:dyDescent="0.3">
      <c r="A12" s="520" t="str">
        <f>'(C2) Burimet viti kaluar'!C12</f>
        <v>A.1.2.2</v>
      </c>
      <c r="B12" s="1187" t="str">
        <f>'(G1) Fjalori'!A223</f>
        <v>Taksa mbi tokën bujqësore</v>
      </c>
      <c r="C12" s="1188"/>
      <c r="D12" s="513">
        <f>'(C2) Burimet viti kaluar'!D12</f>
        <v>2244787</v>
      </c>
      <c r="E12" s="513">
        <f>'(C2) Burimet viti kaluar'!E12</f>
        <v>3047878</v>
      </c>
      <c r="F12" s="513">
        <f>'(C2) Burimet viti kaluar'!F12</f>
        <v>5200000</v>
      </c>
      <c r="G12" s="514"/>
      <c r="H12" s="514"/>
      <c r="I12" s="514"/>
      <c r="J12" s="514"/>
      <c r="K12" s="514"/>
      <c r="L12" s="514"/>
      <c r="M12" s="514"/>
      <c r="N12" s="515"/>
      <c r="O12" s="516">
        <f t="shared" ref="O12:O21" si="19">IF(F12&lt;&gt;0,F12*(1+(SUM(G12:M12))),N12)</f>
        <v>5200000</v>
      </c>
      <c r="P12" s="514"/>
      <c r="Q12" s="514"/>
      <c r="R12" s="514"/>
      <c r="S12" s="514"/>
      <c r="T12" s="514"/>
      <c r="U12" s="514"/>
      <c r="V12" s="514"/>
      <c r="W12" s="515"/>
      <c r="X12" s="516">
        <f t="shared" ref="X12:X21" si="20">IF(O12&lt;&gt;0,O12*(1+(SUM(P12:V12))),W12)</f>
        <v>5200000</v>
      </c>
      <c r="Y12" s="514"/>
      <c r="Z12" s="514"/>
      <c r="AA12" s="514"/>
      <c r="AB12" s="514"/>
      <c r="AC12" s="514"/>
      <c r="AD12" s="514"/>
      <c r="AE12" s="514"/>
      <c r="AF12" s="515"/>
      <c r="AG12" s="516">
        <f t="shared" ref="AG12:AG21" si="21">IF(X12&lt;&gt;0,X12*(1+(SUM(Y12:AE12))),AF12)</f>
        <v>5200000</v>
      </c>
      <c r="AI12" s="493" t="str">
        <f t="shared" si="6"/>
        <v>Taksa mbi tokën bujqësore</v>
      </c>
      <c r="AJ12" s="517"/>
      <c r="AK12" s="483">
        <f t="shared" si="7"/>
        <v>2244787</v>
      </c>
      <c r="AL12" s="483">
        <f t="shared" si="8"/>
        <v>3047878</v>
      </c>
      <c r="AM12" s="483">
        <f t="shared" si="9"/>
        <v>5200000</v>
      </c>
      <c r="AN12" s="491">
        <f t="shared" si="10"/>
        <v>6503312.3693155004</v>
      </c>
      <c r="AO12" s="491">
        <f t="shared" si="11"/>
        <v>7927430.4646809995</v>
      </c>
      <c r="AP12" s="491">
        <f t="shared" si="12"/>
        <v>9351548.5600464996</v>
      </c>
      <c r="AQ12" s="491">
        <f t="shared" si="13"/>
        <v>7012175.2081106585</v>
      </c>
      <c r="AR12" s="491">
        <f t="shared" si="14"/>
        <v>8446271.2173603158</v>
      </c>
      <c r="AS12" s="491">
        <f t="shared" si="15"/>
        <v>9892095.2811757158</v>
      </c>
      <c r="AT12" s="624">
        <f>'(E1) Vlerësimi i burimeve'!O12</f>
        <v>5303997</v>
      </c>
      <c r="AU12" s="625" t="str">
        <f t="shared" si="3"/>
        <v>ATTENTION</v>
      </c>
      <c r="AV12" s="624">
        <f>'(E1) Vlerësimi i burimeve'!X12</f>
        <v>5410076.9400000004</v>
      </c>
      <c r="AW12" s="625" t="str">
        <f t="shared" si="4"/>
        <v>ATTENTION</v>
      </c>
      <c r="AX12" s="624">
        <f>'(E1) Vlerësimi i burimeve'!AG12</f>
        <v>5518278.4788000006</v>
      </c>
      <c r="AY12" s="625" t="str">
        <f t="shared" si="5"/>
        <v>ATTENTION</v>
      </c>
      <c r="AZ12" s="491">
        <f t="shared" si="16"/>
        <v>5994449.5305203423</v>
      </c>
      <c r="BA12" s="491">
        <f t="shared" si="17"/>
        <v>7408589.7120016832</v>
      </c>
      <c r="BB12" s="491">
        <f t="shared" si="18"/>
        <v>8811001.8389172833</v>
      </c>
    </row>
    <row r="13" spans="1:54" s="492" customFormat="1" ht="15.75" thickBot="1" x14ac:dyDescent="0.3">
      <c r="A13" s="520" t="str">
        <f>'(C2) Burimet viti kaluar'!C13</f>
        <v>A.1.2.3</v>
      </c>
      <c r="B13" s="1187" t="str">
        <f>'(G1) Fjalori'!A224</f>
        <v>Taksa mbi truallin</v>
      </c>
      <c r="C13" s="1188"/>
      <c r="D13" s="513">
        <f>'(C2) Burimet viti kaluar'!D13</f>
        <v>3498050</v>
      </c>
      <c r="E13" s="513">
        <f>'(C2) Burimet viti kaluar'!E13</f>
        <v>3254836</v>
      </c>
      <c r="F13" s="513">
        <f>'(C2) Burimet viti kaluar'!F13</f>
        <v>4400000</v>
      </c>
      <c r="G13" s="514"/>
      <c r="H13" s="514"/>
      <c r="I13" s="514"/>
      <c r="J13" s="514"/>
      <c r="K13" s="514"/>
      <c r="L13" s="514"/>
      <c r="M13" s="514"/>
      <c r="N13" s="515"/>
      <c r="O13" s="516">
        <f t="shared" si="19"/>
        <v>4400000</v>
      </c>
      <c r="P13" s="514"/>
      <c r="Q13" s="514"/>
      <c r="R13" s="514"/>
      <c r="S13" s="514"/>
      <c r="T13" s="514"/>
      <c r="U13" s="514"/>
      <c r="V13" s="514"/>
      <c r="W13" s="515"/>
      <c r="X13" s="516">
        <f t="shared" si="20"/>
        <v>4400000</v>
      </c>
      <c r="Y13" s="514"/>
      <c r="Z13" s="514"/>
      <c r="AA13" s="514"/>
      <c r="AB13" s="514"/>
      <c r="AC13" s="514"/>
      <c r="AD13" s="514"/>
      <c r="AE13" s="514"/>
      <c r="AF13" s="515"/>
      <c r="AG13" s="516">
        <f t="shared" si="21"/>
        <v>4400000</v>
      </c>
      <c r="AI13" s="493" t="str">
        <f t="shared" si="6"/>
        <v>Taksa mbi truallin</v>
      </c>
      <c r="AJ13" s="517"/>
      <c r="AK13" s="483">
        <f t="shared" si="7"/>
        <v>3498050</v>
      </c>
      <c r="AL13" s="483">
        <f t="shared" si="8"/>
        <v>3254836</v>
      </c>
      <c r="AM13" s="483">
        <f t="shared" si="9"/>
        <v>4400000</v>
      </c>
      <c r="AN13" s="491">
        <f t="shared" si="10"/>
        <v>4671597.2565890001</v>
      </c>
      <c r="AO13" s="491">
        <f t="shared" si="11"/>
        <v>5067523.7630779995</v>
      </c>
      <c r="AP13" s="491">
        <f t="shared" si="12"/>
        <v>5463450.2695669997</v>
      </c>
      <c r="AQ13" s="491">
        <f t="shared" si="13"/>
        <v>5195302.027198974</v>
      </c>
      <c r="AR13" s="491">
        <f t="shared" si="14"/>
        <v>5601497.4720019633</v>
      </c>
      <c r="AS13" s="491">
        <f t="shared" si="15"/>
        <v>6019763.0419109557</v>
      </c>
      <c r="AT13" s="624">
        <f>'(E1) Vlerësimi i burimeve'!O13</f>
        <v>4488000</v>
      </c>
      <c r="AU13" s="625" t="str">
        <f t="shared" si="3"/>
        <v>Plausible</v>
      </c>
      <c r="AV13" s="624">
        <f>'(E1) Vlerësimi i burimeve'!X13</f>
        <v>4577760</v>
      </c>
      <c r="AW13" s="625" t="str">
        <f t="shared" si="4"/>
        <v>Plausible</v>
      </c>
      <c r="AX13" s="624">
        <f>'(E1) Vlerësimi i burimeve'!AG13</f>
        <v>4669315.2</v>
      </c>
      <c r="AY13" s="625" t="str">
        <f t="shared" si="5"/>
        <v>ATTENTION</v>
      </c>
      <c r="AZ13" s="491">
        <f t="shared" si="16"/>
        <v>4147892.4859790262</v>
      </c>
      <c r="BA13" s="491">
        <f t="shared" si="17"/>
        <v>4533550.0541540356</v>
      </c>
      <c r="BB13" s="491">
        <f t="shared" si="18"/>
        <v>4907137.4972230438</v>
      </c>
    </row>
    <row r="14" spans="1:54" s="492" customFormat="1" ht="15.75" thickBot="1" x14ac:dyDescent="0.3">
      <c r="A14" s="520" t="str">
        <f>'(C2) Burimet viti kaluar'!C14</f>
        <v>A.1.2.4</v>
      </c>
      <c r="B14" s="1187" t="str">
        <f>'(G1) Fjalori'!A225</f>
        <v>Taksa mbi transaksionet e pasurisë</v>
      </c>
      <c r="C14" s="1188"/>
      <c r="D14" s="513">
        <f>'(C2) Burimet viti kaluar'!D14</f>
        <v>0</v>
      </c>
      <c r="E14" s="513">
        <f>'(C2) Burimet viti kaluar'!E14</f>
        <v>0</v>
      </c>
      <c r="F14" s="513">
        <f>'(C2) Burimet viti kaluar'!F14</f>
        <v>0</v>
      </c>
      <c r="G14" s="514">
        <v>0.02</v>
      </c>
      <c r="H14" s="514"/>
      <c r="I14" s="514"/>
      <c r="J14" s="514"/>
      <c r="K14" s="514">
        <v>0.1</v>
      </c>
      <c r="L14" s="514"/>
      <c r="M14" s="514"/>
      <c r="N14" s="515"/>
      <c r="O14" s="516">
        <f t="shared" si="19"/>
        <v>0</v>
      </c>
      <c r="P14" s="514">
        <v>0.02</v>
      </c>
      <c r="Q14" s="514"/>
      <c r="R14" s="514"/>
      <c r="S14" s="514"/>
      <c r="T14" s="514">
        <v>0.05</v>
      </c>
      <c r="U14" s="514">
        <v>0.2</v>
      </c>
      <c r="V14" s="514"/>
      <c r="W14" s="515"/>
      <c r="X14" s="516">
        <f t="shared" si="20"/>
        <v>0</v>
      </c>
      <c r="Y14" s="514"/>
      <c r="Z14" s="514">
        <v>0.02</v>
      </c>
      <c r="AA14" s="514"/>
      <c r="AB14" s="514"/>
      <c r="AC14" s="514">
        <v>0.05</v>
      </c>
      <c r="AD14" s="514"/>
      <c r="AE14" s="514"/>
      <c r="AF14" s="515"/>
      <c r="AG14" s="516">
        <f t="shared" si="21"/>
        <v>0</v>
      </c>
      <c r="AI14" s="493" t="str">
        <f t="shared" si="6"/>
        <v>Taksa mbi transaksionet e pasurisë</v>
      </c>
      <c r="AJ14" s="517"/>
      <c r="AK14" s="483">
        <f t="shared" si="7"/>
        <v>0</v>
      </c>
      <c r="AL14" s="483">
        <f t="shared" si="8"/>
        <v>0</v>
      </c>
      <c r="AM14" s="483">
        <f t="shared" si="9"/>
        <v>0</v>
      </c>
      <c r="AN14" s="491">
        <f t="shared" si="10"/>
        <v>0</v>
      </c>
      <c r="AO14" s="491">
        <f t="shared" si="11"/>
        <v>0</v>
      </c>
      <c r="AP14" s="491">
        <f t="shared" si="12"/>
        <v>0</v>
      </c>
      <c r="AQ14" s="491">
        <f t="shared" si="13"/>
        <v>0</v>
      </c>
      <c r="AR14" s="491">
        <f t="shared" si="14"/>
        <v>0</v>
      </c>
      <c r="AS14" s="491">
        <f t="shared" si="15"/>
        <v>0</v>
      </c>
      <c r="AT14" s="624">
        <f>'(E1) Vlerësimi i burimeve'!O14</f>
        <v>0</v>
      </c>
      <c r="AU14" s="625" t="str">
        <f t="shared" si="3"/>
        <v>Plausible</v>
      </c>
      <c r="AV14" s="624">
        <f>'(E1) Vlerësimi i burimeve'!X14</f>
        <v>0</v>
      </c>
      <c r="AW14" s="625" t="str">
        <f t="shared" si="4"/>
        <v>Plausible</v>
      </c>
      <c r="AX14" s="624">
        <f>'(E1) Vlerësimi i burimeve'!AG14</f>
        <v>0</v>
      </c>
      <c r="AY14" s="625" t="str">
        <f t="shared" si="5"/>
        <v>Plausible</v>
      </c>
      <c r="AZ14" s="491">
        <f t="shared" si="16"/>
        <v>0</v>
      </c>
      <c r="BA14" s="491">
        <f t="shared" si="17"/>
        <v>0</v>
      </c>
      <c r="BB14" s="491">
        <f t="shared" si="18"/>
        <v>0</v>
      </c>
    </row>
    <row r="15" spans="1:54" s="509" customFormat="1" ht="15.75" thickBot="1" x14ac:dyDescent="0.3">
      <c r="A15" s="510" t="str">
        <f>'(C2) Burimet viti kaluar'!C15</f>
        <v>A.1.3</v>
      </c>
      <c r="B15" s="510" t="str">
        <f>'(G1) Fjalori'!A226</f>
        <v>Taksa vendore në shërbimin hotelier</v>
      </c>
      <c r="C15" s="511"/>
      <c r="D15" s="513">
        <f>'(C2) Burimet viti kaluar'!D15</f>
        <v>6896273</v>
      </c>
      <c r="E15" s="513">
        <f>'(C2) Burimet viti kaluar'!E15</f>
        <v>1511071</v>
      </c>
      <c r="F15" s="513">
        <f>'(C2) Burimet viti kaluar'!F15</f>
        <v>9525000</v>
      </c>
      <c r="G15" s="514"/>
      <c r="H15" s="514"/>
      <c r="I15" s="514"/>
      <c r="J15" s="514"/>
      <c r="K15" s="514"/>
      <c r="L15" s="514"/>
      <c r="M15" s="514"/>
      <c r="N15" s="515"/>
      <c r="O15" s="516">
        <f t="shared" si="19"/>
        <v>9525000</v>
      </c>
      <c r="P15" s="514"/>
      <c r="Q15" s="514"/>
      <c r="R15" s="514"/>
      <c r="S15" s="514"/>
      <c r="T15" s="514"/>
      <c r="U15" s="514"/>
      <c r="V15" s="514"/>
      <c r="W15" s="515"/>
      <c r="X15" s="516">
        <f t="shared" si="20"/>
        <v>9525000</v>
      </c>
      <c r="Y15" s="514"/>
      <c r="Z15" s="514"/>
      <c r="AA15" s="514"/>
      <c r="AB15" s="514"/>
      <c r="AC15" s="514"/>
      <c r="AD15" s="514"/>
      <c r="AE15" s="514"/>
      <c r="AF15" s="515"/>
      <c r="AG15" s="516">
        <f t="shared" si="21"/>
        <v>9525000</v>
      </c>
      <c r="AI15" s="493" t="str">
        <f t="shared" si="6"/>
        <v>Taksa vendore në shërbimin hotelier</v>
      </c>
      <c r="AJ15" s="517"/>
      <c r="AK15" s="483">
        <f t="shared" si="7"/>
        <v>6896273</v>
      </c>
      <c r="AL15" s="483">
        <f t="shared" si="8"/>
        <v>1511071</v>
      </c>
      <c r="AM15" s="483">
        <f t="shared" si="9"/>
        <v>9525000</v>
      </c>
      <c r="AN15" s="491">
        <f t="shared" si="10"/>
        <v>9108202.4743654989</v>
      </c>
      <c r="AO15" s="491">
        <f t="shared" si="11"/>
        <v>9891297.1297810003</v>
      </c>
      <c r="AP15" s="491">
        <f t="shared" si="12"/>
        <v>10674391.7851965</v>
      </c>
      <c r="AQ15" s="491">
        <f t="shared" si="13"/>
        <v>14162437.579450708</v>
      </c>
      <c r="AR15" s="491">
        <f t="shared" si="14"/>
        <v>15044636.981340203</v>
      </c>
      <c r="AS15" s="491">
        <f t="shared" si="15"/>
        <v>16043324.247112375</v>
      </c>
      <c r="AT15" s="624">
        <f>'(E1) Vlerësimi i burimeve'!O15</f>
        <v>9620250</v>
      </c>
      <c r="AU15" s="625" t="str">
        <f t="shared" si="3"/>
        <v>Plausible</v>
      </c>
      <c r="AV15" s="624">
        <f>'(E1) Vlerësimi i burimeve'!X15</f>
        <v>9716452.5</v>
      </c>
      <c r="AW15" s="625" t="str">
        <f t="shared" si="4"/>
        <v>Plausible</v>
      </c>
      <c r="AX15" s="624">
        <f>'(E1) Vlerësimi i burimeve'!AG15</f>
        <v>9813617.0250000004</v>
      </c>
      <c r="AY15" s="625" t="str">
        <f t="shared" si="5"/>
        <v>Plausible</v>
      </c>
      <c r="AZ15" s="491">
        <f t="shared" si="16"/>
        <v>4053967.3692802899</v>
      </c>
      <c r="BA15" s="491">
        <f t="shared" si="17"/>
        <v>4737957.2782217972</v>
      </c>
      <c r="BB15" s="491">
        <f t="shared" si="18"/>
        <v>5305459.3232806241</v>
      </c>
    </row>
    <row r="16" spans="1:54" s="509" customFormat="1" ht="15.75" thickBot="1" x14ac:dyDescent="0.3">
      <c r="A16" s="510" t="str">
        <f>'(C2) Burimet viti kaluar'!C16</f>
        <v>A.1.4</v>
      </c>
      <c r="B16" s="510" t="str">
        <f>'(G1) Fjalori'!A227</f>
        <v>Taksa e ndikimit në infrastrukturë nga ndërtimet e reja</v>
      </c>
      <c r="C16" s="511"/>
      <c r="D16" s="513">
        <f>'(C2) Burimet viti kaluar'!D16</f>
        <v>7651736</v>
      </c>
      <c r="E16" s="513">
        <f>'(C2) Burimet viti kaluar'!E16</f>
        <v>7284415</v>
      </c>
      <c r="F16" s="513">
        <f>'(C2) Burimet viti kaluar'!F16</f>
        <v>100000000</v>
      </c>
      <c r="G16" s="514"/>
      <c r="H16" s="514"/>
      <c r="I16" s="514"/>
      <c r="J16" s="514"/>
      <c r="K16" s="514"/>
      <c r="L16" s="514"/>
      <c r="M16" s="514"/>
      <c r="N16" s="515"/>
      <c r="O16" s="516">
        <f t="shared" si="19"/>
        <v>100000000</v>
      </c>
      <c r="P16" s="514"/>
      <c r="Q16" s="514"/>
      <c r="R16" s="514"/>
      <c r="S16" s="514"/>
      <c r="T16" s="514"/>
      <c r="U16" s="514"/>
      <c r="V16" s="514"/>
      <c r="W16" s="515"/>
      <c r="X16" s="516">
        <f t="shared" si="20"/>
        <v>100000000</v>
      </c>
      <c r="Y16" s="514"/>
      <c r="Z16" s="514"/>
      <c r="AA16" s="514"/>
      <c r="AB16" s="514"/>
      <c r="AC16" s="514"/>
      <c r="AD16" s="514"/>
      <c r="AE16" s="514"/>
      <c r="AF16" s="515"/>
      <c r="AG16" s="516">
        <f t="shared" si="21"/>
        <v>100000000</v>
      </c>
      <c r="AI16" s="493" t="str">
        <f t="shared" si="6"/>
        <v>Taksa e ndikimit në infrastrukturë nga ndërtimet e reja</v>
      </c>
      <c r="AJ16" s="517"/>
      <c r="AK16" s="483">
        <f t="shared" si="7"/>
        <v>7651736</v>
      </c>
      <c r="AL16" s="483">
        <f t="shared" si="8"/>
        <v>7284415</v>
      </c>
      <c r="AM16" s="483">
        <f t="shared" si="9"/>
        <v>100000000</v>
      </c>
      <c r="AN16" s="491">
        <f t="shared" si="10"/>
        <v>134147867.086253</v>
      </c>
      <c r="AO16" s="491">
        <f t="shared" si="11"/>
        <v>176631308.40480602</v>
      </c>
      <c r="AP16" s="491">
        <f t="shared" si="12"/>
        <v>219114749.72335899</v>
      </c>
      <c r="AQ16" s="491">
        <f t="shared" si="13"/>
        <v>169259315.07407749</v>
      </c>
      <c r="AR16" s="491">
        <f t="shared" si="14"/>
        <v>212431230.72728643</v>
      </c>
      <c r="AS16" s="491">
        <f t="shared" si="15"/>
        <v>256412380.11990216</v>
      </c>
      <c r="AT16" s="624">
        <f>'(E1) Vlerësimi i burimeve'!O16</f>
        <v>101701997</v>
      </c>
      <c r="AU16" s="625" t="str">
        <f t="shared" si="3"/>
        <v>Plausible</v>
      </c>
      <c r="AV16" s="624">
        <f>'(E1) Vlerësimi i burimeve'!X16</f>
        <v>101701997</v>
      </c>
      <c r="AW16" s="625" t="str">
        <f t="shared" si="4"/>
        <v>ATTENTION</v>
      </c>
      <c r="AX16" s="624">
        <f>'(E1) Vlerësimi i burimeve'!AG16</f>
        <v>101701997</v>
      </c>
      <c r="AY16" s="625" t="str">
        <f t="shared" si="5"/>
        <v>ATTENTION</v>
      </c>
      <c r="AZ16" s="491">
        <f t="shared" si="16"/>
        <v>99036419.098428518</v>
      </c>
      <c r="BA16" s="491">
        <f t="shared" si="17"/>
        <v>140831386.08232561</v>
      </c>
      <c r="BB16" s="491">
        <f t="shared" si="18"/>
        <v>181817119.32681581</v>
      </c>
    </row>
    <row r="17" spans="1:54" s="509" customFormat="1" ht="15.75" thickBot="1" x14ac:dyDescent="0.3">
      <c r="A17" s="510" t="str">
        <f>'(C2) Burimet viti kaluar'!C17</f>
        <v>A.1.5</v>
      </c>
      <c r="B17" s="510" t="str">
        <f>'(G1) Fjalori'!A228</f>
        <v>Taksa e tabelës</v>
      </c>
      <c r="C17" s="511"/>
      <c r="D17" s="513">
        <f>'(C2) Burimet viti kaluar'!D17</f>
        <v>1564880</v>
      </c>
      <c r="E17" s="513">
        <f>'(C2) Burimet viti kaluar'!E17</f>
        <v>6265672</v>
      </c>
      <c r="F17" s="513">
        <f>'(C2) Burimet viti kaluar'!F17</f>
        <v>5710000</v>
      </c>
      <c r="G17" s="514"/>
      <c r="H17" s="514"/>
      <c r="I17" s="514"/>
      <c r="J17" s="514"/>
      <c r="K17" s="514"/>
      <c r="L17" s="514"/>
      <c r="M17" s="514"/>
      <c r="N17" s="515"/>
      <c r="O17" s="516">
        <f t="shared" si="19"/>
        <v>5710000</v>
      </c>
      <c r="P17" s="514"/>
      <c r="Q17" s="514"/>
      <c r="R17" s="514"/>
      <c r="S17" s="514"/>
      <c r="T17" s="514"/>
      <c r="U17" s="514"/>
      <c r="V17" s="514"/>
      <c r="W17" s="515"/>
      <c r="X17" s="516">
        <f t="shared" si="20"/>
        <v>5710000</v>
      </c>
      <c r="Y17" s="514"/>
      <c r="Z17" s="514"/>
      <c r="AA17" s="514"/>
      <c r="AB17" s="514"/>
      <c r="AC17" s="514"/>
      <c r="AD17" s="514"/>
      <c r="AE17" s="514"/>
      <c r="AF17" s="515"/>
      <c r="AG17" s="516">
        <f t="shared" si="21"/>
        <v>5710000</v>
      </c>
      <c r="AI17" s="493" t="str">
        <f t="shared" si="6"/>
        <v>Taksa e tabelës</v>
      </c>
      <c r="AJ17" s="517"/>
      <c r="AK17" s="483">
        <f t="shared" si="7"/>
        <v>1564880</v>
      </c>
      <c r="AL17" s="483">
        <f t="shared" si="8"/>
        <v>6265672</v>
      </c>
      <c r="AM17" s="483">
        <f t="shared" si="9"/>
        <v>5710000</v>
      </c>
      <c r="AN17" s="491">
        <f t="shared" si="10"/>
        <v>8461692.5205679983</v>
      </c>
      <c r="AO17" s="491">
        <f t="shared" si="11"/>
        <v>10742668.689935999</v>
      </c>
      <c r="AP17" s="491">
        <f t="shared" si="12"/>
        <v>13023644.859304</v>
      </c>
      <c r="AQ17" s="491">
        <f t="shared" si="13"/>
        <v>10444463.259761205</v>
      </c>
      <c r="AR17" s="491">
        <f t="shared" si="14"/>
        <v>12764318.109550323</v>
      </c>
      <c r="AS17" s="491">
        <f t="shared" si="15"/>
        <v>15129871.017141562</v>
      </c>
      <c r="AT17" s="624">
        <f>'(E1) Vlerësimi i burimeve'!O17</f>
        <v>5710003</v>
      </c>
      <c r="AU17" s="625" t="str">
        <f t="shared" si="3"/>
        <v>ATTENTION</v>
      </c>
      <c r="AV17" s="624">
        <f>'(E1) Vlerësimi i burimeve'!X17</f>
        <v>5767104.0300000003</v>
      </c>
      <c r="AW17" s="625" t="str">
        <f t="shared" si="4"/>
        <v>ATTENTION</v>
      </c>
      <c r="AX17" s="624">
        <f>'(E1) Vlerësimi i burimeve'!AG17</f>
        <v>5824774.0703000007</v>
      </c>
      <c r="AY17" s="625" t="str">
        <f t="shared" si="5"/>
        <v>ATTENTION</v>
      </c>
      <c r="AZ17" s="491">
        <f t="shared" si="16"/>
        <v>6478921.7813747916</v>
      </c>
      <c r="BA17" s="491">
        <f t="shared" si="17"/>
        <v>8721019.2703216746</v>
      </c>
      <c r="BB17" s="491">
        <f t="shared" si="18"/>
        <v>10917418.701466437</v>
      </c>
    </row>
    <row r="18" spans="1:54" s="509" customFormat="1" ht="15.75" thickBot="1" x14ac:dyDescent="0.3">
      <c r="A18" s="510" t="str">
        <f>'(C2) Burimet viti kaluar'!C18</f>
        <v>A.1.6</v>
      </c>
      <c r="B18" s="510" t="str">
        <f>'(G1) Fjalori'!A229</f>
        <v>Taksa vendore mbi të ardhurat e krijuara nga dhuratat, trashëgimi, testament dhe llotaritë vendore</v>
      </c>
      <c r="C18" s="511"/>
      <c r="D18" s="513">
        <f>'(C2) Burimet viti kaluar'!D18</f>
        <v>0</v>
      </c>
      <c r="E18" s="513">
        <f>'(C2) Burimet viti kaluar'!E18</f>
        <v>0</v>
      </c>
      <c r="F18" s="513">
        <f>'(C2) Burimet viti kaluar'!F18</f>
        <v>0</v>
      </c>
      <c r="G18" s="514"/>
      <c r="H18" s="514"/>
      <c r="I18" s="514"/>
      <c r="J18" s="514"/>
      <c r="K18" s="514"/>
      <c r="L18" s="514"/>
      <c r="M18" s="514"/>
      <c r="N18" s="515"/>
      <c r="O18" s="516">
        <f t="shared" si="19"/>
        <v>0</v>
      </c>
      <c r="P18" s="514"/>
      <c r="Q18" s="514"/>
      <c r="R18" s="514"/>
      <c r="S18" s="514"/>
      <c r="T18" s="514"/>
      <c r="U18" s="514"/>
      <c r="V18" s="514"/>
      <c r="W18" s="515"/>
      <c r="X18" s="516">
        <f t="shared" si="20"/>
        <v>0</v>
      </c>
      <c r="Y18" s="514"/>
      <c r="Z18" s="514"/>
      <c r="AA18" s="514"/>
      <c r="AB18" s="514"/>
      <c r="AC18" s="514"/>
      <c r="AD18" s="514"/>
      <c r="AE18" s="514"/>
      <c r="AF18" s="515"/>
      <c r="AG18" s="516">
        <f t="shared" si="21"/>
        <v>0</v>
      </c>
      <c r="AI18" s="493" t="str">
        <f t="shared" si="6"/>
        <v>Taksa vendore mbi të ardhurat e krijuara nga dhuratat, trashëgimi, testament dhe llotaritë vendore</v>
      </c>
      <c r="AJ18" s="517"/>
      <c r="AK18" s="483">
        <f t="shared" si="7"/>
        <v>0</v>
      </c>
      <c r="AL18" s="483">
        <f t="shared" si="8"/>
        <v>0</v>
      </c>
      <c r="AM18" s="483">
        <f t="shared" si="9"/>
        <v>0</v>
      </c>
      <c r="AN18" s="491">
        <f t="shared" si="10"/>
        <v>0</v>
      </c>
      <c r="AO18" s="491">
        <f t="shared" si="11"/>
        <v>0</v>
      </c>
      <c r="AP18" s="491">
        <f t="shared" si="12"/>
        <v>0</v>
      </c>
      <c r="AQ18" s="491">
        <f t="shared" si="13"/>
        <v>0</v>
      </c>
      <c r="AR18" s="491">
        <f t="shared" si="14"/>
        <v>0</v>
      </c>
      <c r="AS18" s="491">
        <f t="shared" si="15"/>
        <v>0</v>
      </c>
      <c r="AT18" s="624">
        <f>'(E1) Vlerësimi i burimeve'!O18</f>
        <v>0</v>
      </c>
      <c r="AU18" s="625" t="str">
        <f t="shared" si="3"/>
        <v>Plausible</v>
      </c>
      <c r="AV18" s="624">
        <f>'(E1) Vlerësimi i burimeve'!X18</f>
        <v>0</v>
      </c>
      <c r="AW18" s="625" t="str">
        <f t="shared" si="4"/>
        <v>Plausible</v>
      </c>
      <c r="AX18" s="624">
        <f>'(E1) Vlerësimi i burimeve'!AG18</f>
        <v>0</v>
      </c>
      <c r="AY18" s="625" t="str">
        <f t="shared" si="5"/>
        <v>Plausible</v>
      </c>
      <c r="AZ18" s="491">
        <f t="shared" si="16"/>
        <v>0</v>
      </c>
      <c r="BA18" s="491">
        <f t="shared" si="17"/>
        <v>0</v>
      </c>
      <c r="BB18" s="491">
        <f t="shared" si="18"/>
        <v>0</v>
      </c>
    </row>
    <row r="19" spans="1:54" s="509" customFormat="1" ht="15.75" thickBot="1" x14ac:dyDescent="0.3">
      <c r="A19" s="510" t="str">
        <f>'(C2) Burimet viti kaluar'!C19</f>
        <v>A.1.7</v>
      </c>
      <c r="B19" s="510" t="str">
        <f>'(G1) Fjalori'!A230</f>
        <v>Taksa e përkohëshme</v>
      </c>
      <c r="C19" s="619" t="str">
        <f>'(C2) Burimet viti kaluar'!B19</f>
        <v>aaa</v>
      </c>
      <c r="D19" s="513">
        <f>'(C2) Burimet viti kaluar'!D19</f>
        <v>0</v>
      </c>
      <c r="E19" s="513">
        <f>'(C2) Burimet viti kaluar'!E19</f>
        <v>0</v>
      </c>
      <c r="F19" s="513">
        <f>'(C2) Burimet viti kaluar'!F19</f>
        <v>0</v>
      </c>
      <c r="G19" s="514"/>
      <c r="H19" s="514"/>
      <c r="I19" s="514"/>
      <c r="J19" s="514"/>
      <c r="K19" s="514"/>
      <c r="L19" s="514"/>
      <c r="M19" s="514"/>
      <c r="N19" s="515"/>
      <c r="O19" s="516">
        <f t="shared" si="19"/>
        <v>0</v>
      </c>
      <c r="P19" s="514"/>
      <c r="Q19" s="514"/>
      <c r="R19" s="514"/>
      <c r="S19" s="514"/>
      <c r="T19" s="514"/>
      <c r="U19" s="514"/>
      <c r="V19" s="514"/>
      <c r="W19" s="515"/>
      <c r="X19" s="516">
        <f t="shared" si="20"/>
        <v>0</v>
      </c>
      <c r="Y19" s="514"/>
      <c r="Z19" s="514"/>
      <c r="AA19" s="514"/>
      <c r="AB19" s="514"/>
      <c r="AC19" s="514"/>
      <c r="AD19" s="514"/>
      <c r="AE19" s="514"/>
      <c r="AF19" s="515"/>
      <c r="AG19" s="516">
        <f t="shared" si="21"/>
        <v>0</v>
      </c>
      <c r="AI19" s="493" t="str">
        <f t="shared" si="6"/>
        <v>Taksa e përkohëshme</v>
      </c>
      <c r="AJ19" s="517"/>
      <c r="AK19" s="483">
        <f t="shared" si="7"/>
        <v>0</v>
      </c>
      <c r="AL19" s="483">
        <f t="shared" si="8"/>
        <v>0</v>
      </c>
      <c r="AM19" s="483">
        <f t="shared" si="9"/>
        <v>0</v>
      </c>
      <c r="AN19" s="491">
        <f t="shared" si="10"/>
        <v>0</v>
      </c>
      <c r="AO19" s="491">
        <f t="shared" si="11"/>
        <v>0</v>
      </c>
      <c r="AP19" s="491">
        <f t="shared" si="12"/>
        <v>0</v>
      </c>
      <c r="AQ19" s="491">
        <f t="shared" si="13"/>
        <v>0</v>
      </c>
      <c r="AR19" s="491">
        <f t="shared" si="14"/>
        <v>0</v>
      </c>
      <c r="AS19" s="491">
        <f t="shared" si="15"/>
        <v>0</v>
      </c>
      <c r="AT19" s="624">
        <f>'(E1) Vlerësimi i burimeve'!O19</f>
        <v>0</v>
      </c>
      <c r="AU19" s="625" t="str">
        <f t="shared" si="3"/>
        <v>Plausible</v>
      </c>
      <c r="AV19" s="624">
        <f>'(E1) Vlerësimi i burimeve'!X19</f>
        <v>0</v>
      </c>
      <c r="AW19" s="625" t="str">
        <f t="shared" si="4"/>
        <v>Plausible</v>
      </c>
      <c r="AX19" s="624">
        <f>'(E1) Vlerësimi i burimeve'!AG19</f>
        <v>0</v>
      </c>
      <c r="AY19" s="625" t="str">
        <f t="shared" si="5"/>
        <v>Plausible</v>
      </c>
      <c r="AZ19" s="491">
        <f t="shared" si="16"/>
        <v>0</v>
      </c>
      <c r="BA19" s="491">
        <f t="shared" si="17"/>
        <v>0</v>
      </c>
      <c r="BB19" s="491">
        <f t="shared" si="18"/>
        <v>0</v>
      </c>
    </row>
    <row r="20" spans="1:54" s="509" customFormat="1" ht="15.75" thickBot="1" x14ac:dyDescent="0.3">
      <c r="A20" s="510" t="str">
        <f>'(C2) Burimet viti kaluar'!C20</f>
        <v>A.1.8</v>
      </c>
      <c r="B20" s="510" t="str">
        <f>'(G1) Fjalori'!A231</f>
        <v>Taksa e përkohëshme 1</v>
      </c>
      <c r="C20" s="619" t="str">
        <f>'(C2) Burimet viti kaluar'!B20</f>
        <v>bbb</v>
      </c>
      <c r="D20" s="513">
        <f>'(C2) Burimet viti kaluar'!D20</f>
        <v>7828283</v>
      </c>
      <c r="E20" s="513">
        <f>'(C2) Burimet viti kaluar'!E20</f>
        <v>0</v>
      </c>
      <c r="F20" s="513">
        <f>'(C2) Burimet viti kaluar'!F20</f>
        <v>0</v>
      </c>
      <c r="G20" s="514"/>
      <c r="H20" s="514"/>
      <c r="I20" s="514"/>
      <c r="J20" s="514"/>
      <c r="K20" s="514"/>
      <c r="L20" s="514"/>
      <c r="M20" s="514"/>
      <c r="N20" s="515"/>
      <c r="O20" s="516">
        <f t="shared" si="19"/>
        <v>0</v>
      </c>
      <c r="P20" s="514"/>
      <c r="Q20" s="514"/>
      <c r="R20" s="514"/>
      <c r="S20" s="514"/>
      <c r="T20" s="514"/>
      <c r="U20" s="514"/>
      <c r="V20" s="514"/>
      <c r="W20" s="515"/>
      <c r="X20" s="516">
        <f t="shared" si="20"/>
        <v>0</v>
      </c>
      <c r="Y20" s="514"/>
      <c r="Z20" s="514"/>
      <c r="AA20" s="514"/>
      <c r="AB20" s="514"/>
      <c r="AC20" s="514"/>
      <c r="AD20" s="514"/>
      <c r="AE20" s="514"/>
      <c r="AF20" s="515"/>
      <c r="AG20" s="516">
        <f t="shared" si="21"/>
        <v>0</v>
      </c>
      <c r="AI20" s="493" t="str">
        <f t="shared" si="6"/>
        <v>Taksa e përkohëshme 1</v>
      </c>
      <c r="AJ20" s="517"/>
      <c r="AK20" s="483">
        <f t="shared" si="7"/>
        <v>7828283</v>
      </c>
      <c r="AL20" s="483">
        <f t="shared" si="8"/>
        <v>0</v>
      </c>
      <c r="AM20" s="483">
        <f t="shared" si="9"/>
        <v>0</v>
      </c>
      <c r="AN20" s="491">
        <f t="shared" si="10"/>
        <v>-4925551.749458502</v>
      </c>
      <c r="AO20" s="491">
        <f t="shared" si="11"/>
        <v>-9150080.7562670019</v>
      </c>
      <c r="AP20" s="491">
        <f t="shared" si="12"/>
        <v>-13374609.763075503</v>
      </c>
      <c r="AQ20" s="491">
        <f t="shared" si="13"/>
        <v>-1972674.9732599743</v>
      </c>
      <c r="AR20" s="491">
        <f t="shared" si="14"/>
        <v>-6139303.2100825934</v>
      </c>
      <c r="AS20" s="491">
        <f t="shared" si="15"/>
        <v>-10237874.797221061</v>
      </c>
      <c r="AT20" s="624">
        <f>'(E1) Vlerësimi i burimeve'!O20</f>
        <v>0</v>
      </c>
      <c r="AU20" s="625" t="str">
        <f t="shared" si="3"/>
        <v>ATTENTION</v>
      </c>
      <c r="AV20" s="624">
        <f>'(E1) Vlerësimi i burimeve'!X20</f>
        <v>0</v>
      </c>
      <c r="AW20" s="625" t="str">
        <f t="shared" si="4"/>
        <v>ATTENTION</v>
      </c>
      <c r="AX20" s="624">
        <f>'(E1) Vlerësimi i burimeve'!AG20</f>
        <v>0</v>
      </c>
      <c r="AY20" s="625" t="str">
        <f t="shared" si="5"/>
        <v>ATTENTION</v>
      </c>
      <c r="AZ20" s="491">
        <f t="shared" si="16"/>
        <v>-7878428.5256570298</v>
      </c>
      <c r="BA20" s="491">
        <f t="shared" si="17"/>
        <v>-12160858.302451409</v>
      </c>
      <c r="BB20" s="491">
        <f t="shared" si="18"/>
        <v>-16511344.728929944</v>
      </c>
    </row>
    <row r="21" spans="1:54" s="509" customFormat="1" ht="15.75" thickBot="1" x14ac:dyDescent="0.3">
      <c r="A21" s="510" t="str">
        <f>'(C2) Burimet viti kaluar'!C21</f>
        <v>A.1.9</v>
      </c>
      <c r="B21" s="510" t="str">
        <f>'(G1) Fjalori'!A232</f>
        <v>Taksa e përkohëshme 2</v>
      </c>
      <c r="C21" s="619" t="str">
        <f>'(C2) Burimet viti kaluar'!B21</f>
        <v>ccc</v>
      </c>
      <c r="D21" s="513">
        <f>'(C2) Burimet viti kaluar'!D21</f>
        <v>0</v>
      </c>
      <c r="E21" s="513">
        <f>'(C2) Burimet viti kaluar'!E21</f>
        <v>0</v>
      </c>
      <c r="F21" s="513">
        <f>'(C2) Burimet viti kaluar'!F21</f>
        <v>0</v>
      </c>
      <c r="G21" s="514"/>
      <c r="H21" s="514"/>
      <c r="I21" s="514"/>
      <c r="J21" s="514"/>
      <c r="K21" s="514"/>
      <c r="L21" s="514"/>
      <c r="M21" s="514"/>
      <c r="N21" s="515"/>
      <c r="O21" s="516">
        <f t="shared" si="19"/>
        <v>0</v>
      </c>
      <c r="P21" s="514"/>
      <c r="Q21" s="514"/>
      <c r="R21" s="514"/>
      <c r="S21" s="514"/>
      <c r="T21" s="514"/>
      <c r="U21" s="514"/>
      <c r="V21" s="514"/>
      <c r="W21" s="515"/>
      <c r="X21" s="516">
        <f t="shared" si="20"/>
        <v>0</v>
      </c>
      <c r="Y21" s="514"/>
      <c r="Z21" s="514"/>
      <c r="AA21" s="514"/>
      <c r="AB21" s="514"/>
      <c r="AC21" s="514"/>
      <c r="AD21" s="514"/>
      <c r="AE21" s="514"/>
      <c r="AF21" s="515"/>
      <c r="AG21" s="516">
        <f t="shared" si="21"/>
        <v>0</v>
      </c>
      <c r="AI21" s="493" t="str">
        <f t="shared" si="6"/>
        <v>Taksa e përkohëshme 2</v>
      </c>
      <c r="AJ21" s="517"/>
      <c r="AK21" s="483">
        <f t="shared" si="7"/>
        <v>0</v>
      </c>
      <c r="AL21" s="483">
        <f t="shared" si="8"/>
        <v>0</v>
      </c>
      <c r="AM21" s="483">
        <f t="shared" si="9"/>
        <v>0</v>
      </c>
      <c r="AN21" s="491">
        <f t="shared" si="10"/>
        <v>0</v>
      </c>
      <c r="AO21" s="491">
        <f t="shared" si="11"/>
        <v>0</v>
      </c>
      <c r="AP21" s="491">
        <f t="shared" si="12"/>
        <v>0</v>
      </c>
      <c r="AQ21" s="491">
        <f t="shared" si="13"/>
        <v>0</v>
      </c>
      <c r="AR21" s="491">
        <f t="shared" si="14"/>
        <v>0</v>
      </c>
      <c r="AS21" s="491">
        <f t="shared" si="15"/>
        <v>0</v>
      </c>
      <c r="AT21" s="624">
        <f>'(E1) Vlerësimi i burimeve'!O21</f>
        <v>0</v>
      </c>
      <c r="AU21" s="625" t="str">
        <f t="shared" si="3"/>
        <v>Plausible</v>
      </c>
      <c r="AV21" s="624">
        <f>'(E1) Vlerësimi i burimeve'!X21</f>
        <v>0</v>
      </c>
      <c r="AW21" s="625" t="str">
        <f t="shared" si="4"/>
        <v>Plausible</v>
      </c>
      <c r="AX21" s="624">
        <f>'(E1) Vlerësimi i burimeve'!AG21</f>
        <v>0</v>
      </c>
      <c r="AY21" s="625" t="str">
        <f t="shared" si="5"/>
        <v>Plausible</v>
      </c>
      <c r="AZ21" s="491">
        <f t="shared" si="16"/>
        <v>0</v>
      </c>
      <c r="BA21" s="491">
        <f t="shared" si="17"/>
        <v>0</v>
      </c>
      <c r="BB21" s="491">
        <f t="shared" si="18"/>
        <v>0</v>
      </c>
    </row>
    <row r="22" spans="1:54" s="492" customFormat="1" ht="15.75" thickBot="1" x14ac:dyDescent="0.3">
      <c r="A22" s="506" t="str">
        <f>'(C2) Burimet viti kaluar'!C28</f>
        <v>A.3</v>
      </c>
      <c r="B22" s="1189" t="str">
        <f>'(G1) Fjalori'!A239</f>
        <v>TË ARDHURA NGA TARIFA VENDORE</v>
      </c>
      <c r="C22" s="1190"/>
      <c r="D22" s="507">
        <f>'(C2) Burimet viti kaluar'!D28</f>
        <v>170597464</v>
      </c>
      <c r="E22" s="507">
        <f>'(C2) Burimet viti kaluar'!E28</f>
        <v>172854265</v>
      </c>
      <c r="F22" s="507">
        <f>'(C2) Burimet viti kaluar'!F28</f>
        <v>278604000</v>
      </c>
      <c r="G22" s="552"/>
      <c r="H22" s="552"/>
      <c r="I22" s="552"/>
      <c r="J22" s="552"/>
      <c r="K22" s="552"/>
      <c r="L22" s="552"/>
      <c r="M22" s="552"/>
      <c r="N22" s="552"/>
      <c r="O22" s="507">
        <f>SUM(O23:O63)-O50-O36-O32-O28-O23</f>
        <v>265940000</v>
      </c>
      <c r="P22" s="552"/>
      <c r="Q22" s="552"/>
      <c r="R22" s="552"/>
      <c r="S22" s="552"/>
      <c r="T22" s="552"/>
      <c r="U22" s="552"/>
      <c r="V22" s="552"/>
      <c r="W22" s="552"/>
      <c r="X22" s="508">
        <f>SUM(X23:X63)-X50-X36-X32-X28-X23</f>
        <v>282105100</v>
      </c>
      <c r="Y22" s="553"/>
      <c r="Z22" s="552"/>
      <c r="AA22" s="552"/>
      <c r="AB22" s="552"/>
      <c r="AC22" s="552"/>
      <c r="AD22" s="552"/>
      <c r="AE22" s="552"/>
      <c r="AF22" s="552"/>
      <c r="AG22" s="507">
        <f>SUM(AG23:AG63)-AG50-AG36-AG32-AG28-AG23</f>
        <v>301509150</v>
      </c>
      <c r="AH22" s="554"/>
      <c r="AI22" s="560" t="str">
        <f t="shared" si="6"/>
        <v>TË ARDHURA NGA TARIFA VENDORE</v>
      </c>
      <c r="AJ22" s="561"/>
      <c r="AK22" s="556">
        <f t="shared" si="7"/>
        <v>170597464</v>
      </c>
      <c r="AL22" s="556">
        <f t="shared" si="8"/>
        <v>172854265</v>
      </c>
      <c r="AM22" s="556">
        <f t="shared" si="9"/>
        <v>278604000</v>
      </c>
      <c r="AN22" s="557">
        <f t="shared" si="10"/>
        <v>319236032.67366701</v>
      </c>
      <c r="AO22" s="557">
        <f t="shared" si="11"/>
        <v>369135857.58703405</v>
      </c>
      <c r="AP22" s="557">
        <f t="shared" si="12"/>
        <v>419035682.50040102</v>
      </c>
      <c r="AQ22" s="557">
        <f t="shared" si="13"/>
        <v>358274207.62330115</v>
      </c>
      <c r="AR22" s="557">
        <f t="shared" si="14"/>
        <v>408939503.14710701</v>
      </c>
      <c r="AS22" s="557">
        <f t="shared" si="15"/>
        <v>460504533.9454326</v>
      </c>
      <c r="AT22" s="622">
        <f>'(E1) Vlerësimi i burimeve'!O31</f>
        <v>288422526.79999995</v>
      </c>
      <c r="AU22" s="623" t="str">
        <f t="shared" si="3"/>
        <v>Plausible</v>
      </c>
      <c r="AV22" s="622">
        <f>'(E1) Vlerësimi i burimeve'!X31</f>
        <v>291128508.75699997</v>
      </c>
      <c r="AW22" s="623" t="str">
        <f t="shared" si="4"/>
        <v>ATTENTION</v>
      </c>
      <c r="AX22" s="622">
        <f>'(E1) Vlerësimi i burimeve'!AG31</f>
        <v>293670363.87340826</v>
      </c>
      <c r="AY22" s="623" t="str">
        <f t="shared" si="5"/>
        <v>ATTENTION</v>
      </c>
      <c r="AZ22" s="557">
        <f t="shared" si="16"/>
        <v>280197857.72403288</v>
      </c>
      <c r="BA22" s="557">
        <f t="shared" si="17"/>
        <v>329332212.02696109</v>
      </c>
      <c r="BB22" s="557">
        <f t="shared" si="18"/>
        <v>377566831.05536944</v>
      </c>
    </row>
    <row r="23" spans="1:54" s="509" customFormat="1" ht="15.75" thickBot="1" x14ac:dyDescent="0.3">
      <c r="A23" s="510" t="str">
        <f>'(C2) Burimet viti kaluar'!C29</f>
        <v>A.3.1</v>
      </c>
      <c r="B23" s="522" t="str">
        <f>'(G1) Fjalori'!A240</f>
        <v>Tarifa me menaxhimit te mbetjeve</v>
      </c>
      <c r="C23" s="620"/>
      <c r="D23" s="520">
        <f>'(C2) Burimet viti kaluar'!D29</f>
        <v>74919468</v>
      </c>
      <c r="E23" s="520">
        <f>'(C2) Burimet viti kaluar'!E29</f>
        <v>77760684</v>
      </c>
      <c r="F23" s="520">
        <f>'(C2) Burimet viti kaluar'!F29</f>
        <v>123000000</v>
      </c>
      <c r="G23" s="520"/>
      <c r="H23" s="523"/>
      <c r="I23" s="523"/>
      <c r="J23" s="523"/>
      <c r="K23" s="523"/>
      <c r="L23" s="523"/>
      <c r="M23" s="523"/>
      <c r="N23" s="524"/>
      <c r="O23" s="523">
        <f>SUM(O24:O26)</f>
        <v>123300000</v>
      </c>
      <c r="P23" s="520"/>
      <c r="Q23" s="523"/>
      <c r="R23" s="523"/>
      <c r="S23" s="523"/>
      <c r="T23" s="523"/>
      <c r="U23" s="523"/>
      <c r="V23" s="523"/>
      <c r="W23" s="524"/>
      <c r="X23" s="523">
        <f>SUM(X24:X26)</f>
        <v>139465000</v>
      </c>
      <c r="Y23" s="520"/>
      <c r="Z23" s="523"/>
      <c r="AA23" s="523"/>
      <c r="AB23" s="523"/>
      <c r="AC23" s="523"/>
      <c r="AD23" s="523"/>
      <c r="AE23" s="523"/>
      <c r="AF23" s="524"/>
      <c r="AG23" s="524">
        <f>SUM(AG24:AG26)</f>
        <v>158838250</v>
      </c>
      <c r="AI23" s="493" t="str">
        <f t="shared" si="6"/>
        <v>Tarifa me menaxhimit te mbetjeve</v>
      </c>
      <c r="AJ23" s="517"/>
      <c r="AK23" s="483">
        <f t="shared" si="7"/>
        <v>74919468</v>
      </c>
      <c r="AL23" s="483">
        <f t="shared" si="8"/>
        <v>77760684</v>
      </c>
      <c r="AM23" s="483">
        <f t="shared" si="9"/>
        <v>123000000</v>
      </c>
      <c r="AN23" s="491">
        <f t="shared" si="10"/>
        <v>141562452.67905</v>
      </c>
      <c r="AO23" s="491">
        <f t="shared" si="11"/>
        <v>163921655.21310002</v>
      </c>
      <c r="AP23" s="491">
        <f t="shared" si="12"/>
        <v>186280857.74715</v>
      </c>
      <c r="AQ23" s="491">
        <f t="shared" si="13"/>
        <v>157555278.28907749</v>
      </c>
      <c r="AR23" s="491">
        <f t="shared" si="14"/>
        <v>180228072.27554923</v>
      </c>
      <c r="AS23" s="491">
        <f t="shared" si="15"/>
        <v>203269462.11362389</v>
      </c>
      <c r="AT23" s="624">
        <f>'(E1) Vlerësimi i burimeve'!O32</f>
        <v>124299999.99999999</v>
      </c>
      <c r="AU23" s="625" t="str">
        <f t="shared" si="3"/>
        <v>ATTENTION</v>
      </c>
      <c r="AV23" s="624">
        <f>'(E1) Vlerësimi i burimeve'!X32</f>
        <v>125517999.99999997</v>
      </c>
      <c r="AW23" s="625" t="str">
        <f t="shared" si="4"/>
        <v>ATTENTION</v>
      </c>
      <c r="AX23" s="624">
        <f>'(E1) Vlerësimi i burimeve'!AG32</f>
        <v>126754269.99999996</v>
      </c>
      <c r="AY23" s="625" t="str">
        <f t="shared" si="5"/>
        <v>ATTENTION</v>
      </c>
      <c r="AZ23" s="491">
        <f t="shared" si="16"/>
        <v>125569627.06902251</v>
      </c>
      <c r="BA23" s="491">
        <f t="shared" si="17"/>
        <v>147615238.1506508</v>
      </c>
      <c r="BB23" s="491">
        <f t="shared" si="18"/>
        <v>169292253.38067612</v>
      </c>
    </row>
    <row r="24" spans="1:54" s="492" customFormat="1" ht="15.75" thickBot="1" x14ac:dyDescent="0.3">
      <c r="A24" s="520" t="str">
        <f>'(C2) Burimet viti kaluar'!C30</f>
        <v>A.3.1.1</v>
      </c>
      <c r="B24" s="1187" t="str">
        <f>'(G1) Fjalori'!A241</f>
        <v>Tarifa e pastrimit për familjet</v>
      </c>
      <c r="C24" s="1188"/>
      <c r="D24" s="513">
        <f>'(C2) Burimet viti kaluar'!D30</f>
        <v>74919468</v>
      </c>
      <c r="E24" s="513">
        <f>'(C2) Burimet viti kaluar'!E30</f>
        <v>44491055</v>
      </c>
      <c r="F24" s="513">
        <f>'(C2) Burimet viti kaluar'!F30</f>
        <v>80000000</v>
      </c>
      <c r="G24" s="1185"/>
      <c r="H24" s="1186"/>
      <c r="I24" s="514"/>
      <c r="J24" s="514"/>
      <c r="K24" s="514"/>
      <c r="L24" s="514"/>
      <c r="M24" s="514"/>
      <c r="N24" s="515">
        <v>4000</v>
      </c>
      <c r="O24" s="516">
        <f>IF(F24&lt;&gt;0,F24*(1+(SUM(I24:M24))),N24)</f>
        <v>80000000</v>
      </c>
      <c r="P24" s="1185"/>
      <c r="Q24" s="1186"/>
      <c r="R24" s="514"/>
      <c r="S24" s="514"/>
      <c r="T24" s="514">
        <v>0.2</v>
      </c>
      <c r="U24" s="514"/>
      <c r="V24" s="514"/>
      <c r="W24" s="515"/>
      <c r="X24" s="516">
        <f>IF(O24&lt;&gt;0,O24*(1+(SUM(R24:V24))),W24)</f>
        <v>96000000</v>
      </c>
      <c r="Y24" s="1185"/>
      <c r="Z24" s="1186"/>
      <c r="AA24" s="514"/>
      <c r="AB24" s="514"/>
      <c r="AC24" s="514">
        <v>0.2</v>
      </c>
      <c r="AD24" s="514"/>
      <c r="AE24" s="514"/>
      <c r="AF24" s="515"/>
      <c r="AG24" s="516">
        <f>IF(X24&lt;&gt;0,X24*(1+(SUM(AA24:AE24))),AF24)</f>
        <v>115200000</v>
      </c>
      <c r="AI24" s="493" t="str">
        <f t="shared" si="6"/>
        <v>Tarifa e pastrimit për familjet</v>
      </c>
      <c r="AJ24" s="517"/>
      <c r="AK24" s="483">
        <f t="shared" si="7"/>
        <v>74919468</v>
      </c>
      <c r="AL24" s="483">
        <f t="shared" si="8"/>
        <v>44491055</v>
      </c>
      <c r="AM24" s="483">
        <f t="shared" si="9"/>
        <v>80000000</v>
      </c>
      <c r="AN24" s="491">
        <f t="shared" si="10"/>
        <v>82540266</v>
      </c>
      <c r="AO24" s="491">
        <f t="shared" si="11"/>
        <v>85080532</v>
      </c>
      <c r="AP24" s="491">
        <f t="shared" si="12"/>
        <v>87620798</v>
      </c>
      <c r="AQ24" s="491">
        <f t="shared" si="13"/>
        <v>107412245.35001689</v>
      </c>
      <c r="AR24" s="491">
        <f t="shared" si="14"/>
        <v>110079048.99685918</v>
      </c>
      <c r="AS24" s="491">
        <f t="shared" si="15"/>
        <v>112747714.36899117</v>
      </c>
      <c r="AT24" s="624">
        <f>'(E1) Vlerësimi i burimeve'!O33</f>
        <v>81199999.999999985</v>
      </c>
      <c r="AU24" s="625" t="str">
        <f t="shared" si="3"/>
        <v>Plausible</v>
      </c>
      <c r="AV24" s="624">
        <f>'(E1) Vlerësimi i burimeve'!X33</f>
        <v>82417999.99999997</v>
      </c>
      <c r="AW24" s="625" t="str">
        <f t="shared" si="4"/>
        <v>Plausible</v>
      </c>
      <c r="AX24" s="624">
        <f>'(E1) Vlerësimi i burimeve'!AG33</f>
        <v>83654269.999999955</v>
      </c>
      <c r="AY24" s="625" t="str">
        <f t="shared" si="5"/>
        <v>Plausible</v>
      </c>
      <c r="AZ24" s="491">
        <f t="shared" si="16"/>
        <v>57668286.649983115</v>
      </c>
      <c r="BA24" s="491">
        <f t="shared" si="17"/>
        <v>60082015.003140822</v>
      </c>
      <c r="BB24" s="491">
        <f t="shared" si="18"/>
        <v>62493881.631008834</v>
      </c>
    </row>
    <row r="25" spans="1:54" s="492" customFormat="1" ht="15.75" thickBot="1" x14ac:dyDescent="0.3">
      <c r="A25" s="520" t="str">
        <f>'(C2) Burimet viti kaluar'!C31</f>
        <v>A.3.1.2</v>
      </c>
      <c r="B25" s="1187" t="str">
        <f>'(G1) Fjalori'!A242</f>
        <v>Tarifa e pastrimit për institucionet</v>
      </c>
      <c r="C25" s="1188"/>
      <c r="D25" s="513">
        <f>'(C2) Burimet viti kaluar'!D31</f>
        <v>0</v>
      </c>
      <c r="E25" s="513">
        <f>'(C2) Burimet viti kaluar'!E31</f>
        <v>30269629</v>
      </c>
      <c r="F25" s="513">
        <f>'(C2) Burimet viti kaluar'!F31</f>
        <v>40000000</v>
      </c>
      <c r="G25" s="1185"/>
      <c r="H25" s="1186"/>
      <c r="I25" s="514"/>
      <c r="J25" s="514"/>
      <c r="K25" s="514"/>
      <c r="L25" s="514"/>
      <c r="M25" s="514"/>
      <c r="N25" s="515"/>
      <c r="O25" s="516">
        <f>IF(F25&lt;&gt;0,F25*(1+(SUM(I25:M25))),N25)</f>
        <v>40000000</v>
      </c>
      <c r="P25" s="1185"/>
      <c r="Q25" s="1186"/>
      <c r="R25" s="514"/>
      <c r="S25" s="514"/>
      <c r="T25" s="514"/>
      <c r="U25" s="514"/>
      <c r="V25" s="514"/>
      <c r="W25" s="515"/>
      <c r="X25" s="516">
        <f>IF(O25&lt;&gt;0,O25*(1+(SUM(R25:V25))),W25)</f>
        <v>40000000</v>
      </c>
      <c r="Y25" s="1185"/>
      <c r="Z25" s="1186"/>
      <c r="AA25" s="514"/>
      <c r="AB25" s="514"/>
      <c r="AC25" s="514"/>
      <c r="AD25" s="514"/>
      <c r="AE25" s="514"/>
      <c r="AF25" s="515"/>
      <c r="AG25" s="516">
        <f>IF(X25&lt;&gt;0,X25*(1+(SUM(AA25:AE25))),AF25)</f>
        <v>40000000</v>
      </c>
      <c r="AI25" s="493" t="str">
        <f t="shared" si="6"/>
        <v>Tarifa e pastrimit për institucionet</v>
      </c>
      <c r="AJ25" s="517"/>
      <c r="AK25" s="483">
        <f t="shared" si="7"/>
        <v>0</v>
      </c>
      <c r="AL25" s="483">
        <f t="shared" si="8"/>
        <v>30269629</v>
      </c>
      <c r="AM25" s="483">
        <f t="shared" si="9"/>
        <v>40000000</v>
      </c>
      <c r="AN25" s="491">
        <f t="shared" si="10"/>
        <v>62653661.86397101</v>
      </c>
      <c r="AO25" s="491">
        <f t="shared" si="11"/>
        <v>83468033.174042016</v>
      </c>
      <c r="AP25" s="491">
        <f t="shared" si="12"/>
        <v>104282404.48411301</v>
      </c>
      <c r="AQ25" s="491">
        <f t="shared" si="13"/>
        <v>70401197.04487209</v>
      </c>
      <c r="AR25" s="491">
        <f t="shared" si="14"/>
        <v>91367484.024463296</v>
      </c>
      <c r="AS25" s="491">
        <f t="shared" si="15"/>
        <v>112512332.90408781</v>
      </c>
      <c r="AT25" s="624">
        <f>'(E1) Vlerësimi i burimeve'!O34</f>
        <v>40000000</v>
      </c>
      <c r="AU25" s="625" t="str">
        <f t="shared" si="3"/>
        <v>ATTENTION</v>
      </c>
      <c r="AV25" s="624">
        <f>'(E1) Vlerësimi i burimeve'!X34</f>
        <v>40000000</v>
      </c>
      <c r="AW25" s="625" t="str">
        <f t="shared" si="4"/>
        <v>ATTENTION</v>
      </c>
      <c r="AX25" s="624">
        <f>'(E1) Vlerësimi i burimeve'!AG34</f>
        <v>40000000</v>
      </c>
      <c r="AY25" s="625" t="str">
        <f t="shared" si="5"/>
        <v>ATTENTION</v>
      </c>
      <c r="AZ25" s="491">
        <f t="shared" si="16"/>
        <v>54906126.683069929</v>
      </c>
      <c r="BA25" s="491">
        <f t="shared" si="17"/>
        <v>75568582.323620737</v>
      </c>
      <c r="BB25" s="491">
        <f t="shared" si="18"/>
        <v>96052476.064138204</v>
      </c>
    </row>
    <row r="26" spans="1:54" s="492" customFormat="1" ht="15.75" thickBot="1" x14ac:dyDescent="0.3">
      <c r="A26" s="520" t="str">
        <f>'(C2) Burimet viti kaluar'!C32</f>
        <v>A.3.1.3</v>
      </c>
      <c r="B26" s="1187" t="str">
        <f>'(G1) Fjalori'!A243</f>
        <v>Tarifa e pastrimit për biznesin</v>
      </c>
      <c r="C26" s="1188"/>
      <c r="D26" s="513">
        <f>'(C2) Burimet viti kaluar'!D32</f>
        <v>0</v>
      </c>
      <c r="E26" s="513">
        <f>'(C2) Burimet viti kaluar'!E32</f>
        <v>3000000</v>
      </c>
      <c r="F26" s="513">
        <f>'(C2) Burimet viti kaluar'!F32</f>
        <v>3000000</v>
      </c>
      <c r="G26" s="1185"/>
      <c r="H26" s="1186"/>
      <c r="I26" s="514">
        <v>0.1</v>
      </c>
      <c r="J26" s="514"/>
      <c r="K26" s="514"/>
      <c r="L26" s="514"/>
      <c r="M26" s="514"/>
      <c r="N26" s="515"/>
      <c r="O26" s="516">
        <f>IF(F26&lt;&gt;0,F26*(1+(SUM(I26:M26))),N26)</f>
        <v>3300000.0000000005</v>
      </c>
      <c r="P26" s="1185"/>
      <c r="Q26" s="1186"/>
      <c r="R26" s="514"/>
      <c r="S26" s="514"/>
      <c r="T26" s="514">
        <v>0.05</v>
      </c>
      <c r="U26" s="514"/>
      <c r="V26" s="514"/>
      <c r="W26" s="515"/>
      <c r="X26" s="516">
        <f>IF(O26&lt;&gt;0,O26*(1+(SUM(R26:V26))),W26)</f>
        <v>3465000.0000000005</v>
      </c>
      <c r="Y26" s="1185"/>
      <c r="Z26" s="1186"/>
      <c r="AA26" s="514"/>
      <c r="AB26" s="514"/>
      <c r="AC26" s="514">
        <v>0.05</v>
      </c>
      <c r="AD26" s="514"/>
      <c r="AE26" s="514"/>
      <c r="AF26" s="515"/>
      <c r="AG26" s="516">
        <f>IF(X26&lt;&gt;0,X26*(1+(SUM(AA26:AE26))),AF26)</f>
        <v>3638250.0000000005</v>
      </c>
      <c r="AI26" s="493" t="str">
        <f t="shared" si="6"/>
        <v>Tarifa e pastrimit për biznesin</v>
      </c>
      <c r="AJ26" s="517"/>
      <c r="AK26" s="483">
        <f t="shared" si="7"/>
        <v>0</v>
      </c>
      <c r="AL26" s="483">
        <f t="shared" si="8"/>
        <v>3000000</v>
      </c>
      <c r="AM26" s="483">
        <f t="shared" si="9"/>
        <v>3000000</v>
      </c>
      <c r="AN26" s="491">
        <f t="shared" si="10"/>
        <v>4887598.5</v>
      </c>
      <c r="AO26" s="491">
        <f t="shared" si="11"/>
        <v>6506547</v>
      </c>
      <c r="AP26" s="491">
        <f t="shared" si="12"/>
        <v>8125495.5</v>
      </c>
      <c r="AQ26" s="491">
        <f t="shared" si="13"/>
        <v>6019217.0590883195</v>
      </c>
      <c r="AR26" s="491">
        <f t="shared" si="14"/>
        <v>7660354.6278735995</v>
      </c>
      <c r="AS26" s="491">
        <f t="shared" si="15"/>
        <v>9327573.2605463844</v>
      </c>
      <c r="AT26" s="624">
        <f>'(E1) Vlerësimi i burimeve'!O35</f>
        <v>3000000</v>
      </c>
      <c r="AU26" s="625" t="str">
        <f t="shared" si="3"/>
        <v>ATTENTION</v>
      </c>
      <c r="AV26" s="624">
        <f>'(E1) Vlerësimi i burimeve'!X35</f>
        <v>3000000</v>
      </c>
      <c r="AW26" s="625" t="str">
        <f t="shared" si="4"/>
        <v>ATTENTION</v>
      </c>
      <c r="AX26" s="624">
        <f>'(E1) Vlerësimi i burimeve'!AG35</f>
        <v>3000000</v>
      </c>
      <c r="AY26" s="625" t="str">
        <f t="shared" si="5"/>
        <v>ATTENTION</v>
      </c>
      <c r="AZ26" s="491">
        <f t="shared" si="16"/>
        <v>3755979.9409116809</v>
      </c>
      <c r="BA26" s="491">
        <f t="shared" si="17"/>
        <v>5352739.3721264005</v>
      </c>
      <c r="BB26" s="491">
        <f t="shared" si="18"/>
        <v>6923417.7394536166</v>
      </c>
    </row>
    <row r="27" spans="1:54" s="509" customFormat="1" ht="15.75" thickBot="1" x14ac:dyDescent="0.3">
      <c r="A27" s="510" t="str">
        <f>'(C2) Burimet viti kaluar'!C33</f>
        <v>A.3.2</v>
      </c>
      <c r="B27" s="522" t="str">
        <f>'(G1) Fjalori'!A244</f>
        <v>Tarifa për mbledhjen dhe largimin e mbetjeve</v>
      </c>
      <c r="C27" s="621"/>
      <c r="D27" s="513">
        <f>'(C2) Burimet viti kaluar'!D33</f>
        <v>0</v>
      </c>
      <c r="E27" s="513">
        <f>'(C2) Burimet viti kaluar'!E33</f>
        <v>0</v>
      </c>
      <c r="F27" s="513">
        <f>'(C2) Burimet viti kaluar'!F33</f>
        <v>100000</v>
      </c>
      <c r="G27" s="1185"/>
      <c r="H27" s="1186"/>
      <c r="I27" s="514"/>
      <c r="J27" s="514"/>
      <c r="K27" s="514"/>
      <c r="L27" s="514"/>
      <c r="M27" s="514"/>
      <c r="N27" s="515"/>
      <c r="O27" s="516">
        <f>IF(F27&lt;&gt;0,F27*(1+(SUM(I27:M27))),N27)</f>
        <v>100000</v>
      </c>
      <c r="P27" s="1185"/>
      <c r="Q27" s="1186"/>
      <c r="R27" s="514"/>
      <c r="S27" s="514"/>
      <c r="T27" s="514"/>
      <c r="U27" s="514"/>
      <c r="V27" s="514"/>
      <c r="W27" s="515"/>
      <c r="X27" s="516">
        <f>IF(O27&lt;&gt;0,O27*(1+(SUM(R27:V27))),W27)</f>
        <v>100000</v>
      </c>
      <c r="Y27" s="1185"/>
      <c r="Z27" s="1186"/>
      <c r="AA27" s="514"/>
      <c r="AB27" s="514"/>
      <c r="AC27" s="514"/>
      <c r="AD27" s="514"/>
      <c r="AE27" s="514"/>
      <c r="AF27" s="515"/>
      <c r="AG27" s="516">
        <f>IF(X27&lt;&gt;0,X27*(1+(SUM(AA27:AE27))),AF27)</f>
        <v>100000</v>
      </c>
      <c r="AI27" s="493" t="str">
        <f t="shared" si="6"/>
        <v>Tarifa për mbledhjen dhe largimin e mbetjeve</v>
      </c>
      <c r="AJ27" s="517"/>
      <c r="AK27" s="483">
        <f t="shared" si="7"/>
        <v>0</v>
      </c>
      <c r="AL27" s="483">
        <f t="shared" si="8"/>
        <v>0</v>
      </c>
      <c r="AM27" s="483">
        <f t="shared" si="9"/>
        <v>100000</v>
      </c>
      <c r="AN27" s="491">
        <f t="shared" si="10"/>
        <v>137080.04999999999</v>
      </c>
      <c r="AO27" s="491">
        <f t="shared" si="11"/>
        <v>183115.1</v>
      </c>
      <c r="AP27" s="491">
        <f t="shared" si="12"/>
        <v>229150.15000000002</v>
      </c>
      <c r="AQ27" s="491">
        <f t="shared" si="13"/>
        <v>174800.66863627729</v>
      </c>
      <c r="AR27" s="491">
        <f t="shared" si="14"/>
        <v>221575.35426245333</v>
      </c>
      <c r="AS27" s="491">
        <f t="shared" si="15"/>
        <v>269219.40868487948</v>
      </c>
      <c r="AT27" s="624">
        <f>'(E1) Vlerësimi i burimeve'!O36</f>
        <v>100000</v>
      </c>
      <c r="AU27" s="625" t="str">
        <f t="shared" si="3"/>
        <v>Plausible</v>
      </c>
      <c r="AV27" s="624">
        <f>'(E1) Vlerësimi i burimeve'!X36</f>
        <v>100000</v>
      </c>
      <c r="AW27" s="625" t="str">
        <f t="shared" si="4"/>
        <v>ATTENTION</v>
      </c>
      <c r="AX27" s="624">
        <f>'(E1) Vlerësimi i burimeve'!AG36</f>
        <v>100000</v>
      </c>
      <c r="AY27" s="625" t="str">
        <f t="shared" si="5"/>
        <v>ATTENTION</v>
      </c>
      <c r="AZ27" s="491">
        <f t="shared" si="16"/>
        <v>99359.431363722688</v>
      </c>
      <c r="BA27" s="491">
        <f t="shared" si="17"/>
        <v>144654.84573754668</v>
      </c>
      <c r="BB27" s="491">
        <f t="shared" si="18"/>
        <v>189080.89131512056</v>
      </c>
    </row>
    <row r="28" spans="1:54" s="509" customFormat="1" ht="15.75" thickBot="1" x14ac:dyDescent="0.3">
      <c r="A28" s="510" t="str">
        <f>'(C2) Burimet viti kaluar'!C34</f>
        <v>A.3.3</v>
      </c>
      <c r="B28" s="522" t="str">
        <f>'(G1) Fjalori'!A245</f>
        <v>Tarifa për ndriçimin publik</v>
      </c>
      <c r="C28" s="620"/>
      <c r="D28" s="520">
        <f>'(C2) Burimet viti kaluar'!D34</f>
        <v>17765132</v>
      </c>
      <c r="E28" s="520">
        <f>'(C2) Burimet viti kaluar'!E34</f>
        <v>17574974</v>
      </c>
      <c r="F28" s="520">
        <f>'(C2) Burimet viti kaluar'!F34</f>
        <v>29060000</v>
      </c>
      <c r="G28" s="520"/>
      <c r="H28" s="523"/>
      <c r="I28" s="523"/>
      <c r="J28" s="523"/>
      <c r="K28" s="523"/>
      <c r="L28" s="523"/>
      <c r="M28" s="523"/>
      <c r="N28" s="524"/>
      <c r="O28" s="523">
        <f>SUM(O29:O31)</f>
        <v>29060000</v>
      </c>
      <c r="P28" s="520"/>
      <c r="Q28" s="523"/>
      <c r="R28" s="523"/>
      <c r="S28" s="523"/>
      <c r="T28" s="523"/>
      <c r="U28" s="523"/>
      <c r="V28" s="523"/>
      <c r="W28" s="524"/>
      <c r="X28" s="523">
        <f>SUM(X29:X31)</f>
        <v>29060000</v>
      </c>
      <c r="Y28" s="520"/>
      <c r="Z28" s="523"/>
      <c r="AA28" s="523"/>
      <c r="AB28" s="523"/>
      <c r="AC28" s="523"/>
      <c r="AD28" s="523"/>
      <c r="AE28" s="523"/>
      <c r="AF28" s="524"/>
      <c r="AG28" s="524">
        <f>SUM(AG29:AG31)</f>
        <v>29060000</v>
      </c>
      <c r="AI28" s="493" t="str">
        <f t="shared" si="6"/>
        <v>Tarifa për ndriçimin publik</v>
      </c>
      <c r="AJ28" s="517"/>
      <c r="AK28" s="483">
        <f t="shared" si="7"/>
        <v>17765132</v>
      </c>
      <c r="AL28" s="483">
        <f t="shared" si="8"/>
        <v>17574974</v>
      </c>
      <c r="AM28" s="483">
        <f t="shared" si="9"/>
        <v>29060000</v>
      </c>
      <c r="AN28" s="491">
        <f t="shared" si="10"/>
        <v>33199006.064792</v>
      </c>
      <c r="AO28" s="491">
        <f t="shared" si="11"/>
        <v>38383524.856784001</v>
      </c>
      <c r="AP28" s="491">
        <f t="shared" si="12"/>
        <v>43568043.648775995</v>
      </c>
      <c r="AQ28" s="491">
        <f t="shared" si="13"/>
        <v>37602957.696515664</v>
      </c>
      <c r="AR28" s="491">
        <f t="shared" si="14"/>
        <v>42873830.308793269</v>
      </c>
      <c r="AS28" s="491">
        <f t="shared" si="15"/>
        <v>48246203.327671655</v>
      </c>
      <c r="AT28" s="624">
        <f>'(E1) Vlerësimi i burimeve'!O37</f>
        <v>29389999.999999996</v>
      </c>
      <c r="AU28" s="625" t="str">
        <f t="shared" si="3"/>
        <v>Plausible</v>
      </c>
      <c r="AV28" s="624">
        <f>'(E1) Vlerësimi i burimeve'!X37</f>
        <v>29724949.999999993</v>
      </c>
      <c r="AW28" s="625" t="str">
        <f t="shared" si="4"/>
        <v>ATTENTION</v>
      </c>
      <c r="AX28" s="624">
        <f>'(E1) Vlerësimi i burimeve'!AG37</f>
        <v>30064924.249999989</v>
      </c>
      <c r="AY28" s="625" t="str">
        <f t="shared" si="5"/>
        <v>ATTENTION</v>
      </c>
      <c r="AZ28" s="491">
        <f t="shared" si="16"/>
        <v>28795054.433068335</v>
      </c>
      <c r="BA28" s="491">
        <f t="shared" si="17"/>
        <v>33893219.404774733</v>
      </c>
      <c r="BB28" s="491">
        <f t="shared" si="18"/>
        <v>38889883.969880335</v>
      </c>
    </row>
    <row r="29" spans="1:54" s="492" customFormat="1" ht="15.75" thickBot="1" x14ac:dyDescent="0.3">
      <c r="A29" s="520" t="str">
        <f>'(C2) Burimet viti kaluar'!C35</f>
        <v>A.3.3.1</v>
      </c>
      <c r="B29" s="1187" t="str">
        <f>'(G1) Fjalori'!A246</f>
        <v>Tarifa për ndriçimin publik nga familjet</v>
      </c>
      <c r="C29" s="1188"/>
      <c r="D29" s="513">
        <f>'(C2) Burimet viti kaluar'!D35</f>
        <v>17765132</v>
      </c>
      <c r="E29" s="513">
        <f>'(C2) Burimet viti kaluar'!E35</f>
        <v>12316908</v>
      </c>
      <c r="F29" s="513">
        <f>'(C2) Burimet viti kaluar'!F35</f>
        <v>22000000</v>
      </c>
      <c r="G29" s="1185"/>
      <c r="H29" s="1186"/>
      <c r="I29" s="514"/>
      <c r="J29" s="514"/>
      <c r="K29" s="514"/>
      <c r="L29" s="514"/>
      <c r="M29" s="514"/>
      <c r="N29" s="515"/>
      <c r="O29" s="516">
        <f>IF(F29&lt;&gt;0,F29*(1+(SUM(I29:M29))),N29)</f>
        <v>22000000</v>
      </c>
      <c r="P29" s="1185"/>
      <c r="Q29" s="1186"/>
      <c r="R29" s="514"/>
      <c r="S29" s="514"/>
      <c r="T29" s="514"/>
      <c r="U29" s="514"/>
      <c r="V29" s="514"/>
      <c r="W29" s="515"/>
      <c r="X29" s="516">
        <f>IF(O29&lt;&gt;0,O29*(1+(SUM(R29:V29))),W29)</f>
        <v>22000000</v>
      </c>
      <c r="Y29" s="1185"/>
      <c r="Z29" s="1186"/>
      <c r="AA29" s="514"/>
      <c r="AB29" s="514"/>
      <c r="AC29" s="514"/>
      <c r="AD29" s="514"/>
      <c r="AE29" s="514"/>
      <c r="AF29" s="515"/>
      <c r="AG29" s="516">
        <f>IF(X29&lt;&gt;0,X29*(1+(SUM(AA29:AE29))),AF29)</f>
        <v>22000000</v>
      </c>
      <c r="AI29" s="493" t="str">
        <f t="shared" si="6"/>
        <v>Tarifa për ndriçimin publik nga familjet</v>
      </c>
      <c r="AJ29" s="517"/>
      <c r="AK29" s="483">
        <f t="shared" si="7"/>
        <v>17765132</v>
      </c>
      <c r="AL29" s="483">
        <f t="shared" si="8"/>
        <v>12316908</v>
      </c>
      <c r="AM29" s="483">
        <f t="shared" si="9"/>
        <v>22000000</v>
      </c>
      <c r="AN29" s="491">
        <f t="shared" si="10"/>
        <v>22162475.538457997</v>
      </c>
      <c r="AO29" s="491">
        <f t="shared" si="11"/>
        <v>23679960.424716</v>
      </c>
      <c r="AP29" s="491">
        <f t="shared" si="12"/>
        <v>25197445.310973998</v>
      </c>
      <c r="AQ29" s="491">
        <f t="shared" si="13"/>
        <v>27870101.541468006</v>
      </c>
      <c r="AR29" s="491">
        <f t="shared" si="14"/>
        <v>29499503.03157128</v>
      </c>
      <c r="AS29" s="491">
        <f t="shared" si="15"/>
        <v>31260451.461440556</v>
      </c>
      <c r="AT29" s="624">
        <f>'(E1) Vlerësimi i burimeve'!O38</f>
        <v>22329999.999999996</v>
      </c>
      <c r="AU29" s="625" t="str">
        <f t="shared" si="3"/>
        <v>Plausible</v>
      </c>
      <c r="AV29" s="624">
        <f>'(E1) Vlerësimi i burimeve'!X38</f>
        <v>22664949.999999993</v>
      </c>
      <c r="AW29" s="625" t="str">
        <f t="shared" si="4"/>
        <v>Plausible</v>
      </c>
      <c r="AX29" s="624">
        <f>'(E1) Vlerësimi i burimeve'!AG38</f>
        <v>23004924.249999989</v>
      </c>
      <c r="AY29" s="625" t="str">
        <f t="shared" si="5"/>
        <v>Plausible</v>
      </c>
      <c r="AZ29" s="491">
        <f t="shared" si="16"/>
        <v>16454849.535447989</v>
      </c>
      <c r="BA29" s="491">
        <f t="shared" si="17"/>
        <v>17860417.817860719</v>
      </c>
      <c r="BB29" s="491">
        <f t="shared" si="18"/>
        <v>19134439.160507441</v>
      </c>
    </row>
    <row r="30" spans="1:54" s="492" customFormat="1" ht="15.75" thickBot="1" x14ac:dyDescent="0.3">
      <c r="A30" s="520" t="str">
        <f>'(C2) Burimet viti kaluar'!C36</f>
        <v>A.3.3.2</v>
      </c>
      <c r="B30" s="1187" t="str">
        <f>'(G1) Fjalori'!A247</f>
        <v>Tarifa për ndriçimin publik nga institucionet</v>
      </c>
      <c r="C30" s="1188"/>
      <c r="D30" s="513">
        <f>'(C2) Burimet viti kaluar'!D36</f>
        <v>0</v>
      </c>
      <c r="E30" s="513">
        <f>'(C2) Burimet viti kaluar'!E36</f>
        <v>5200000</v>
      </c>
      <c r="F30" s="513">
        <f>'(C2) Burimet viti kaluar'!F36</f>
        <v>7000000</v>
      </c>
      <c r="G30" s="1185"/>
      <c r="H30" s="1186"/>
      <c r="I30" s="514"/>
      <c r="J30" s="514"/>
      <c r="K30" s="514"/>
      <c r="L30" s="514"/>
      <c r="M30" s="514"/>
      <c r="N30" s="515"/>
      <c r="O30" s="516">
        <f>IF(F30&lt;&gt;0,F30*(1+(SUM(I30:M30))),N30)</f>
        <v>7000000</v>
      </c>
      <c r="P30" s="1185"/>
      <c r="Q30" s="1186"/>
      <c r="R30" s="514"/>
      <c r="S30" s="514"/>
      <c r="T30" s="514"/>
      <c r="U30" s="514"/>
      <c r="V30" s="514"/>
      <c r="W30" s="515"/>
      <c r="X30" s="516">
        <f>IF(O30&lt;&gt;0,O30*(1+(SUM(R30:V30))),W30)</f>
        <v>7000000</v>
      </c>
      <c r="Y30" s="1185"/>
      <c r="Z30" s="1186"/>
      <c r="AA30" s="514"/>
      <c r="AB30" s="514"/>
      <c r="AC30" s="514"/>
      <c r="AD30" s="514"/>
      <c r="AE30" s="514"/>
      <c r="AF30" s="515"/>
      <c r="AG30" s="516">
        <f>IF(X30&lt;&gt;0,X30*(1+(SUM(AA30:AE30))),AF30)</f>
        <v>7000000</v>
      </c>
      <c r="AI30" s="493" t="str">
        <f t="shared" si="6"/>
        <v>Tarifa për ndriçimin publik nga institucionet</v>
      </c>
      <c r="AJ30" s="517"/>
      <c r="AK30" s="483">
        <f t="shared" si="7"/>
        <v>0</v>
      </c>
      <c r="AL30" s="483">
        <f t="shared" si="8"/>
        <v>5200000</v>
      </c>
      <c r="AM30" s="483">
        <f t="shared" si="9"/>
        <v>7000000</v>
      </c>
      <c r="AN30" s="491">
        <f t="shared" si="10"/>
        <v>10939278.300000001</v>
      </c>
      <c r="AO30" s="491">
        <f t="shared" si="11"/>
        <v>14574086.6</v>
      </c>
      <c r="AP30" s="491">
        <f t="shared" si="12"/>
        <v>18208894.899999999</v>
      </c>
      <c r="AQ30" s="491">
        <f t="shared" si="13"/>
        <v>12221779.333633428</v>
      </c>
      <c r="AR30" s="491">
        <f t="shared" si="14"/>
        <v>15881735.244923413</v>
      </c>
      <c r="AS30" s="491">
        <f t="shared" si="15"/>
        <v>19571249.695285901</v>
      </c>
      <c r="AT30" s="624">
        <f>'(E1) Vlerësimi i burimeve'!O39</f>
        <v>7000000</v>
      </c>
      <c r="AU30" s="625" t="str">
        <f t="shared" si="3"/>
        <v>ATTENTION</v>
      </c>
      <c r="AV30" s="624">
        <f>'(E1) Vlerësimi i burimeve'!X39</f>
        <v>7000000</v>
      </c>
      <c r="AW30" s="625" t="str">
        <f t="shared" si="4"/>
        <v>ATTENTION</v>
      </c>
      <c r="AX30" s="624">
        <f>'(E1) Vlerësimi i burimeve'!AG39</f>
        <v>7000000</v>
      </c>
      <c r="AY30" s="625" t="str">
        <f t="shared" si="5"/>
        <v>ATTENTION</v>
      </c>
      <c r="AZ30" s="491">
        <f t="shared" si="16"/>
        <v>9656777.2663665731</v>
      </c>
      <c r="BA30" s="491">
        <f t="shared" si="17"/>
        <v>13266437.955076586</v>
      </c>
      <c r="BB30" s="491">
        <f t="shared" si="18"/>
        <v>16846540.104714096</v>
      </c>
    </row>
    <row r="31" spans="1:54" s="492" customFormat="1" ht="15.75" thickBot="1" x14ac:dyDescent="0.3">
      <c r="A31" s="520" t="str">
        <f>'(C2) Burimet viti kaluar'!C37</f>
        <v>A.3.3.3</v>
      </c>
      <c r="B31" s="1187" t="str">
        <f>'(G1) Fjalori'!A248</f>
        <v>Tarifa për ndriçimin publik nga biznesi</v>
      </c>
      <c r="C31" s="1188"/>
      <c r="D31" s="513">
        <f>'(C2) Burimet viti kaluar'!D37</f>
        <v>0</v>
      </c>
      <c r="E31" s="513">
        <f>'(C2) Burimet viti kaluar'!E37</f>
        <v>58066</v>
      </c>
      <c r="F31" s="513">
        <f>'(C2) Burimet viti kaluar'!F37</f>
        <v>60000</v>
      </c>
      <c r="G31" s="1185"/>
      <c r="H31" s="1186"/>
      <c r="I31" s="514"/>
      <c r="J31" s="514"/>
      <c r="K31" s="514"/>
      <c r="L31" s="514"/>
      <c r="M31" s="514"/>
      <c r="N31" s="515"/>
      <c r="O31" s="516">
        <f>IF(F31&lt;&gt;0,F31*(1+(SUM(I31:M31))),N31)</f>
        <v>60000</v>
      </c>
      <c r="P31" s="1185"/>
      <c r="Q31" s="1186"/>
      <c r="R31" s="514"/>
      <c r="S31" s="514"/>
      <c r="T31" s="514"/>
      <c r="U31" s="514"/>
      <c r="V31" s="514"/>
      <c r="W31" s="515"/>
      <c r="X31" s="516">
        <f>IF(O31&lt;&gt;0,O31*(1+(SUM(R31:V31))),W31)</f>
        <v>60000</v>
      </c>
      <c r="Y31" s="1185"/>
      <c r="Z31" s="1186"/>
      <c r="AA31" s="514"/>
      <c r="AB31" s="514"/>
      <c r="AC31" s="514"/>
      <c r="AD31" s="514"/>
      <c r="AE31" s="514"/>
      <c r="AF31" s="515"/>
      <c r="AG31" s="516">
        <f>IF(X31&lt;&gt;0,X31*(1+(SUM(AA31:AE31))),AF31)</f>
        <v>60000</v>
      </c>
      <c r="AI31" s="493" t="str">
        <f t="shared" si="6"/>
        <v>Tarifa për ndriçimin publik nga biznesi</v>
      </c>
      <c r="AJ31" s="517"/>
      <c r="AK31" s="483">
        <f t="shared" si="7"/>
        <v>0</v>
      </c>
      <c r="AL31" s="483">
        <f t="shared" si="8"/>
        <v>58066</v>
      </c>
      <c r="AM31" s="483">
        <f t="shared" si="9"/>
        <v>60000</v>
      </c>
      <c r="AN31" s="491">
        <f t="shared" si="10"/>
        <v>97252.226333999992</v>
      </c>
      <c r="AO31" s="491">
        <f t="shared" si="11"/>
        <v>129477.83206799999</v>
      </c>
      <c r="AP31" s="491">
        <f t="shared" si="12"/>
        <v>161703.437802</v>
      </c>
      <c r="AQ31" s="491">
        <f t="shared" si="13"/>
        <v>118425.56398691516</v>
      </c>
      <c r="AR31" s="491">
        <f t="shared" si="14"/>
        <v>151066.34199060028</v>
      </c>
      <c r="AS31" s="491">
        <f t="shared" si="15"/>
        <v>184195.11408699653</v>
      </c>
      <c r="AT31" s="624">
        <f>'(E1) Vlerësimi i burimeve'!O40</f>
        <v>60000</v>
      </c>
      <c r="AU31" s="625" t="str">
        <f t="shared" si="3"/>
        <v>ATTENTION</v>
      </c>
      <c r="AV31" s="624">
        <f>'(E1) Vlerësimi i burimeve'!X40</f>
        <v>60000</v>
      </c>
      <c r="AW31" s="625" t="str">
        <f t="shared" si="4"/>
        <v>ATTENTION</v>
      </c>
      <c r="AX31" s="624">
        <f>'(E1) Vlerësimi i burimeve'!AG40</f>
        <v>60000</v>
      </c>
      <c r="AY31" s="625" t="str">
        <f t="shared" si="5"/>
        <v>ATTENTION</v>
      </c>
      <c r="AZ31" s="491">
        <f t="shared" si="16"/>
        <v>76078.88868108482</v>
      </c>
      <c r="BA31" s="491">
        <f t="shared" si="17"/>
        <v>107889.3221453997</v>
      </c>
      <c r="BB31" s="491">
        <f t="shared" si="18"/>
        <v>139211.76151700347</v>
      </c>
    </row>
    <row r="32" spans="1:54" s="509" customFormat="1" ht="15.75" thickBot="1" x14ac:dyDescent="0.3">
      <c r="A32" s="510" t="str">
        <f>'(C2) Burimet viti kaluar'!C38</f>
        <v>A.3.4</v>
      </c>
      <c r="B32" s="522" t="str">
        <f>'(G1) Fjalori'!A249</f>
        <v>Tarifa për gjelbërimin</v>
      </c>
      <c r="C32" s="620"/>
      <c r="D32" s="520">
        <f>'(C2) Burimet viti kaluar'!D38</f>
        <v>34714918</v>
      </c>
      <c r="E32" s="520">
        <f>'(C2) Burimet viti kaluar'!E38</f>
        <v>37206560</v>
      </c>
      <c r="F32" s="520">
        <f>'(C2) Burimet viti kaluar'!F38</f>
        <v>62000000</v>
      </c>
      <c r="G32" s="520"/>
      <c r="H32" s="523"/>
      <c r="I32" s="523"/>
      <c r="J32" s="523"/>
      <c r="K32" s="523"/>
      <c r="L32" s="523"/>
      <c r="M32" s="523"/>
      <c r="N32" s="524"/>
      <c r="O32" s="523">
        <f>SUM(O33:O35)</f>
        <v>62000000</v>
      </c>
      <c r="P32" s="520"/>
      <c r="Q32" s="523"/>
      <c r="R32" s="523"/>
      <c r="S32" s="523"/>
      <c r="T32" s="523"/>
      <c r="U32" s="523"/>
      <c r="V32" s="523"/>
      <c r="W32" s="524"/>
      <c r="X32" s="523">
        <f>SUM(X33:X35)</f>
        <v>62000000</v>
      </c>
      <c r="Y32" s="520"/>
      <c r="Z32" s="523"/>
      <c r="AA32" s="523"/>
      <c r="AB32" s="523"/>
      <c r="AC32" s="523"/>
      <c r="AD32" s="523"/>
      <c r="AE32" s="523"/>
      <c r="AF32" s="524"/>
      <c r="AG32" s="524">
        <f>SUM(AG33:AG35)</f>
        <v>62000000</v>
      </c>
      <c r="AI32" s="493" t="str">
        <f t="shared" si="6"/>
        <v>Tarifa për gjelbërimin</v>
      </c>
      <c r="AJ32" s="517"/>
      <c r="AK32" s="483">
        <f t="shared" si="7"/>
        <v>34714918</v>
      </c>
      <c r="AL32" s="483">
        <f t="shared" si="8"/>
        <v>37206560</v>
      </c>
      <c r="AM32" s="483">
        <f t="shared" si="9"/>
        <v>62000000</v>
      </c>
      <c r="AN32" s="491">
        <f t="shared" si="10"/>
        <v>72761159.849298999</v>
      </c>
      <c r="AO32" s="491">
        <f t="shared" si="11"/>
        <v>85519445.709498003</v>
      </c>
      <c r="AP32" s="491">
        <f t="shared" si="12"/>
        <v>98277731.569696993</v>
      </c>
      <c r="AQ32" s="491">
        <f t="shared" si="13"/>
        <v>81173536.021911919</v>
      </c>
      <c r="AR32" s="491">
        <f t="shared" si="14"/>
        <v>94096773.925396726</v>
      </c>
      <c r="AS32" s="491">
        <f t="shared" si="15"/>
        <v>107213896.70169626</v>
      </c>
      <c r="AT32" s="624">
        <f>'(E1) Vlerësimi i burimeve'!O41</f>
        <v>75907507</v>
      </c>
      <c r="AU32" s="625" t="str">
        <f t="shared" si="3"/>
        <v>Plausible</v>
      </c>
      <c r="AV32" s="624">
        <f>'(E1) Vlerësimi i burimeve'!X41</f>
        <v>76716119.605000004</v>
      </c>
      <c r="AW32" s="625" t="str">
        <f t="shared" si="4"/>
        <v>ATTENTION</v>
      </c>
      <c r="AX32" s="624">
        <f>'(E1) Vlerësimi i burimeve'!AG41</f>
        <v>77536860.399075001</v>
      </c>
      <c r="AY32" s="625" t="str">
        <f t="shared" si="5"/>
        <v>ATTENTION</v>
      </c>
      <c r="AZ32" s="491">
        <f t="shared" si="16"/>
        <v>64348783.676686078</v>
      </c>
      <c r="BA32" s="491">
        <f t="shared" si="17"/>
        <v>76942117.493599281</v>
      </c>
      <c r="BB32" s="491">
        <f t="shared" si="18"/>
        <v>89341566.437697724</v>
      </c>
    </row>
    <row r="33" spans="1:54" s="492" customFormat="1" ht="15.75" thickBot="1" x14ac:dyDescent="0.3">
      <c r="A33" s="520" t="str">
        <f>'(C2) Burimet viti kaluar'!C39</f>
        <v>A.3.4.1</v>
      </c>
      <c r="B33" s="1187" t="str">
        <f>'(G1) Fjalori'!A250</f>
        <v>Tarifa për gjelbërimin nga familjet</v>
      </c>
      <c r="C33" s="1188"/>
      <c r="D33" s="513">
        <f>'(C2) Burimet viti kaluar'!D39</f>
        <v>34714918</v>
      </c>
      <c r="E33" s="513">
        <f>'(C2) Burimet viti kaluar'!E39</f>
        <v>21288486</v>
      </c>
      <c r="F33" s="513">
        <f>'(C2) Burimet viti kaluar'!F39</f>
        <v>40000000</v>
      </c>
      <c r="G33" s="1185"/>
      <c r="H33" s="1186"/>
      <c r="I33" s="514"/>
      <c r="J33" s="514"/>
      <c r="K33" s="514"/>
      <c r="L33" s="514"/>
      <c r="M33" s="514"/>
      <c r="N33" s="515"/>
      <c r="O33" s="516">
        <f>IF(F33&lt;&gt;0,F33*(1+(SUM(I33:M33))),N33)</f>
        <v>40000000</v>
      </c>
      <c r="P33" s="1185"/>
      <c r="Q33" s="1186"/>
      <c r="R33" s="514"/>
      <c r="S33" s="514"/>
      <c r="T33" s="514"/>
      <c r="U33" s="514"/>
      <c r="V33" s="514"/>
      <c r="W33" s="515"/>
      <c r="X33" s="516">
        <f>IF(O33&lt;&gt;0,O33*(1+(SUM(R33:V33))),W33)</f>
        <v>40000000</v>
      </c>
      <c r="Y33" s="1185"/>
      <c r="Z33" s="1186"/>
      <c r="AA33" s="514"/>
      <c r="AB33" s="514"/>
      <c r="AC33" s="514"/>
      <c r="AD33" s="514"/>
      <c r="AE33" s="514"/>
      <c r="AF33" s="515"/>
      <c r="AG33" s="516">
        <f>IF(X33&lt;&gt;0,X33*(1+(SUM(AA33:AE33))),AF33)</f>
        <v>40000000</v>
      </c>
      <c r="AI33" s="493" t="str">
        <f t="shared" si="6"/>
        <v>Tarifa për gjelbërimin nga familjet</v>
      </c>
      <c r="AJ33" s="517"/>
      <c r="AK33" s="483">
        <f t="shared" si="7"/>
        <v>34714918</v>
      </c>
      <c r="AL33" s="483">
        <f t="shared" si="8"/>
        <v>21288486</v>
      </c>
      <c r="AM33" s="483">
        <f t="shared" si="9"/>
        <v>40000000</v>
      </c>
      <c r="AN33" s="491">
        <f t="shared" si="10"/>
        <v>38490334.445772998</v>
      </c>
      <c r="AO33" s="491">
        <f t="shared" si="11"/>
        <v>39858621.955845997</v>
      </c>
      <c r="AP33" s="491">
        <f t="shared" si="12"/>
        <v>41226909.465918995</v>
      </c>
      <c r="AQ33" s="491">
        <f t="shared" si="13"/>
        <v>50612966.49396573</v>
      </c>
      <c r="AR33" s="491">
        <f t="shared" si="14"/>
        <v>52218957.702175945</v>
      </c>
      <c r="AS33" s="491">
        <f t="shared" si="15"/>
        <v>54104346.184665866</v>
      </c>
      <c r="AT33" s="624">
        <f>'(E1) Vlerësimi i burimeve'!O42</f>
        <v>40712507.000000007</v>
      </c>
      <c r="AU33" s="625" t="str">
        <f t="shared" si="3"/>
        <v>Plausible</v>
      </c>
      <c r="AV33" s="624">
        <f>'(E1) Vlerësimi i burimeve'!X42</f>
        <v>41323194.605000004</v>
      </c>
      <c r="AW33" s="625" t="str">
        <f t="shared" si="4"/>
        <v>Plausible</v>
      </c>
      <c r="AX33" s="624">
        <f>'(E1) Vlerësimi i burimeve'!AG42</f>
        <v>41943041.524075001</v>
      </c>
      <c r="AY33" s="625" t="str">
        <f t="shared" si="5"/>
        <v>Plausible</v>
      </c>
      <c r="AZ33" s="491">
        <f t="shared" si="16"/>
        <v>26367702.397580266</v>
      </c>
      <c r="BA33" s="491">
        <f t="shared" si="17"/>
        <v>27498286.209516052</v>
      </c>
      <c r="BB33" s="491">
        <f t="shared" si="18"/>
        <v>28349472.747172125</v>
      </c>
    </row>
    <row r="34" spans="1:54" s="492" customFormat="1" ht="15.75" thickBot="1" x14ac:dyDescent="0.3">
      <c r="A34" s="520" t="str">
        <f>'(C2) Burimet viti kaluar'!C40</f>
        <v>A.3.4.2</v>
      </c>
      <c r="B34" s="1187" t="str">
        <f>'(G1) Fjalori'!A251</f>
        <v>Tarifa për gjelbërimin nga Institucionet</v>
      </c>
      <c r="C34" s="1188"/>
      <c r="D34" s="513">
        <f>'(C2) Burimet viti kaluar'!D40</f>
        <v>0</v>
      </c>
      <c r="E34" s="513">
        <f>'(C2) Burimet viti kaluar'!E40</f>
        <v>15000000</v>
      </c>
      <c r="F34" s="513">
        <f>'(C2) Burimet viti kaluar'!F40</f>
        <v>20500000</v>
      </c>
      <c r="G34" s="1185"/>
      <c r="H34" s="1186"/>
      <c r="I34" s="514"/>
      <c r="J34" s="514"/>
      <c r="K34" s="514"/>
      <c r="L34" s="514"/>
      <c r="M34" s="514"/>
      <c r="N34" s="515"/>
      <c r="O34" s="516">
        <f>IF(F34&lt;&gt;0,F34*(1+(SUM(I34:M34))),N34)</f>
        <v>20500000</v>
      </c>
      <c r="P34" s="1185"/>
      <c r="Q34" s="1186"/>
      <c r="R34" s="514"/>
      <c r="S34" s="514"/>
      <c r="T34" s="514"/>
      <c r="U34" s="514"/>
      <c r="V34" s="514"/>
      <c r="W34" s="515"/>
      <c r="X34" s="516">
        <f>IF(O34&lt;&gt;0,O34*(1+(SUM(R34:V34))),W34)</f>
        <v>20500000</v>
      </c>
      <c r="Y34" s="1185"/>
      <c r="Z34" s="1186"/>
      <c r="AA34" s="514"/>
      <c r="AB34" s="514"/>
      <c r="AC34" s="514"/>
      <c r="AD34" s="514"/>
      <c r="AE34" s="514"/>
      <c r="AF34" s="515"/>
      <c r="AG34" s="516">
        <f>IF(X34&lt;&gt;0,X34*(1+(SUM(AA34:AE34))),AF34)</f>
        <v>20500000</v>
      </c>
      <c r="AI34" s="493" t="str">
        <f t="shared" si="6"/>
        <v>Tarifa për gjelbërimin nga Institucionet</v>
      </c>
      <c r="AJ34" s="517"/>
      <c r="AK34" s="483">
        <f t="shared" si="7"/>
        <v>0</v>
      </c>
      <c r="AL34" s="483">
        <f t="shared" si="8"/>
        <v>15000000</v>
      </c>
      <c r="AM34" s="483">
        <f t="shared" si="9"/>
        <v>20500000</v>
      </c>
      <c r="AN34" s="491">
        <f t="shared" si="10"/>
        <v>31977395.25</v>
      </c>
      <c r="AO34" s="491">
        <f t="shared" si="11"/>
        <v>42604065.5</v>
      </c>
      <c r="AP34" s="491">
        <f t="shared" si="12"/>
        <v>53230735.75</v>
      </c>
      <c r="AQ34" s="491">
        <f t="shared" si="13"/>
        <v>35560854.020446345</v>
      </c>
      <c r="AR34" s="491">
        <f t="shared" si="14"/>
        <v>46257789.654933065</v>
      </c>
      <c r="AS34" s="491">
        <f t="shared" si="15"/>
        <v>57037315.325063549</v>
      </c>
      <c r="AT34" s="624">
        <f>'(E1) Vlerësimi i burimeve'!O43</f>
        <v>20500000</v>
      </c>
      <c r="AU34" s="625" t="str">
        <f t="shared" si="3"/>
        <v>ATTENTION</v>
      </c>
      <c r="AV34" s="624">
        <f>'(E1) Vlerësimi i burimeve'!X43</f>
        <v>20500000</v>
      </c>
      <c r="AW34" s="625" t="str">
        <f t="shared" si="4"/>
        <v>ATTENTION</v>
      </c>
      <c r="AX34" s="624">
        <f>'(E1) Vlerësimi i burimeve'!AG43</f>
        <v>20500000</v>
      </c>
      <c r="AY34" s="625" t="str">
        <f t="shared" si="5"/>
        <v>ATTENTION</v>
      </c>
      <c r="AZ34" s="491">
        <f t="shared" si="16"/>
        <v>28393936.479553655</v>
      </c>
      <c r="BA34" s="491">
        <f t="shared" si="17"/>
        <v>38950341.345066935</v>
      </c>
      <c r="BB34" s="491">
        <f t="shared" si="18"/>
        <v>49424156.174936451</v>
      </c>
    </row>
    <row r="35" spans="1:54" s="492" customFormat="1" ht="15.75" thickBot="1" x14ac:dyDescent="0.3">
      <c r="A35" s="520" t="str">
        <f>'(C2) Burimet viti kaluar'!C41</f>
        <v>A.3.4.3</v>
      </c>
      <c r="B35" s="1187" t="str">
        <f>'(G1) Fjalori'!A252</f>
        <v>Tarifa për gjelbërimin nga bizneset</v>
      </c>
      <c r="C35" s="1188"/>
      <c r="D35" s="513">
        <f>'(C2) Burimet viti kaluar'!D41</f>
        <v>0</v>
      </c>
      <c r="E35" s="513">
        <f>'(C2) Burimet viti kaluar'!E41</f>
        <v>918074</v>
      </c>
      <c r="F35" s="513">
        <f>'(C2) Burimet viti kaluar'!F41</f>
        <v>1500000</v>
      </c>
      <c r="G35" s="1185"/>
      <c r="H35" s="1186"/>
      <c r="I35" s="514"/>
      <c r="J35" s="514"/>
      <c r="K35" s="514"/>
      <c r="L35" s="514"/>
      <c r="M35" s="514"/>
      <c r="N35" s="515"/>
      <c r="O35" s="516">
        <f>IF(F35&lt;&gt;0,F35*(1+(SUM(I35:M35))),N35)</f>
        <v>1500000</v>
      </c>
      <c r="P35" s="1185"/>
      <c r="Q35" s="1186"/>
      <c r="R35" s="514"/>
      <c r="S35" s="514"/>
      <c r="T35" s="514"/>
      <c r="U35" s="514"/>
      <c r="V35" s="514"/>
      <c r="W35" s="515"/>
      <c r="X35" s="516">
        <f>IF(O35&lt;&gt;0,O35*(1+(SUM(R35:V35))),W35)</f>
        <v>1500000</v>
      </c>
      <c r="Y35" s="1185"/>
      <c r="Z35" s="1186"/>
      <c r="AA35" s="514"/>
      <c r="AB35" s="514"/>
      <c r="AC35" s="514"/>
      <c r="AD35" s="514"/>
      <c r="AE35" s="514"/>
      <c r="AF35" s="515"/>
      <c r="AG35" s="516">
        <f>IF(X35&lt;&gt;0,X35*(1+(SUM(AA35:AE35))),AF35)</f>
        <v>1500000</v>
      </c>
      <c r="AI35" s="493" t="str">
        <f t="shared" si="6"/>
        <v>Tarifa për gjelbërimin nga bizneset</v>
      </c>
      <c r="AJ35" s="517"/>
      <c r="AK35" s="483">
        <f t="shared" si="7"/>
        <v>0</v>
      </c>
      <c r="AL35" s="483">
        <f t="shared" si="8"/>
        <v>918074</v>
      </c>
      <c r="AM35" s="483">
        <f t="shared" si="9"/>
        <v>1500000</v>
      </c>
      <c r="AN35" s="491">
        <f t="shared" si="10"/>
        <v>2293430.1535260002</v>
      </c>
      <c r="AO35" s="491">
        <f t="shared" si="11"/>
        <v>3056758.2536519999</v>
      </c>
      <c r="AP35" s="491">
        <f t="shared" si="12"/>
        <v>3820086.353778</v>
      </c>
      <c r="AQ35" s="491">
        <f t="shared" si="13"/>
        <v>2420227.2586594736</v>
      </c>
      <c r="AR35" s="491">
        <f t="shared" si="14"/>
        <v>3186041.6291501513</v>
      </c>
      <c r="AS35" s="491">
        <f t="shared" si="15"/>
        <v>3954778.3654620484</v>
      </c>
      <c r="AT35" s="624">
        <f>'(E1) Vlerësimi i burimeve'!O44</f>
        <v>1500000</v>
      </c>
      <c r="AU35" s="625" t="str">
        <f t="shared" si="3"/>
        <v>ATTENTION</v>
      </c>
      <c r="AV35" s="624">
        <f>'(E1) Vlerësimi i burimeve'!X44</f>
        <v>1500000</v>
      </c>
      <c r="AW35" s="625" t="str">
        <f t="shared" si="4"/>
        <v>ATTENTION</v>
      </c>
      <c r="AX35" s="624">
        <f>'(E1) Vlerësimi i burimeve'!AG44</f>
        <v>1500000</v>
      </c>
      <c r="AY35" s="625" t="str">
        <f t="shared" si="5"/>
        <v>ATTENTION</v>
      </c>
      <c r="AZ35" s="491">
        <f t="shared" si="16"/>
        <v>2166633.0483925268</v>
      </c>
      <c r="BA35" s="491">
        <f t="shared" si="17"/>
        <v>2927474.8781538485</v>
      </c>
      <c r="BB35" s="491">
        <f t="shared" si="18"/>
        <v>3685394.3420939515</v>
      </c>
    </row>
    <row r="36" spans="1:54" s="509" customFormat="1" ht="15.75" thickBot="1" x14ac:dyDescent="0.3">
      <c r="A36" s="510" t="str">
        <f>'(C2) Burimet viti kaluar'!C45</f>
        <v>A.3.5</v>
      </c>
      <c r="B36" s="522" t="str">
        <f>'(G1) Fjalori'!A253</f>
        <v>Tarifa për shërbimet administrative të bashkisë</v>
      </c>
      <c r="C36" s="620"/>
      <c r="D36" s="520">
        <f>'(C2) Burimet viti kaluar'!D45</f>
        <v>31077612</v>
      </c>
      <c r="E36" s="520">
        <f>'(C2) Burimet viti kaluar'!E45</f>
        <v>25360257</v>
      </c>
      <c r="F36" s="520">
        <f>'(C2) Burimet viti kaluar'!F45</f>
        <v>31570000</v>
      </c>
      <c r="G36" s="520"/>
      <c r="H36" s="523"/>
      <c r="I36" s="523"/>
      <c r="J36" s="523"/>
      <c r="K36" s="523"/>
      <c r="L36" s="523"/>
      <c r="M36" s="523"/>
      <c r="N36" s="524"/>
      <c r="O36" s="523">
        <f>SUM(O37:O49)</f>
        <v>31571000</v>
      </c>
      <c r="P36" s="520"/>
      <c r="Q36" s="523"/>
      <c r="R36" s="523"/>
      <c r="S36" s="523"/>
      <c r="T36" s="523"/>
      <c r="U36" s="523"/>
      <c r="V36" s="523"/>
      <c r="W36" s="524"/>
      <c r="X36" s="523">
        <f>SUM(X37:X49)</f>
        <v>31571100</v>
      </c>
      <c r="Y36" s="520"/>
      <c r="Z36" s="523"/>
      <c r="AA36" s="523"/>
      <c r="AB36" s="523"/>
      <c r="AC36" s="523"/>
      <c r="AD36" s="523"/>
      <c r="AE36" s="523"/>
      <c r="AF36" s="524"/>
      <c r="AG36" s="524">
        <f>SUM(AG37:AG49)</f>
        <v>31571100</v>
      </c>
      <c r="AI36" s="493" t="str">
        <f t="shared" si="6"/>
        <v>Tarifa për shërbimet administrative të bashkisë</v>
      </c>
      <c r="AJ36" s="517"/>
      <c r="AK36" s="483">
        <f t="shared" si="7"/>
        <v>31077612</v>
      </c>
      <c r="AL36" s="483">
        <f t="shared" si="8"/>
        <v>25360257</v>
      </c>
      <c r="AM36" s="483">
        <f t="shared" si="9"/>
        <v>31570000</v>
      </c>
      <c r="AN36" s="491">
        <f t="shared" si="10"/>
        <v>30275218.901949</v>
      </c>
      <c r="AO36" s="491">
        <f t="shared" si="11"/>
        <v>30048509.429798</v>
      </c>
      <c r="AP36" s="491">
        <f t="shared" si="12"/>
        <v>29821799.957647</v>
      </c>
      <c r="AQ36" s="491">
        <f t="shared" si="13"/>
        <v>34774194.052904055</v>
      </c>
      <c r="AR36" s="491">
        <f t="shared" si="14"/>
        <v>34635701.646729983</v>
      </c>
      <c r="AS36" s="491">
        <f t="shared" si="15"/>
        <v>34600899.708866082</v>
      </c>
      <c r="AT36" s="624">
        <f>'(E1) Vlerësimi i burimeve'!O46</f>
        <v>38762170</v>
      </c>
      <c r="AU36" s="625" t="str">
        <f t="shared" si="3"/>
        <v>ATTENTION</v>
      </c>
      <c r="AV36" s="624">
        <f>'(E1) Vlerësimi i burimeve'!X46</f>
        <v>39101850.502000004</v>
      </c>
      <c r="AW36" s="625" t="str">
        <f t="shared" si="4"/>
        <v>ATTENTION</v>
      </c>
      <c r="AX36" s="624">
        <f>'(E1) Vlerësimi i burimeve'!AG46</f>
        <v>39141927.989083305</v>
      </c>
      <c r="AY36" s="625" t="str">
        <f t="shared" si="5"/>
        <v>ATTENTION</v>
      </c>
      <c r="AZ36" s="491">
        <f t="shared" si="16"/>
        <v>25776243.750993945</v>
      </c>
      <c r="BA36" s="491">
        <f t="shared" si="17"/>
        <v>25461317.212866016</v>
      </c>
      <c r="BB36" s="491">
        <f t="shared" si="18"/>
        <v>25042700.206427917</v>
      </c>
    </row>
    <row r="37" spans="1:54" s="492" customFormat="1" ht="15.75" thickBot="1" x14ac:dyDescent="0.3">
      <c r="A37" s="520" t="str">
        <f>'(C2) Burimet viti kaluar'!C46</f>
        <v>A.3.5.1</v>
      </c>
      <c r="B37" s="1187" t="str">
        <f>'(G1) Fjalori'!A254</f>
        <v>Tarifa për shërbimet administrative të bashkisë</v>
      </c>
      <c r="C37" s="1188"/>
      <c r="D37" s="513">
        <f>'(C2) Burimet viti kaluar'!D46</f>
        <v>402200</v>
      </c>
      <c r="E37" s="513">
        <f>'(C2) Burimet viti kaluar'!E46</f>
        <v>0</v>
      </c>
      <c r="F37" s="513">
        <f>'(C2) Burimet viti kaluar'!F46</f>
        <v>1000000</v>
      </c>
      <c r="G37" s="1185"/>
      <c r="H37" s="1186"/>
      <c r="I37" s="514"/>
      <c r="J37" s="514"/>
      <c r="K37" s="514"/>
      <c r="L37" s="514"/>
      <c r="M37" s="514"/>
      <c r="N37" s="515"/>
      <c r="O37" s="516">
        <f t="shared" ref="O37:O49" si="22">IF(F37&lt;&gt;0,F37*(1+(SUM(I37:M37))),N37)</f>
        <v>1000000</v>
      </c>
      <c r="P37" s="1185"/>
      <c r="Q37" s="1186"/>
      <c r="R37" s="514"/>
      <c r="S37" s="514"/>
      <c r="T37" s="514"/>
      <c r="U37" s="514"/>
      <c r="V37" s="514"/>
      <c r="W37" s="515"/>
      <c r="X37" s="516">
        <f t="shared" ref="X37:X49" si="23">IF(O37&lt;&gt;0,O37*(1+(SUM(R37:V37))),W37)</f>
        <v>1000000</v>
      </c>
      <c r="Y37" s="1185"/>
      <c r="Z37" s="1186"/>
      <c r="AA37" s="514"/>
      <c r="AB37" s="514"/>
      <c r="AC37" s="514"/>
      <c r="AD37" s="514"/>
      <c r="AE37" s="514"/>
      <c r="AF37" s="515"/>
      <c r="AG37" s="516">
        <f t="shared" ref="AG37:AG49" si="24">IF(X37&lt;&gt;0,X37*(1+(SUM(AA37:AE37))),AF37)</f>
        <v>1000000</v>
      </c>
      <c r="AI37" s="493" t="str">
        <f t="shared" si="6"/>
        <v>Tarifa për shërbimet administrative të bashkisë</v>
      </c>
      <c r="AJ37" s="517"/>
      <c r="AK37" s="483">
        <f t="shared" si="7"/>
        <v>402200</v>
      </c>
      <c r="AL37" s="483">
        <f t="shared" si="8"/>
        <v>0</v>
      </c>
      <c r="AM37" s="483">
        <f t="shared" si="9"/>
        <v>1000000</v>
      </c>
      <c r="AN37" s="491">
        <f t="shared" si="10"/>
        <v>1117736.4611</v>
      </c>
      <c r="AO37" s="491">
        <f t="shared" si="11"/>
        <v>1361039.9321999997</v>
      </c>
      <c r="AP37" s="491">
        <f t="shared" si="12"/>
        <v>1604343.4032999999</v>
      </c>
      <c r="AQ37" s="491">
        <f t="shared" si="13"/>
        <v>1646654.9756178805</v>
      </c>
      <c r="AR37" s="491">
        <f t="shared" si="14"/>
        <v>1900329.6174681201</v>
      </c>
      <c r="AS37" s="491">
        <f t="shared" si="15"/>
        <v>2166194.5485793795</v>
      </c>
      <c r="AT37" s="624">
        <f>'(E1) Vlerësimi i burimeve'!O47</f>
        <v>635950.00000000012</v>
      </c>
      <c r="AU37" s="625" t="str">
        <f t="shared" si="3"/>
        <v>Plausible</v>
      </c>
      <c r="AV37" s="624">
        <f>'(E1) Vlerësimi i burimeve'!X47</f>
        <v>635950.00000000012</v>
      </c>
      <c r="AW37" s="625" t="str">
        <f t="shared" si="4"/>
        <v>ATTENTION</v>
      </c>
      <c r="AX37" s="624">
        <f>'(E1) Vlerësimi i burimeve'!AG47</f>
        <v>635950.00000000012</v>
      </c>
      <c r="AY37" s="625" t="str">
        <f t="shared" si="5"/>
        <v>ATTENTION</v>
      </c>
      <c r="AZ37" s="491">
        <f t="shared" si="16"/>
        <v>588817.94658211956</v>
      </c>
      <c r="BA37" s="491">
        <f t="shared" si="17"/>
        <v>821750.24693187932</v>
      </c>
      <c r="BB37" s="491">
        <f t="shared" si="18"/>
        <v>1042492.2580206202</v>
      </c>
    </row>
    <row r="38" spans="1:54" s="492" customFormat="1" ht="15.75" thickBot="1" x14ac:dyDescent="0.3">
      <c r="A38" s="520" t="str">
        <f>'(C2) Burimet viti kaluar'!C47</f>
        <v>A.3.5.2</v>
      </c>
      <c r="B38" s="1187" t="str">
        <f>'(G1) Fjalori'!A255</f>
        <v>Tarifa për dhënien e liçensave, lejeve e autorizimeve</v>
      </c>
      <c r="C38" s="1188"/>
      <c r="D38" s="513">
        <f>'(C2) Burimet viti kaluar'!D47</f>
        <v>668110</v>
      </c>
      <c r="E38" s="513">
        <f>'(C2) Burimet viti kaluar'!E47</f>
        <v>0</v>
      </c>
      <c r="F38" s="513">
        <f>'(C2) Burimet viti kaluar'!F47</f>
        <v>0</v>
      </c>
      <c r="G38" s="1185"/>
      <c r="H38" s="1186"/>
      <c r="I38" s="514"/>
      <c r="J38" s="514"/>
      <c r="K38" s="514"/>
      <c r="L38" s="514"/>
      <c r="M38" s="514"/>
      <c r="N38" s="515">
        <v>1000</v>
      </c>
      <c r="O38" s="516">
        <f t="shared" si="22"/>
        <v>1000</v>
      </c>
      <c r="P38" s="1185"/>
      <c r="Q38" s="1186"/>
      <c r="R38" s="514">
        <v>0.1</v>
      </c>
      <c r="S38" s="514"/>
      <c r="T38" s="514"/>
      <c r="U38" s="514"/>
      <c r="V38" s="514"/>
      <c r="W38" s="515"/>
      <c r="X38" s="516">
        <f t="shared" si="23"/>
        <v>1100</v>
      </c>
      <c r="Y38" s="1185"/>
      <c r="Z38" s="1186"/>
      <c r="AA38" s="514"/>
      <c r="AB38" s="514"/>
      <c r="AC38" s="514"/>
      <c r="AD38" s="514"/>
      <c r="AE38" s="514"/>
      <c r="AF38" s="515"/>
      <c r="AG38" s="516">
        <f t="shared" si="24"/>
        <v>1100</v>
      </c>
      <c r="AI38" s="493" t="str">
        <f t="shared" si="6"/>
        <v>Tarifa për dhënien e liçensave, lejeve e autorizimeve</v>
      </c>
      <c r="AJ38" s="517"/>
      <c r="AK38" s="483">
        <f t="shared" si="7"/>
        <v>668110</v>
      </c>
      <c r="AL38" s="483">
        <f t="shared" si="8"/>
        <v>0</v>
      </c>
      <c r="AM38" s="483">
        <f t="shared" si="9"/>
        <v>0</v>
      </c>
      <c r="AN38" s="491">
        <f t="shared" si="10"/>
        <v>-420374.47794500011</v>
      </c>
      <c r="AO38" s="491">
        <f t="shared" si="11"/>
        <v>-780919.70539000013</v>
      </c>
      <c r="AP38" s="491">
        <f t="shared" si="12"/>
        <v>-1141464.9328350001</v>
      </c>
      <c r="AQ38" s="491">
        <f t="shared" si="13"/>
        <v>-168359.25277416784</v>
      </c>
      <c r="AR38" s="491">
        <f t="shared" si="14"/>
        <v>-523962.90063712327</v>
      </c>
      <c r="AS38" s="491">
        <f t="shared" si="15"/>
        <v>-873758.20863545197</v>
      </c>
      <c r="AT38" s="624">
        <f>'(E1) Vlerësimi i burimeve'!O48</f>
        <v>500000</v>
      </c>
      <c r="AU38" s="625" t="str">
        <f t="shared" si="3"/>
        <v>ATTENTION</v>
      </c>
      <c r="AV38" s="624">
        <f>'(E1) Vlerësimi i burimeve'!X48</f>
        <v>500000</v>
      </c>
      <c r="AW38" s="625" t="str">
        <f t="shared" si="4"/>
        <v>ATTENTION</v>
      </c>
      <c r="AX38" s="624">
        <f>'(E1) Vlerësimi i burimeve'!AG48</f>
        <v>500000</v>
      </c>
      <c r="AY38" s="625" t="str">
        <f t="shared" si="5"/>
        <v>ATTENTION</v>
      </c>
      <c r="AZ38" s="491">
        <f t="shared" si="16"/>
        <v>-672389.70311583241</v>
      </c>
      <c r="BA38" s="491">
        <f t="shared" si="17"/>
        <v>-1037876.510142877</v>
      </c>
      <c r="BB38" s="491">
        <f t="shared" si="18"/>
        <v>-1409171.6570345482</v>
      </c>
    </row>
    <row r="39" spans="1:54" s="492" customFormat="1" ht="15.75" thickBot="1" x14ac:dyDescent="0.3">
      <c r="A39" s="520" t="str">
        <f>'(C2) Burimet viti kaluar'!C48</f>
        <v>A.3.5.3</v>
      </c>
      <c r="B39" s="1187" t="str">
        <f>'(G1) Fjalori'!A256</f>
        <v>Tarifa të kontrollit të zhvillimit të territorit</v>
      </c>
      <c r="C39" s="1188"/>
      <c r="D39" s="513">
        <f>'(C2) Burimet viti kaluar'!D48</f>
        <v>19069131</v>
      </c>
      <c r="E39" s="513">
        <f>'(C2) Burimet viti kaluar'!E48</f>
        <v>9107938</v>
      </c>
      <c r="F39" s="513">
        <f>'(C2) Burimet viti kaluar'!F48</f>
        <v>17000000</v>
      </c>
      <c r="G39" s="1185"/>
      <c r="H39" s="1186"/>
      <c r="I39" s="514"/>
      <c r="J39" s="514"/>
      <c r="K39" s="514"/>
      <c r="L39" s="514"/>
      <c r="M39" s="514"/>
      <c r="N39" s="515"/>
      <c r="O39" s="516">
        <f t="shared" si="22"/>
        <v>17000000</v>
      </c>
      <c r="P39" s="1185"/>
      <c r="Q39" s="1186"/>
      <c r="R39" s="514"/>
      <c r="S39" s="514"/>
      <c r="T39" s="514"/>
      <c r="U39" s="514"/>
      <c r="V39" s="514"/>
      <c r="W39" s="515"/>
      <c r="X39" s="516">
        <f t="shared" si="23"/>
        <v>17000000</v>
      </c>
      <c r="Y39" s="1185"/>
      <c r="Z39" s="1186"/>
      <c r="AA39" s="514"/>
      <c r="AB39" s="514"/>
      <c r="AC39" s="514"/>
      <c r="AD39" s="514"/>
      <c r="AE39" s="514"/>
      <c r="AF39" s="515"/>
      <c r="AG39" s="516">
        <f t="shared" si="24"/>
        <v>17000000</v>
      </c>
      <c r="AI39" s="493" t="str">
        <f t="shared" si="6"/>
        <v>Tarifa të kontrollit të zhvillimit të territorit</v>
      </c>
      <c r="AJ39" s="517"/>
      <c r="AK39" s="483">
        <f t="shared" si="7"/>
        <v>19069131</v>
      </c>
      <c r="AL39" s="483">
        <f t="shared" si="8"/>
        <v>9107938</v>
      </c>
      <c r="AM39" s="483">
        <f t="shared" si="9"/>
        <v>17000000</v>
      </c>
      <c r="AN39" s="491">
        <f t="shared" si="10"/>
        <v>13658802.880627498</v>
      </c>
      <c r="AO39" s="491">
        <f t="shared" si="11"/>
        <v>11916364.746505002</v>
      </c>
      <c r="AP39" s="491">
        <f t="shared" si="12"/>
        <v>10173926.6123825</v>
      </c>
      <c r="AQ39" s="491">
        <f t="shared" si="13"/>
        <v>20393161.113339607</v>
      </c>
      <c r="AR39" s="491">
        <f t="shared" si="14"/>
        <v>18782772.013629161</v>
      </c>
      <c r="AS39" s="491">
        <f t="shared" si="15"/>
        <v>17327593.542003676</v>
      </c>
      <c r="AT39" s="624">
        <f>'(E1) Vlerësimi i burimeve'!O49</f>
        <v>17500000</v>
      </c>
      <c r="AU39" s="625" t="str">
        <f t="shared" si="3"/>
        <v>Plausible</v>
      </c>
      <c r="AV39" s="624">
        <f>'(E1) Vlerësimi i burimeve'!X49</f>
        <v>17600000</v>
      </c>
      <c r="AW39" s="625" t="str">
        <f t="shared" si="4"/>
        <v>Plausible</v>
      </c>
      <c r="AX39" s="624">
        <f>'(E1) Vlerësimi i burimeve'!AG49</f>
        <v>17600000</v>
      </c>
      <c r="AY39" s="625" t="str">
        <f t="shared" si="5"/>
        <v>ATTENTION</v>
      </c>
      <c r="AZ39" s="491">
        <f t="shared" si="16"/>
        <v>6924444.6479153885</v>
      </c>
      <c r="BA39" s="491">
        <f t="shared" si="17"/>
        <v>5049957.4793808423</v>
      </c>
      <c r="BB39" s="491">
        <f t="shared" si="18"/>
        <v>3020259.6827613246</v>
      </c>
    </row>
    <row r="40" spans="1:54" s="492" customFormat="1" ht="15.75" thickBot="1" x14ac:dyDescent="0.3">
      <c r="A40" s="520" t="str">
        <f>'(C2) Burimet viti kaluar'!C49</f>
        <v>A.3.5.4</v>
      </c>
      <c r="B40" s="1187" t="str">
        <f>'(G1) Fjalori'!A257</f>
        <v>Tarifa për vulosje veterinarie të bagëtive të therura</v>
      </c>
      <c r="C40" s="1188"/>
      <c r="D40" s="513">
        <f>'(C2) Burimet viti kaluar'!D49</f>
        <v>796800</v>
      </c>
      <c r="E40" s="513">
        <f>'(C2) Burimet viti kaluar'!E49</f>
        <v>910000</v>
      </c>
      <c r="F40" s="513">
        <f>'(C2) Burimet viti kaluar'!F49</f>
        <v>770000</v>
      </c>
      <c r="G40" s="1185"/>
      <c r="H40" s="1186"/>
      <c r="I40" s="514"/>
      <c r="J40" s="514"/>
      <c r="K40" s="514"/>
      <c r="L40" s="514"/>
      <c r="M40" s="514"/>
      <c r="N40" s="515"/>
      <c r="O40" s="516">
        <f t="shared" si="22"/>
        <v>770000</v>
      </c>
      <c r="P40" s="1185"/>
      <c r="Q40" s="1186"/>
      <c r="R40" s="514"/>
      <c r="S40" s="514"/>
      <c r="T40" s="514"/>
      <c r="U40" s="514"/>
      <c r="V40" s="514"/>
      <c r="W40" s="515"/>
      <c r="X40" s="516">
        <f t="shared" si="23"/>
        <v>770000</v>
      </c>
      <c r="Y40" s="1185"/>
      <c r="Z40" s="1186"/>
      <c r="AA40" s="514"/>
      <c r="AB40" s="514"/>
      <c r="AC40" s="514"/>
      <c r="AD40" s="514"/>
      <c r="AE40" s="514"/>
      <c r="AF40" s="515"/>
      <c r="AG40" s="516">
        <f t="shared" si="24"/>
        <v>770000</v>
      </c>
      <c r="AI40" s="493" t="str">
        <f t="shared" si="6"/>
        <v>Tarifa për vulosje veterinarie të bagëtive të therura</v>
      </c>
      <c r="AJ40" s="517"/>
      <c r="AK40" s="483">
        <f t="shared" si="7"/>
        <v>796800</v>
      </c>
      <c r="AL40" s="483">
        <f t="shared" si="8"/>
        <v>910000</v>
      </c>
      <c r="AM40" s="483">
        <f t="shared" si="9"/>
        <v>770000</v>
      </c>
      <c r="AN40" s="491">
        <f t="shared" si="10"/>
        <v>789313.3134000001</v>
      </c>
      <c r="AO40" s="491">
        <f t="shared" si="11"/>
        <v>785952.56680000003</v>
      </c>
      <c r="AP40" s="491">
        <f t="shared" si="12"/>
        <v>782591.82020000007</v>
      </c>
      <c r="AQ40" s="491">
        <f t="shared" si="13"/>
        <v>884821.91978705418</v>
      </c>
      <c r="AR40" s="491">
        <f t="shared" si="14"/>
        <v>883333.9305925318</v>
      </c>
      <c r="AS40" s="491">
        <f t="shared" si="15"/>
        <v>884047.18319011491</v>
      </c>
      <c r="AT40" s="624">
        <f>'(E1) Vlerësimi i burimeve'!O50</f>
        <v>800000</v>
      </c>
      <c r="AU40" s="625" t="str">
        <f t="shared" si="3"/>
        <v>Plausible</v>
      </c>
      <c r="AV40" s="624">
        <f>'(E1) Vlerësimi i burimeve'!X50</f>
        <v>800000</v>
      </c>
      <c r="AW40" s="625" t="str">
        <f t="shared" si="4"/>
        <v>Plausible</v>
      </c>
      <c r="AX40" s="624">
        <f>'(E1) Vlerësimi i burimeve'!AG50</f>
        <v>800000</v>
      </c>
      <c r="AY40" s="625" t="str">
        <f t="shared" si="5"/>
        <v>Plausible</v>
      </c>
      <c r="AZ40" s="491">
        <f t="shared" si="16"/>
        <v>693804.70701294602</v>
      </c>
      <c r="BA40" s="491">
        <f t="shared" si="17"/>
        <v>688571.20300746826</v>
      </c>
      <c r="BB40" s="491">
        <f t="shared" si="18"/>
        <v>681136.45720988524</v>
      </c>
    </row>
    <row r="41" spans="1:54" s="492" customFormat="1" ht="15.75" thickBot="1" x14ac:dyDescent="0.3">
      <c r="A41" s="520" t="str">
        <f>'(C2) Burimet viti kaluar'!C50</f>
        <v>A.3.5.5</v>
      </c>
      <c r="B41" s="1187" t="str">
        <f>'(G1) Fjalori'!A258</f>
        <v>Tarifa e liçensimit të veprimtarive të transportit</v>
      </c>
      <c r="C41" s="1188"/>
      <c r="D41" s="513">
        <f>'(C2) Burimet viti kaluar'!D50</f>
        <v>776563</v>
      </c>
      <c r="E41" s="513">
        <f>'(C2) Burimet viti kaluar'!E50</f>
        <v>1203844</v>
      </c>
      <c r="F41" s="513">
        <f>'(C2) Burimet viti kaluar'!F50</f>
        <v>1000000</v>
      </c>
      <c r="G41" s="1185"/>
      <c r="H41" s="1186"/>
      <c r="I41" s="514"/>
      <c r="J41" s="514"/>
      <c r="K41" s="514"/>
      <c r="L41" s="514"/>
      <c r="M41" s="514"/>
      <c r="N41" s="515"/>
      <c r="O41" s="516">
        <f t="shared" si="22"/>
        <v>1000000</v>
      </c>
      <c r="P41" s="1185"/>
      <c r="Q41" s="1186"/>
      <c r="R41" s="514"/>
      <c r="S41" s="514"/>
      <c r="T41" s="514"/>
      <c r="U41" s="514"/>
      <c r="V41" s="514"/>
      <c r="W41" s="515"/>
      <c r="X41" s="516">
        <f t="shared" si="23"/>
        <v>1000000</v>
      </c>
      <c r="Y41" s="1185"/>
      <c r="Z41" s="1186"/>
      <c r="AA41" s="514"/>
      <c r="AB41" s="514"/>
      <c r="AC41" s="514"/>
      <c r="AD41" s="514"/>
      <c r="AE41" s="514"/>
      <c r="AF41" s="515"/>
      <c r="AG41" s="516">
        <f t="shared" si="24"/>
        <v>1000000</v>
      </c>
      <c r="AI41" s="493" t="str">
        <f t="shared" si="6"/>
        <v>Tarifa e liçensimit të veprimtarive të transportit</v>
      </c>
      <c r="AJ41" s="517"/>
      <c r="AK41" s="483">
        <f t="shared" si="7"/>
        <v>776563</v>
      </c>
      <c r="AL41" s="483">
        <f t="shared" si="8"/>
        <v>1203844</v>
      </c>
      <c r="AM41" s="483">
        <f t="shared" si="9"/>
        <v>1000000</v>
      </c>
      <c r="AN41" s="491">
        <f t="shared" si="10"/>
        <v>1193259.5344374999</v>
      </c>
      <c r="AO41" s="491">
        <f t="shared" si="11"/>
        <v>1330001.825125</v>
      </c>
      <c r="AP41" s="491">
        <f t="shared" si="12"/>
        <v>1466744.1158125</v>
      </c>
      <c r="AQ41" s="491">
        <f t="shared" si="13"/>
        <v>1431323.788805705</v>
      </c>
      <c r="AR41" s="491">
        <f t="shared" si="14"/>
        <v>1572734.1048389084</v>
      </c>
      <c r="AS41" s="491">
        <f t="shared" si="15"/>
        <v>1719631.2246874454</v>
      </c>
      <c r="AT41" s="624">
        <f>'(E1) Vlerësimi i burimeve'!O51</f>
        <v>1000000</v>
      </c>
      <c r="AU41" s="625" t="str">
        <f t="shared" si="3"/>
        <v>Plausible</v>
      </c>
      <c r="AV41" s="624">
        <f>'(E1) Vlerësimi i burimeve'!X51</f>
        <v>1200000</v>
      </c>
      <c r="AW41" s="625" t="str">
        <f t="shared" si="4"/>
        <v>Plausible</v>
      </c>
      <c r="AX41" s="624">
        <f>'(E1) Vlerësimi i burimeve'!AG51</f>
        <v>1200000</v>
      </c>
      <c r="AY41" s="625" t="str">
        <f t="shared" si="5"/>
        <v>ATTENTION</v>
      </c>
      <c r="AZ41" s="491">
        <f t="shared" si="16"/>
        <v>955195.28006929485</v>
      </c>
      <c r="BA41" s="491">
        <f t="shared" si="17"/>
        <v>1087269.5454110915</v>
      </c>
      <c r="BB41" s="491">
        <f t="shared" si="18"/>
        <v>1213857.0069375546</v>
      </c>
    </row>
    <row r="42" spans="1:54" s="492" customFormat="1" ht="15.75" thickBot="1" x14ac:dyDescent="0.3">
      <c r="A42" s="520" t="str">
        <f>'(C2) Burimet viti kaluar'!C51</f>
        <v>A.3.5.6</v>
      </c>
      <c r="B42" s="1187" t="str">
        <f>'(G1) Fjalori'!A259</f>
        <v>Tarifa e parkimit për mjetet e liçensuara dhe vendparkime publike</v>
      </c>
      <c r="C42" s="1188"/>
      <c r="D42" s="513">
        <f>'(C2) Burimet viti kaluar'!D51</f>
        <v>2567926</v>
      </c>
      <c r="E42" s="513">
        <f>'(C2) Burimet viti kaluar'!E51</f>
        <v>2421850</v>
      </c>
      <c r="F42" s="513">
        <f>'(C2) Burimet viti kaluar'!F51</f>
        <v>4000000</v>
      </c>
      <c r="G42" s="1185"/>
      <c r="H42" s="1186"/>
      <c r="I42" s="514"/>
      <c r="J42" s="514"/>
      <c r="K42" s="514"/>
      <c r="L42" s="514"/>
      <c r="M42" s="514"/>
      <c r="N42" s="515"/>
      <c r="O42" s="516">
        <f t="shared" si="22"/>
        <v>4000000</v>
      </c>
      <c r="P42" s="1185"/>
      <c r="Q42" s="1186"/>
      <c r="R42" s="514"/>
      <c r="S42" s="514"/>
      <c r="T42" s="514"/>
      <c r="U42" s="514"/>
      <c r="V42" s="514"/>
      <c r="W42" s="515"/>
      <c r="X42" s="516">
        <f t="shared" si="23"/>
        <v>4000000</v>
      </c>
      <c r="Y42" s="1185"/>
      <c r="Z42" s="1186"/>
      <c r="AA42" s="514"/>
      <c r="AB42" s="514"/>
      <c r="AC42" s="514"/>
      <c r="AD42" s="514"/>
      <c r="AE42" s="514"/>
      <c r="AF42" s="515"/>
      <c r="AG42" s="516">
        <f t="shared" si="24"/>
        <v>4000000</v>
      </c>
      <c r="AI42" s="493" t="str">
        <f t="shared" si="6"/>
        <v>Tarifa e parkimit për mjetet e liçensuara dhe vendparkime publike</v>
      </c>
      <c r="AJ42" s="517"/>
      <c r="AK42" s="483">
        <f t="shared" si="7"/>
        <v>2567926</v>
      </c>
      <c r="AL42" s="483">
        <f t="shared" si="8"/>
        <v>2421850</v>
      </c>
      <c r="AM42" s="483">
        <f t="shared" si="9"/>
        <v>4000000</v>
      </c>
      <c r="AN42" s="491">
        <f t="shared" si="10"/>
        <v>4493267.8629129995</v>
      </c>
      <c r="AO42" s="491">
        <f t="shared" si="11"/>
        <v>5140940.1641259994</v>
      </c>
      <c r="AP42" s="491">
        <f t="shared" si="12"/>
        <v>5788612.4653389994</v>
      </c>
      <c r="AQ42" s="491">
        <f t="shared" si="13"/>
        <v>5143656.5768005382</v>
      </c>
      <c r="AR42" s="491">
        <f t="shared" si="14"/>
        <v>5804081.8677853281</v>
      </c>
      <c r="AS42" s="491">
        <f t="shared" si="15"/>
        <v>6479497.0415909495</v>
      </c>
      <c r="AT42" s="624">
        <f>'(E1) Vlerësimi i burimeve'!O52</f>
        <v>4000000</v>
      </c>
      <c r="AU42" s="625" t="str">
        <f t="shared" si="3"/>
        <v>Plausible</v>
      </c>
      <c r="AV42" s="624">
        <f>'(E1) Vlerësimi i burimeve'!X52</f>
        <v>4000000</v>
      </c>
      <c r="AW42" s="625" t="str">
        <f t="shared" si="4"/>
        <v>ATTENTION</v>
      </c>
      <c r="AX42" s="624">
        <f>'(E1) Vlerësimi i burimeve'!AG52</f>
        <v>4000000</v>
      </c>
      <c r="AY42" s="625" t="str">
        <f t="shared" si="5"/>
        <v>ATTENTION</v>
      </c>
      <c r="AZ42" s="491">
        <f t="shared" si="16"/>
        <v>3842879.1490254607</v>
      </c>
      <c r="BA42" s="491">
        <f t="shared" si="17"/>
        <v>4477798.4604666708</v>
      </c>
      <c r="BB42" s="491">
        <f t="shared" si="18"/>
        <v>5097727.8890870493</v>
      </c>
    </row>
    <row r="43" spans="1:54" s="492" customFormat="1" ht="15.75" thickBot="1" x14ac:dyDescent="0.3">
      <c r="A43" s="520" t="str">
        <f>'(C2) Burimet viti kaluar'!C52</f>
        <v>A.3.5.7</v>
      </c>
      <c r="B43" s="1187" t="str">
        <f>'(G1) Fjalori'!A260</f>
        <v>Tarifa për dhënie liçense për tregtimin e naftës bruto dhe nënprodukteve të saj</v>
      </c>
      <c r="C43" s="1188"/>
      <c r="D43" s="513">
        <f>'(C2) Burimet viti kaluar'!D52</f>
        <v>0</v>
      </c>
      <c r="E43" s="513">
        <f>'(C2) Burimet viti kaluar'!E52</f>
        <v>0</v>
      </c>
      <c r="F43" s="513">
        <f>'(C2) Burimet viti kaluar'!F52</f>
        <v>0</v>
      </c>
      <c r="G43" s="1185"/>
      <c r="H43" s="1186"/>
      <c r="I43" s="514">
        <v>0.1</v>
      </c>
      <c r="J43" s="514">
        <v>0.1</v>
      </c>
      <c r="K43" s="514"/>
      <c r="L43" s="514"/>
      <c r="M43" s="514"/>
      <c r="N43" s="515"/>
      <c r="O43" s="516">
        <f t="shared" si="22"/>
        <v>0</v>
      </c>
      <c r="P43" s="1185"/>
      <c r="Q43" s="1186"/>
      <c r="R43" s="514"/>
      <c r="S43" s="514"/>
      <c r="T43" s="514"/>
      <c r="U43" s="514"/>
      <c r="V43" s="514"/>
      <c r="W43" s="515"/>
      <c r="X43" s="516">
        <f t="shared" si="23"/>
        <v>0</v>
      </c>
      <c r="Y43" s="1185"/>
      <c r="Z43" s="1186"/>
      <c r="AA43" s="514">
        <v>0.1</v>
      </c>
      <c r="AB43" s="514"/>
      <c r="AC43" s="514"/>
      <c r="AD43" s="514"/>
      <c r="AE43" s="514">
        <v>0.04</v>
      </c>
      <c r="AF43" s="515"/>
      <c r="AG43" s="516">
        <f t="shared" si="24"/>
        <v>0</v>
      </c>
      <c r="AI43" s="493" t="str">
        <f t="shared" si="6"/>
        <v>Tarifa për dhënie liçense për tregtimin e naftës bruto dhe nënprodukteve të saj</v>
      </c>
      <c r="AJ43" s="517"/>
      <c r="AK43" s="483">
        <f t="shared" si="7"/>
        <v>0</v>
      </c>
      <c r="AL43" s="483">
        <f t="shared" si="8"/>
        <v>0</v>
      </c>
      <c r="AM43" s="483">
        <f t="shared" si="9"/>
        <v>0</v>
      </c>
      <c r="AN43" s="491">
        <f t="shared" si="10"/>
        <v>0</v>
      </c>
      <c r="AO43" s="491">
        <f t="shared" si="11"/>
        <v>0</v>
      </c>
      <c r="AP43" s="491">
        <f t="shared" si="12"/>
        <v>0</v>
      </c>
      <c r="AQ43" s="491">
        <f t="shared" si="13"/>
        <v>0</v>
      </c>
      <c r="AR43" s="491">
        <f t="shared" si="14"/>
        <v>0</v>
      </c>
      <c r="AS43" s="491">
        <f t="shared" si="15"/>
        <v>0</v>
      </c>
      <c r="AT43" s="624">
        <f>'(E1) Vlerësimi i burimeve'!O53</f>
        <v>0</v>
      </c>
      <c r="AU43" s="625" t="str">
        <f t="shared" si="3"/>
        <v>Plausible</v>
      </c>
      <c r="AV43" s="624">
        <f>'(E1) Vlerësimi i burimeve'!X53</f>
        <v>0</v>
      </c>
      <c r="AW43" s="625" t="str">
        <f t="shared" si="4"/>
        <v>Plausible</v>
      </c>
      <c r="AX43" s="624">
        <f>'(E1) Vlerësimi i burimeve'!AG53</f>
        <v>0</v>
      </c>
      <c r="AY43" s="625" t="str">
        <f t="shared" si="5"/>
        <v>Plausible</v>
      </c>
      <c r="AZ43" s="491">
        <f t="shared" si="16"/>
        <v>0</v>
      </c>
      <c r="BA43" s="491">
        <f t="shared" si="17"/>
        <v>0</v>
      </c>
      <c r="BB43" s="491">
        <f t="shared" si="18"/>
        <v>0</v>
      </c>
    </row>
    <row r="44" spans="1:54" s="492" customFormat="1" ht="15.75" thickBot="1" x14ac:dyDescent="0.3">
      <c r="A44" s="520" t="str">
        <f>'(C2) Burimet viti kaluar'!C53</f>
        <v>A.3.5.8</v>
      </c>
      <c r="B44" s="1187" t="str">
        <f>'(G1) Fjalori'!A261</f>
        <v>Tarifa për pyejt dhe kullotat</v>
      </c>
      <c r="C44" s="1188"/>
      <c r="D44" s="513">
        <f>'(C2) Burimet viti kaluar'!D53</f>
        <v>428130</v>
      </c>
      <c r="E44" s="513">
        <f>'(C2) Burimet viti kaluar'!E53</f>
        <v>345541</v>
      </c>
      <c r="F44" s="513">
        <f>'(C2) Burimet viti kaluar'!F53</f>
        <v>500000</v>
      </c>
      <c r="G44" s="1185"/>
      <c r="H44" s="1186"/>
      <c r="I44" s="514"/>
      <c r="J44" s="514"/>
      <c r="K44" s="514"/>
      <c r="L44" s="514"/>
      <c r="M44" s="514"/>
      <c r="N44" s="515"/>
      <c r="O44" s="516">
        <f t="shared" si="22"/>
        <v>500000</v>
      </c>
      <c r="P44" s="1185"/>
      <c r="Q44" s="1186"/>
      <c r="R44" s="514"/>
      <c r="S44" s="514"/>
      <c r="T44" s="514"/>
      <c r="U44" s="514"/>
      <c r="V44" s="514"/>
      <c r="W44" s="515"/>
      <c r="X44" s="516">
        <f t="shared" si="23"/>
        <v>500000</v>
      </c>
      <c r="Y44" s="1185"/>
      <c r="Z44" s="1186"/>
      <c r="AA44" s="514"/>
      <c r="AB44" s="514"/>
      <c r="AC44" s="514"/>
      <c r="AD44" s="514"/>
      <c r="AE44" s="514"/>
      <c r="AF44" s="515"/>
      <c r="AG44" s="516">
        <f t="shared" si="24"/>
        <v>500000</v>
      </c>
      <c r="AI44" s="493" t="str">
        <f t="shared" si="6"/>
        <v>Tarifa për pyejt dhe kullotat</v>
      </c>
      <c r="AJ44" s="517"/>
      <c r="AK44" s="483">
        <f t="shared" si="7"/>
        <v>428130</v>
      </c>
      <c r="AL44" s="483">
        <f t="shared" si="8"/>
        <v>345541</v>
      </c>
      <c r="AM44" s="483">
        <f t="shared" si="9"/>
        <v>500000</v>
      </c>
      <c r="AN44" s="491">
        <f t="shared" si="10"/>
        <v>505308.516924</v>
      </c>
      <c r="AO44" s="491">
        <f t="shared" si="11"/>
        <v>531844.68224800006</v>
      </c>
      <c r="AP44" s="491">
        <f t="shared" si="12"/>
        <v>558380.847572</v>
      </c>
      <c r="AQ44" s="491">
        <f t="shared" si="13"/>
        <v>594724.48898892256</v>
      </c>
      <c r="AR44" s="491">
        <f t="shared" si="14"/>
        <v>623013.94577206043</v>
      </c>
      <c r="AS44" s="491">
        <f t="shared" si="15"/>
        <v>653364.22389933304</v>
      </c>
      <c r="AT44" s="624">
        <f>'(E1) Vlerësimi i burimeve'!O54</f>
        <v>2800000</v>
      </c>
      <c r="AU44" s="625" t="str">
        <f t="shared" si="3"/>
        <v>ATTENTION</v>
      </c>
      <c r="AV44" s="624">
        <f>'(E1) Vlerësimi i burimeve'!X54</f>
        <v>2800000</v>
      </c>
      <c r="AW44" s="625" t="str">
        <f t="shared" si="4"/>
        <v>ATTENTION</v>
      </c>
      <c r="AX44" s="624">
        <f>'(E1) Vlerësimi i burimeve'!AG54</f>
        <v>2800000</v>
      </c>
      <c r="AY44" s="625" t="str">
        <f t="shared" si="5"/>
        <v>ATTENTION</v>
      </c>
      <c r="AZ44" s="491">
        <f t="shared" si="16"/>
        <v>415892.54485907737</v>
      </c>
      <c r="BA44" s="491">
        <f t="shared" si="17"/>
        <v>440675.41872393969</v>
      </c>
      <c r="BB44" s="491">
        <f t="shared" si="18"/>
        <v>463397.47124466696</v>
      </c>
    </row>
    <row r="45" spans="1:54" s="492" customFormat="1" ht="15.75" thickBot="1" x14ac:dyDescent="0.3">
      <c r="A45" s="520" t="str">
        <f>'(C2) Burimet viti kaluar'!C54</f>
        <v>A.3.5.9</v>
      </c>
      <c r="B45" s="1187" t="str">
        <f>'(G1) Fjalori'!A262</f>
        <v>Tarifa për shërbimet shtesë nga zjarrëfiksja</v>
      </c>
      <c r="C45" s="1188"/>
      <c r="D45" s="513">
        <f>'(C2) Burimet viti kaluar'!D54</f>
        <v>147240</v>
      </c>
      <c r="E45" s="513">
        <f>'(C2) Burimet viti kaluar'!E54</f>
        <v>249268</v>
      </c>
      <c r="F45" s="513">
        <f>'(C2) Burimet viti kaluar'!F54</f>
        <v>200000</v>
      </c>
      <c r="G45" s="1185"/>
      <c r="H45" s="1186"/>
      <c r="I45" s="514"/>
      <c r="J45" s="514"/>
      <c r="K45" s="514"/>
      <c r="L45" s="514"/>
      <c r="M45" s="514"/>
      <c r="N45" s="515"/>
      <c r="O45" s="516">
        <f t="shared" si="22"/>
        <v>200000</v>
      </c>
      <c r="P45" s="1185"/>
      <c r="Q45" s="1186"/>
      <c r="R45" s="514"/>
      <c r="S45" s="514"/>
      <c r="T45" s="514"/>
      <c r="U45" s="514"/>
      <c r="V45" s="514"/>
      <c r="W45" s="515"/>
      <c r="X45" s="516">
        <f t="shared" si="23"/>
        <v>200000</v>
      </c>
      <c r="Y45" s="1185"/>
      <c r="Z45" s="1186"/>
      <c r="AA45" s="514"/>
      <c r="AB45" s="514"/>
      <c r="AC45" s="514"/>
      <c r="AD45" s="514"/>
      <c r="AE45" s="514"/>
      <c r="AF45" s="515"/>
      <c r="AG45" s="516">
        <f t="shared" si="24"/>
        <v>200000</v>
      </c>
      <c r="AI45" s="493" t="str">
        <f t="shared" si="6"/>
        <v>Tarifa për shërbimet shtesë nga zjarrëfiksja</v>
      </c>
      <c r="AJ45" s="517"/>
      <c r="AK45" s="483">
        <f t="shared" si="7"/>
        <v>147240</v>
      </c>
      <c r="AL45" s="483">
        <f t="shared" si="8"/>
        <v>249268</v>
      </c>
      <c r="AM45" s="483">
        <f t="shared" si="9"/>
        <v>200000</v>
      </c>
      <c r="AN45" s="491">
        <f t="shared" si="10"/>
        <v>245927.36755199998</v>
      </c>
      <c r="AO45" s="491">
        <f t="shared" si="11"/>
        <v>278306.178304</v>
      </c>
      <c r="AP45" s="491">
        <f t="shared" si="12"/>
        <v>310684.98905600002</v>
      </c>
      <c r="AQ45" s="491">
        <f t="shared" si="13"/>
        <v>302997.15472394211</v>
      </c>
      <c r="AR45" s="491">
        <f t="shared" si="14"/>
        <v>336495.00459292135</v>
      </c>
      <c r="AS45" s="491">
        <f t="shared" si="15"/>
        <v>371308.17467587523</v>
      </c>
      <c r="AT45" s="624">
        <f>'(E1) Vlerësimi i burimeve'!O55</f>
        <v>200000</v>
      </c>
      <c r="AU45" s="625" t="str">
        <f t="shared" si="3"/>
        <v>Plausible</v>
      </c>
      <c r="AV45" s="624">
        <f>'(E1) Vlerësimi i burimeve'!X55</f>
        <v>200000</v>
      </c>
      <c r="AW45" s="625" t="str">
        <f t="shared" si="4"/>
        <v>ATTENTION</v>
      </c>
      <c r="AX45" s="624">
        <f>'(E1) Vlerësimi i burimeve'!AG55</f>
        <v>200000</v>
      </c>
      <c r="AY45" s="625" t="str">
        <f t="shared" si="5"/>
        <v>ATTENTION</v>
      </c>
      <c r="AZ45" s="491">
        <f t="shared" si="16"/>
        <v>188857.58038005786</v>
      </c>
      <c r="BA45" s="491">
        <f t="shared" si="17"/>
        <v>220117.35201507865</v>
      </c>
      <c r="BB45" s="491">
        <f t="shared" si="18"/>
        <v>250061.80343612478</v>
      </c>
    </row>
    <row r="46" spans="1:54" s="492" customFormat="1" ht="15.75" thickBot="1" x14ac:dyDescent="0.3">
      <c r="A46" s="520" t="str">
        <f>'(C2) Burimet viti kaluar'!C55</f>
        <v>A.3.5.10</v>
      </c>
      <c r="B46" s="1187" t="str">
        <f>'(G1) Fjalori'!A263</f>
        <v>Tarifa për zënien dhe përdorimin e hapsirës publike dhe fasadave</v>
      </c>
      <c r="C46" s="1188"/>
      <c r="D46" s="513">
        <f>'(C2) Burimet viti kaluar'!D55</f>
        <v>5420679</v>
      </c>
      <c r="E46" s="513">
        <f>'(C2) Burimet viti kaluar'!E55</f>
        <v>10106366</v>
      </c>
      <c r="F46" s="513">
        <f>'(C2) Burimet viti kaluar'!F55</f>
        <v>5500000</v>
      </c>
      <c r="G46" s="1185"/>
      <c r="H46" s="1186"/>
      <c r="I46" s="514"/>
      <c r="J46" s="514"/>
      <c r="K46" s="514"/>
      <c r="L46" s="514"/>
      <c r="M46" s="514"/>
      <c r="N46" s="515"/>
      <c r="O46" s="516">
        <f t="shared" si="22"/>
        <v>5500000</v>
      </c>
      <c r="P46" s="1185"/>
      <c r="Q46" s="1186"/>
      <c r="R46" s="514"/>
      <c r="S46" s="514"/>
      <c r="T46" s="514"/>
      <c r="U46" s="514"/>
      <c r="V46" s="514"/>
      <c r="W46" s="515"/>
      <c r="X46" s="516">
        <f t="shared" si="23"/>
        <v>5500000</v>
      </c>
      <c r="Y46" s="1185"/>
      <c r="Z46" s="1186"/>
      <c r="AA46" s="514"/>
      <c r="AB46" s="514"/>
      <c r="AC46" s="514"/>
      <c r="AD46" s="514"/>
      <c r="AE46" s="514"/>
      <c r="AF46" s="515"/>
      <c r="AG46" s="516">
        <f t="shared" si="24"/>
        <v>5500000</v>
      </c>
      <c r="AI46" s="493" t="str">
        <f t="shared" si="6"/>
        <v>Tarifa për zënien dhe përdorimin e hapsirës publike dhe fasadave</v>
      </c>
      <c r="AJ46" s="517"/>
      <c r="AK46" s="483">
        <f t="shared" si="7"/>
        <v>5420679</v>
      </c>
      <c r="AL46" s="483">
        <f t="shared" si="8"/>
        <v>10106366</v>
      </c>
      <c r="AM46" s="483">
        <f t="shared" si="9"/>
        <v>5500000</v>
      </c>
      <c r="AN46" s="491">
        <f t="shared" si="10"/>
        <v>6740189.1015735017</v>
      </c>
      <c r="AO46" s="491">
        <f t="shared" si="11"/>
        <v>7148274.8569970001</v>
      </c>
      <c r="AP46" s="491">
        <f t="shared" si="12"/>
        <v>7556360.6124205021</v>
      </c>
      <c r="AQ46" s="491">
        <f t="shared" si="13"/>
        <v>10245208.977184266</v>
      </c>
      <c r="AR46" s="491">
        <f t="shared" si="14"/>
        <v>10722022.066998921</v>
      </c>
      <c r="AS46" s="491">
        <f t="shared" si="15"/>
        <v>11279617.366126604</v>
      </c>
      <c r="AT46" s="624">
        <f>'(E1) Vlerësimi i burimeve'!O56</f>
        <v>9646220</v>
      </c>
      <c r="AU46" s="625" t="str">
        <f t="shared" si="3"/>
        <v>Plausible</v>
      </c>
      <c r="AV46" s="624">
        <f>'(E1) Vlerësimi i burimeve'!X56</f>
        <v>9685900.5020000003</v>
      </c>
      <c r="AW46" s="625" t="str">
        <f t="shared" si="4"/>
        <v>Plausible</v>
      </c>
      <c r="AX46" s="624">
        <f>'(E1) Vlerësimi i burimeve'!AG56</f>
        <v>9725977.9890833013</v>
      </c>
      <c r="AY46" s="625" t="str">
        <f t="shared" si="5"/>
        <v>Plausible</v>
      </c>
      <c r="AZ46" s="491">
        <f t="shared" si="16"/>
        <v>3235169.2259627376</v>
      </c>
      <c r="BA46" s="491">
        <f t="shared" si="17"/>
        <v>3574527.6469950792</v>
      </c>
      <c r="BB46" s="491">
        <f t="shared" si="18"/>
        <v>3833103.8587144003</v>
      </c>
    </row>
    <row r="47" spans="1:54" s="492" customFormat="1" ht="15.75" thickBot="1" x14ac:dyDescent="0.3">
      <c r="A47" s="520" t="str">
        <f>'(C2) Burimet viti kaluar'!C56</f>
        <v>A.3.5.11</v>
      </c>
      <c r="B47" s="1187" t="str">
        <f>'(G1) Fjalori'!A264</f>
        <v xml:space="preserve">Tarifa për trajtimin e mbetjeve inerte në landfille </v>
      </c>
      <c r="C47" s="1188"/>
      <c r="D47" s="513">
        <f>'(C2) Burimet viti kaluar'!D56</f>
        <v>0</v>
      </c>
      <c r="E47" s="513">
        <f>'(C2) Burimet viti kaluar'!E56</f>
        <v>0</v>
      </c>
      <c r="F47" s="513">
        <f>'(C2) Burimet viti kaluar'!F56</f>
        <v>0</v>
      </c>
      <c r="G47" s="1185"/>
      <c r="H47" s="1186"/>
      <c r="I47" s="514"/>
      <c r="J47" s="514"/>
      <c r="K47" s="514"/>
      <c r="L47" s="514"/>
      <c r="M47" s="514"/>
      <c r="N47" s="515"/>
      <c r="O47" s="516">
        <f t="shared" si="22"/>
        <v>0</v>
      </c>
      <c r="P47" s="1185"/>
      <c r="Q47" s="1186"/>
      <c r="R47" s="514"/>
      <c r="S47" s="514"/>
      <c r="T47" s="514"/>
      <c r="U47" s="514"/>
      <c r="V47" s="514"/>
      <c r="W47" s="515"/>
      <c r="X47" s="516">
        <f t="shared" si="23"/>
        <v>0</v>
      </c>
      <c r="Y47" s="1185"/>
      <c r="Z47" s="1186"/>
      <c r="AA47" s="514"/>
      <c r="AB47" s="514"/>
      <c r="AC47" s="514"/>
      <c r="AD47" s="514"/>
      <c r="AE47" s="514"/>
      <c r="AF47" s="515"/>
      <c r="AG47" s="516">
        <f t="shared" si="24"/>
        <v>0</v>
      </c>
      <c r="AI47" s="493" t="str">
        <f t="shared" si="6"/>
        <v xml:space="preserve">Tarifa për trajtimin e mbetjeve inerte në landfille </v>
      </c>
      <c r="AJ47" s="517"/>
      <c r="AK47" s="483">
        <f t="shared" si="7"/>
        <v>0</v>
      </c>
      <c r="AL47" s="483">
        <f t="shared" si="8"/>
        <v>0</v>
      </c>
      <c r="AM47" s="483">
        <f t="shared" si="9"/>
        <v>0</v>
      </c>
      <c r="AN47" s="491">
        <f t="shared" si="10"/>
        <v>0</v>
      </c>
      <c r="AO47" s="491">
        <f t="shared" si="11"/>
        <v>0</v>
      </c>
      <c r="AP47" s="491">
        <f t="shared" si="12"/>
        <v>0</v>
      </c>
      <c r="AQ47" s="491">
        <f t="shared" si="13"/>
        <v>0</v>
      </c>
      <c r="AR47" s="491">
        <f t="shared" si="14"/>
        <v>0</v>
      </c>
      <c r="AS47" s="491">
        <f t="shared" si="15"/>
        <v>0</v>
      </c>
      <c r="AT47" s="624">
        <f>'(E1) Vlerësimi i burimeve'!O57</f>
        <v>0</v>
      </c>
      <c r="AU47" s="625" t="str">
        <f t="shared" si="3"/>
        <v>Plausible</v>
      </c>
      <c r="AV47" s="624">
        <f>'(E1) Vlerësimi i burimeve'!X57</f>
        <v>0</v>
      </c>
      <c r="AW47" s="625" t="str">
        <f t="shared" si="4"/>
        <v>Plausible</v>
      </c>
      <c r="AX47" s="624">
        <f>'(E1) Vlerësimi i burimeve'!AG57</f>
        <v>0</v>
      </c>
      <c r="AY47" s="625" t="str">
        <f t="shared" si="5"/>
        <v>Plausible</v>
      </c>
      <c r="AZ47" s="491">
        <f t="shared" si="16"/>
        <v>0</v>
      </c>
      <c r="BA47" s="491">
        <f t="shared" si="17"/>
        <v>0</v>
      </c>
      <c r="BB47" s="491">
        <f t="shared" si="18"/>
        <v>0</v>
      </c>
    </row>
    <row r="48" spans="1:54" s="492" customFormat="1" ht="15.75" thickBot="1" x14ac:dyDescent="0.3">
      <c r="A48" s="520" t="str">
        <f>'(C2) Burimet viti kaluar'!C57</f>
        <v>A.3.5.12</v>
      </c>
      <c r="B48" s="1187" t="str">
        <f>'(G1) Fjalori'!A265</f>
        <v>Tarifa për linjat ajrore dhe nëntoksore (Telefoni, Energji, TV Kabllor, Internet)</v>
      </c>
      <c r="C48" s="1188"/>
      <c r="D48" s="513">
        <f>'(C2) Burimet viti kaluar'!D57</f>
        <v>800833</v>
      </c>
      <c r="E48" s="513">
        <f>'(C2) Burimet viti kaluar'!E57</f>
        <v>1015450</v>
      </c>
      <c r="F48" s="513">
        <f>'(C2) Burimet viti kaluar'!F57</f>
        <v>1600000</v>
      </c>
      <c r="G48" s="1185"/>
      <c r="H48" s="1186"/>
      <c r="I48" s="514"/>
      <c r="J48" s="514"/>
      <c r="K48" s="514"/>
      <c r="L48" s="514"/>
      <c r="M48" s="514"/>
      <c r="N48" s="515"/>
      <c r="O48" s="516">
        <f t="shared" si="22"/>
        <v>1600000</v>
      </c>
      <c r="P48" s="1185"/>
      <c r="Q48" s="1186"/>
      <c r="R48" s="514"/>
      <c r="S48" s="514"/>
      <c r="T48" s="514"/>
      <c r="U48" s="514"/>
      <c r="V48" s="514"/>
      <c r="W48" s="515"/>
      <c r="X48" s="516">
        <f t="shared" si="23"/>
        <v>1600000</v>
      </c>
      <c r="Y48" s="1185"/>
      <c r="Z48" s="1186"/>
      <c r="AA48" s="514"/>
      <c r="AB48" s="514"/>
      <c r="AC48" s="514"/>
      <c r="AD48" s="514"/>
      <c r="AE48" s="514"/>
      <c r="AF48" s="515"/>
      <c r="AG48" s="516">
        <f t="shared" si="24"/>
        <v>1600000</v>
      </c>
      <c r="AI48" s="493" t="str">
        <f t="shared" si="6"/>
        <v>Tarifa për linjat ajrore dhe nëntoksore (Telefoni, Energji, TV Kabllor, Internet)</v>
      </c>
      <c r="AJ48" s="517"/>
      <c r="AK48" s="483">
        <f t="shared" si="7"/>
        <v>800833</v>
      </c>
      <c r="AL48" s="483">
        <f t="shared" si="8"/>
        <v>1015450</v>
      </c>
      <c r="AM48" s="483">
        <f t="shared" si="9"/>
        <v>1600000</v>
      </c>
      <c r="AN48" s="491">
        <f t="shared" si="10"/>
        <v>1951788.3413665001</v>
      </c>
      <c r="AO48" s="491">
        <f t="shared" si="11"/>
        <v>2336704.182883</v>
      </c>
      <c r="AP48" s="491">
        <f t="shared" si="12"/>
        <v>2721620.0243995003</v>
      </c>
      <c r="AQ48" s="491">
        <f t="shared" si="13"/>
        <v>2091329.3575062398</v>
      </c>
      <c r="AR48" s="491">
        <f t="shared" si="14"/>
        <v>2478981.3552837214</v>
      </c>
      <c r="AS48" s="491">
        <f t="shared" si="15"/>
        <v>2869849.4351302353</v>
      </c>
      <c r="AT48" s="624">
        <f>'(E1) Vlerësimi i burimeve'!O58</f>
        <v>1680000</v>
      </c>
      <c r="AU48" s="625" t="str">
        <f t="shared" si="3"/>
        <v>ATTENTION</v>
      </c>
      <c r="AV48" s="624">
        <f>'(E1) Vlerësimi i burimeve'!X58</f>
        <v>1680000</v>
      </c>
      <c r="AW48" s="625" t="str">
        <f t="shared" si="4"/>
        <v>ATTENTION</v>
      </c>
      <c r="AX48" s="624">
        <f>'(E1) Vlerësimi i burimeve'!AG58</f>
        <v>1680000</v>
      </c>
      <c r="AY48" s="625" t="str">
        <f t="shared" si="5"/>
        <v>ATTENTION</v>
      </c>
      <c r="AZ48" s="491">
        <f t="shared" si="16"/>
        <v>1812247.3252267605</v>
      </c>
      <c r="BA48" s="491">
        <f t="shared" si="17"/>
        <v>2194427.0104822787</v>
      </c>
      <c r="BB48" s="491">
        <f t="shared" si="18"/>
        <v>2573390.6136687654</v>
      </c>
    </row>
    <row r="49" spans="1:54" s="492" customFormat="1" ht="15.75" thickBot="1" x14ac:dyDescent="0.3">
      <c r="A49" s="520" t="str">
        <f>'(C2) Burimet viti kaluar'!C58</f>
        <v>A.3.5.13</v>
      </c>
      <c r="B49" s="1187" t="str">
        <f>'(G1) Fjalori'!A266</f>
        <v>Tarifa nga dokumentat për tender, ankand etj</v>
      </c>
      <c r="C49" s="1188"/>
      <c r="D49" s="513">
        <f>'(C2) Burimet viti kaluar'!D58</f>
        <v>0</v>
      </c>
      <c r="E49" s="513">
        <f>'(C2) Burimet viti kaluar'!E58</f>
        <v>0</v>
      </c>
      <c r="F49" s="513">
        <f>'(C2) Burimet viti kaluar'!F58</f>
        <v>0</v>
      </c>
      <c r="G49" s="1185"/>
      <c r="H49" s="1186"/>
      <c r="I49" s="514"/>
      <c r="J49" s="514"/>
      <c r="K49" s="514"/>
      <c r="L49" s="514"/>
      <c r="M49" s="514"/>
      <c r="N49" s="515"/>
      <c r="O49" s="516">
        <f t="shared" si="22"/>
        <v>0</v>
      </c>
      <c r="P49" s="1185"/>
      <c r="Q49" s="1186"/>
      <c r="R49" s="514"/>
      <c r="S49" s="514"/>
      <c r="T49" s="514"/>
      <c r="U49" s="514"/>
      <c r="V49" s="514"/>
      <c r="W49" s="515"/>
      <c r="X49" s="516">
        <f t="shared" si="23"/>
        <v>0</v>
      </c>
      <c r="Y49" s="1185"/>
      <c r="Z49" s="1186"/>
      <c r="AA49" s="514"/>
      <c r="AB49" s="514"/>
      <c r="AC49" s="514"/>
      <c r="AD49" s="514"/>
      <c r="AE49" s="514"/>
      <c r="AF49" s="515"/>
      <c r="AG49" s="516">
        <f t="shared" si="24"/>
        <v>0</v>
      </c>
      <c r="AI49" s="493" t="str">
        <f t="shared" si="6"/>
        <v>Tarifa nga dokumentat për tender, ankand etj</v>
      </c>
      <c r="AJ49" s="517"/>
      <c r="AK49" s="483">
        <f t="shared" si="7"/>
        <v>0</v>
      </c>
      <c r="AL49" s="483">
        <f t="shared" si="8"/>
        <v>0</v>
      </c>
      <c r="AM49" s="483">
        <f t="shared" si="9"/>
        <v>0</v>
      </c>
      <c r="AN49" s="491">
        <f t="shared" si="10"/>
        <v>0</v>
      </c>
      <c r="AO49" s="491">
        <f t="shared" si="11"/>
        <v>0</v>
      </c>
      <c r="AP49" s="491">
        <f t="shared" si="12"/>
        <v>0</v>
      </c>
      <c r="AQ49" s="491">
        <f t="shared" si="13"/>
        <v>0</v>
      </c>
      <c r="AR49" s="491">
        <f t="shared" si="14"/>
        <v>0</v>
      </c>
      <c r="AS49" s="491">
        <f t="shared" si="15"/>
        <v>0</v>
      </c>
      <c r="AT49" s="624">
        <f>'(E1) Vlerësimi i burimeve'!O59</f>
        <v>0</v>
      </c>
      <c r="AU49" s="625" t="str">
        <f t="shared" si="3"/>
        <v>Plausible</v>
      </c>
      <c r="AV49" s="624">
        <f>'(E1) Vlerësimi i burimeve'!X59</f>
        <v>0</v>
      </c>
      <c r="AW49" s="625" t="str">
        <f t="shared" si="4"/>
        <v>Plausible</v>
      </c>
      <c r="AX49" s="624">
        <f>'(E1) Vlerësimi i burimeve'!AG59</f>
        <v>0</v>
      </c>
      <c r="AY49" s="625" t="str">
        <f t="shared" si="5"/>
        <v>Plausible</v>
      </c>
      <c r="AZ49" s="491">
        <f t="shared" si="16"/>
        <v>0</v>
      </c>
      <c r="BA49" s="491">
        <f t="shared" si="17"/>
        <v>0</v>
      </c>
      <c r="BB49" s="491">
        <f t="shared" si="18"/>
        <v>0</v>
      </c>
    </row>
    <row r="50" spans="1:54" s="509" customFormat="1" ht="15.75" thickBot="1" x14ac:dyDescent="0.3">
      <c r="A50" s="510" t="str">
        <f>'(C2) Burimet viti kaluar'!C59</f>
        <v>A.3.6</v>
      </c>
      <c r="B50" s="522" t="str">
        <f>'(G1) Fjalori'!A267</f>
        <v>Tarifa të institucioneve të arsimit, kulturës, sportit etj</v>
      </c>
      <c r="C50" s="620"/>
      <c r="D50" s="520">
        <f>'(C2) Burimet viti kaluar'!D59</f>
        <v>1696576</v>
      </c>
      <c r="E50" s="520">
        <f>'(C2) Burimet viti kaluar'!E59</f>
        <v>1723825</v>
      </c>
      <c r="F50" s="520">
        <f>'(C2) Burimet viti kaluar'!F59</f>
        <v>6274000</v>
      </c>
      <c r="G50" s="520"/>
      <c r="H50" s="523"/>
      <c r="I50" s="523"/>
      <c r="J50" s="523"/>
      <c r="K50" s="523"/>
      <c r="L50" s="523"/>
      <c r="M50" s="523"/>
      <c r="N50" s="524"/>
      <c r="O50" s="523">
        <f>SUM(O51:O59)</f>
        <v>6309000</v>
      </c>
      <c r="P50" s="520"/>
      <c r="Q50" s="523"/>
      <c r="R50" s="523"/>
      <c r="S50" s="523"/>
      <c r="T50" s="523"/>
      <c r="U50" s="523"/>
      <c r="V50" s="523"/>
      <c r="W50" s="524"/>
      <c r="X50" s="523">
        <f>SUM(X51:X59)</f>
        <v>6309000</v>
      </c>
      <c r="Y50" s="520"/>
      <c r="Z50" s="523"/>
      <c r="AA50" s="523"/>
      <c r="AB50" s="523"/>
      <c r="AC50" s="523"/>
      <c r="AD50" s="523"/>
      <c r="AE50" s="523"/>
      <c r="AF50" s="524"/>
      <c r="AG50" s="524">
        <f>SUM(AG51:AG59)</f>
        <v>6339800</v>
      </c>
      <c r="AI50" s="493" t="str">
        <f t="shared" si="6"/>
        <v>Tarifa të institucioneve të arsimit, kulturës, sportit etj</v>
      </c>
      <c r="AJ50" s="517"/>
      <c r="AK50" s="483">
        <f t="shared" si="7"/>
        <v>1696576</v>
      </c>
      <c r="AL50" s="483">
        <f t="shared" si="8"/>
        <v>1723825</v>
      </c>
      <c r="AM50" s="483">
        <f t="shared" si="9"/>
        <v>6274000</v>
      </c>
      <c r="AN50" s="491">
        <f t="shared" si="10"/>
        <v>7978352.2222630009</v>
      </c>
      <c r="AO50" s="491">
        <f t="shared" si="11"/>
        <v>10087732.467826001</v>
      </c>
      <c r="AP50" s="491">
        <f t="shared" si="12"/>
        <v>12197112.713389</v>
      </c>
      <c r="AQ50" s="491">
        <f t="shared" si="13"/>
        <v>9684427.8899240326</v>
      </c>
      <c r="AR50" s="491">
        <f t="shared" si="14"/>
        <v>11827261.307528611</v>
      </c>
      <c r="AS50" s="491">
        <f t="shared" si="15"/>
        <v>14009415.632454671</v>
      </c>
      <c r="AT50" s="624">
        <f>'(E1) Vlerësimi i burimeve'!O60</f>
        <v>6349999.7999999998</v>
      </c>
      <c r="AU50" s="625" t="str">
        <f t="shared" si="3"/>
        <v>Plausible</v>
      </c>
      <c r="AV50" s="624">
        <f>'(E1) Vlerësimi i burimeve'!X60</f>
        <v>6349999.7999999998</v>
      </c>
      <c r="AW50" s="625" t="str">
        <f t="shared" si="4"/>
        <v>ATTENTION</v>
      </c>
      <c r="AX50" s="624">
        <f>'(E1) Vlerësimi i burimeve'!AG60</f>
        <v>6449999.7964000003</v>
      </c>
      <c r="AY50" s="625" t="str">
        <f t="shared" si="5"/>
        <v>ATTENTION</v>
      </c>
      <c r="AZ50" s="491">
        <f t="shared" si="16"/>
        <v>6272276.5546019692</v>
      </c>
      <c r="BA50" s="491">
        <f t="shared" si="17"/>
        <v>8348203.6281233924</v>
      </c>
      <c r="BB50" s="491">
        <f t="shared" si="18"/>
        <v>10384809.794323329</v>
      </c>
    </row>
    <row r="51" spans="1:54" s="492" customFormat="1" ht="15.75" thickBot="1" x14ac:dyDescent="0.3">
      <c r="A51" s="520" t="str">
        <f>'(C2) Burimet viti kaluar'!C60</f>
        <v>A.3.6.1</v>
      </c>
      <c r="B51" s="1187" t="str">
        <f>'(G1) Fjalori'!A268</f>
        <v>Bibloteka</v>
      </c>
      <c r="C51" s="1188"/>
      <c r="D51" s="513">
        <f>'(C2) Burimet viti kaluar'!D60</f>
        <v>0</v>
      </c>
      <c r="E51" s="513">
        <f>'(C2) Burimet viti kaluar'!E60</f>
        <v>0</v>
      </c>
      <c r="F51" s="513">
        <f>'(C2) Burimet viti kaluar'!F60</f>
        <v>0</v>
      </c>
      <c r="G51" s="1185"/>
      <c r="H51" s="1186"/>
      <c r="I51" s="514"/>
      <c r="J51" s="514"/>
      <c r="K51" s="514"/>
      <c r="L51" s="514"/>
      <c r="M51" s="514"/>
      <c r="N51" s="515"/>
      <c r="O51" s="516">
        <f t="shared" ref="O51:O63" si="25">IF(F51&lt;&gt;0,F51*(1+(SUM(I51:M51))),N51)</f>
        <v>0</v>
      </c>
      <c r="P51" s="1185"/>
      <c r="Q51" s="1186"/>
      <c r="R51" s="514"/>
      <c r="S51" s="514"/>
      <c r="T51" s="514"/>
      <c r="U51" s="514"/>
      <c r="V51" s="514"/>
      <c r="W51" s="515"/>
      <c r="X51" s="516">
        <f t="shared" ref="X51:X63" si="26">IF(O51&lt;&gt;0,O51*(1+(SUM(R51:V51))),W51)</f>
        <v>0</v>
      </c>
      <c r="Y51" s="1185"/>
      <c r="Z51" s="1186"/>
      <c r="AA51" s="514"/>
      <c r="AB51" s="514"/>
      <c r="AC51" s="514"/>
      <c r="AD51" s="514"/>
      <c r="AE51" s="514"/>
      <c r="AF51" s="515"/>
      <c r="AG51" s="516">
        <f t="shared" ref="AG51:AG63" si="27">IF(X51&lt;&gt;0,X51*(1+(SUM(AA51:AE51))),AF51)</f>
        <v>0</v>
      </c>
      <c r="AI51" s="493" t="str">
        <f t="shared" si="6"/>
        <v>Bibloteka</v>
      </c>
      <c r="AJ51" s="517"/>
      <c r="AK51" s="483">
        <f t="shared" si="7"/>
        <v>0</v>
      </c>
      <c r="AL51" s="483">
        <f t="shared" si="8"/>
        <v>0</v>
      </c>
      <c r="AM51" s="483">
        <f t="shared" si="9"/>
        <v>0</v>
      </c>
      <c r="AN51" s="491">
        <f t="shared" si="10"/>
        <v>0</v>
      </c>
      <c r="AO51" s="491">
        <f t="shared" si="11"/>
        <v>0</v>
      </c>
      <c r="AP51" s="491">
        <f t="shared" si="12"/>
        <v>0</v>
      </c>
      <c r="AQ51" s="491">
        <f t="shared" si="13"/>
        <v>0</v>
      </c>
      <c r="AR51" s="491">
        <f t="shared" si="14"/>
        <v>0</v>
      </c>
      <c r="AS51" s="491">
        <f t="shared" si="15"/>
        <v>0</v>
      </c>
      <c r="AT51" s="624">
        <f>'(E1) Vlerësimi i burimeve'!O61</f>
        <v>0</v>
      </c>
      <c r="AU51" s="625" t="str">
        <f t="shared" si="3"/>
        <v>Plausible</v>
      </c>
      <c r="AV51" s="624">
        <f>'(E1) Vlerësimi i burimeve'!X61</f>
        <v>0</v>
      </c>
      <c r="AW51" s="625" t="str">
        <f t="shared" si="4"/>
        <v>Plausible</v>
      </c>
      <c r="AX51" s="624">
        <f>'(E1) Vlerësimi i burimeve'!AG61</f>
        <v>0</v>
      </c>
      <c r="AY51" s="625" t="str">
        <f t="shared" si="5"/>
        <v>Plausible</v>
      </c>
      <c r="AZ51" s="491">
        <f t="shared" si="16"/>
        <v>0</v>
      </c>
      <c r="BA51" s="491">
        <f t="shared" si="17"/>
        <v>0</v>
      </c>
      <c r="BB51" s="491">
        <f t="shared" si="18"/>
        <v>0</v>
      </c>
    </row>
    <row r="52" spans="1:54" s="492" customFormat="1" ht="15.75" thickBot="1" x14ac:dyDescent="0.3">
      <c r="A52" s="520" t="str">
        <f>'(C2) Burimet viti kaluar'!C61</f>
        <v>A.3.6.2</v>
      </c>
      <c r="B52" s="1187" t="str">
        <f>'(G1) Fjalori'!A269</f>
        <v>Muzeumet</v>
      </c>
      <c r="C52" s="1188"/>
      <c r="D52" s="513">
        <f>'(C2) Burimet viti kaluar'!D61</f>
        <v>0</v>
      </c>
      <c r="E52" s="513">
        <f>'(C2) Burimet viti kaluar'!E61</f>
        <v>0</v>
      </c>
      <c r="F52" s="513">
        <f>'(C2) Burimet viti kaluar'!F61</f>
        <v>0</v>
      </c>
      <c r="G52" s="1185"/>
      <c r="H52" s="1186"/>
      <c r="I52" s="514"/>
      <c r="J52" s="514"/>
      <c r="K52" s="514"/>
      <c r="L52" s="514"/>
      <c r="M52" s="514"/>
      <c r="N52" s="515"/>
      <c r="O52" s="516">
        <f t="shared" si="25"/>
        <v>0</v>
      </c>
      <c r="P52" s="1185"/>
      <c r="Q52" s="1186"/>
      <c r="R52" s="514"/>
      <c r="S52" s="514"/>
      <c r="T52" s="514"/>
      <c r="U52" s="514"/>
      <c r="V52" s="514"/>
      <c r="W52" s="515"/>
      <c r="X52" s="516">
        <f t="shared" si="26"/>
        <v>0</v>
      </c>
      <c r="Y52" s="1185"/>
      <c r="Z52" s="1186"/>
      <c r="AA52" s="514"/>
      <c r="AB52" s="514"/>
      <c r="AC52" s="514"/>
      <c r="AD52" s="514"/>
      <c r="AE52" s="514"/>
      <c r="AF52" s="515"/>
      <c r="AG52" s="516">
        <f t="shared" si="27"/>
        <v>0</v>
      </c>
      <c r="AI52" s="493" t="str">
        <f t="shared" si="6"/>
        <v>Muzeumet</v>
      </c>
      <c r="AJ52" s="517"/>
      <c r="AK52" s="483">
        <f t="shared" si="7"/>
        <v>0</v>
      </c>
      <c r="AL52" s="483">
        <f t="shared" si="8"/>
        <v>0</v>
      </c>
      <c r="AM52" s="483">
        <f t="shared" si="9"/>
        <v>0</v>
      </c>
      <c r="AN52" s="491">
        <f t="shared" si="10"/>
        <v>0</v>
      </c>
      <c r="AO52" s="491">
        <f t="shared" si="11"/>
        <v>0</v>
      </c>
      <c r="AP52" s="491">
        <f t="shared" si="12"/>
        <v>0</v>
      </c>
      <c r="AQ52" s="491">
        <f t="shared" si="13"/>
        <v>0</v>
      </c>
      <c r="AR52" s="491">
        <f t="shared" si="14"/>
        <v>0</v>
      </c>
      <c r="AS52" s="491">
        <f t="shared" si="15"/>
        <v>0</v>
      </c>
      <c r="AT52" s="624">
        <f>'(E1) Vlerësimi i burimeve'!O62</f>
        <v>0</v>
      </c>
      <c r="AU52" s="625" t="str">
        <f t="shared" si="3"/>
        <v>Plausible</v>
      </c>
      <c r="AV52" s="624">
        <f>'(E1) Vlerësimi i burimeve'!X62</f>
        <v>0</v>
      </c>
      <c r="AW52" s="625" t="str">
        <f t="shared" si="4"/>
        <v>Plausible</v>
      </c>
      <c r="AX52" s="624">
        <f>'(E1) Vlerësimi i burimeve'!AG62</f>
        <v>0</v>
      </c>
      <c r="AY52" s="625" t="str">
        <f t="shared" si="5"/>
        <v>Plausible</v>
      </c>
      <c r="AZ52" s="491">
        <f t="shared" si="16"/>
        <v>0</v>
      </c>
      <c r="BA52" s="491">
        <f t="shared" si="17"/>
        <v>0</v>
      </c>
      <c r="BB52" s="491">
        <f t="shared" si="18"/>
        <v>0</v>
      </c>
    </row>
    <row r="53" spans="1:54" s="492" customFormat="1" ht="15.75" thickBot="1" x14ac:dyDescent="0.3">
      <c r="A53" s="520" t="str">
        <f>'(C2) Burimet viti kaluar'!C62</f>
        <v>A.3.6.3</v>
      </c>
      <c r="B53" s="1187" t="str">
        <f>'(G1) Fjalori'!A270</f>
        <v>Teatri</v>
      </c>
      <c r="C53" s="1188"/>
      <c r="D53" s="513">
        <f>'(C2) Burimet viti kaluar'!D62</f>
        <v>0</v>
      </c>
      <c r="E53" s="513">
        <f>'(C2) Burimet viti kaluar'!E62</f>
        <v>0</v>
      </c>
      <c r="F53" s="513">
        <f>'(C2) Burimet viti kaluar'!F62</f>
        <v>0</v>
      </c>
      <c r="G53" s="1185"/>
      <c r="H53" s="1186"/>
      <c r="I53" s="514"/>
      <c r="J53" s="514"/>
      <c r="K53" s="514"/>
      <c r="L53" s="514"/>
      <c r="M53" s="514"/>
      <c r="N53" s="515"/>
      <c r="O53" s="516">
        <f t="shared" si="25"/>
        <v>0</v>
      </c>
      <c r="P53" s="1185"/>
      <c r="Q53" s="1186"/>
      <c r="R53" s="514"/>
      <c r="S53" s="514"/>
      <c r="T53" s="514"/>
      <c r="U53" s="514"/>
      <c r="V53" s="514"/>
      <c r="W53" s="515"/>
      <c r="X53" s="516">
        <f t="shared" si="26"/>
        <v>0</v>
      </c>
      <c r="Y53" s="1185"/>
      <c r="Z53" s="1186"/>
      <c r="AA53" s="514"/>
      <c r="AB53" s="514"/>
      <c r="AC53" s="514"/>
      <c r="AD53" s="514"/>
      <c r="AE53" s="514"/>
      <c r="AF53" s="515"/>
      <c r="AG53" s="516">
        <f t="shared" si="27"/>
        <v>0</v>
      </c>
      <c r="AI53" s="493" t="str">
        <f t="shared" si="6"/>
        <v>Teatri</v>
      </c>
      <c r="AJ53" s="517"/>
      <c r="AK53" s="483">
        <f t="shared" si="7"/>
        <v>0</v>
      </c>
      <c r="AL53" s="483">
        <f t="shared" si="8"/>
        <v>0</v>
      </c>
      <c r="AM53" s="483">
        <f t="shared" si="9"/>
        <v>0</v>
      </c>
      <c r="AN53" s="491">
        <f t="shared" si="10"/>
        <v>0</v>
      </c>
      <c r="AO53" s="491">
        <f t="shared" si="11"/>
        <v>0</v>
      </c>
      <c r="AP53" s="491">
        <f t="shared" si="12"/>
        <v>0</v>
      </c>
      <c r="AQ53" s="491">
        <f t="shared" si="13"/>
        <v>0</v>
      </c>
      <c r="AR53" s="491">
        <f t="shared" si="14"/>
        <v>0</v>
      </c>
      <c r="AS53" s="491">
        <f t="shared" si="15"/>
        <v>0</v>
      </c>
      <c r="AT53" s="624">
        <f>'(E1) Vlerësimi i burimeve'!O63</f>
        <v>0</v>
      </c>
      <c r="AU53" s="625" t="str">
        <f t="shared" si="3"/>
        <v>Plausible</v>
      </c>
      <c r="AV53" s="624">
        <f>'(E1) Vlerësimi i burimeve'!X63</f>
        <v>0</v>
      </c>
      <c r="AW53" s="625" t="str">
        <f t="shared" si="4"/>
        <v>Plausible</v>
      </c>
      <c r="AX53" s="624">
        <f>'(E1) Vlerësimi i burimeve'!AG63</f>
        <v>0</v>
      </c>
      <c r="AY53" s="625" t="str">
        <f t="shared" si="5"/>
        <v>Plausible</v>
      </c>
      <c r="AZ53" s="491">
        <f t="shared" si="16"/>
        <v>0</v>
      </c>
      <c r="BA53" s="491">
        <f t="shared" si="17"/>
        <v>0</v>
      </c>
      <c r="BB53" s="491">
        <f t="shared" si="18"/>
        <v>0</v>
      </c>
    </row>
    <row r="54" spans="1:54" s="492" customFormat="1" ht="15.75" thickBot="1" x14ac:dyDescent="0.3">
      <c r="A54" s="520" t="str">
        <f>'(C2) Burimet viti kaluar'!C63</f>
        <v>A.3.6.4</v>
      </c>
      <c r="B54" s="1187" t="str">
        <f>'(G1) Fjalori'!A271</f>
        <v>Qendra kulturore e fëmijëve</v>
      </c>
      <c r="C54" s="1188"/>
      <c r="D54" s="513">
        <f>'(C2) Burimet viti kaluar'!D63</f>
        <v>178400</v>
      </c>
      <c r="E54" s="513">
        <f>'(C2) Burimet viti kaluar'!E63</f>
        <v>12000</v>
      </c>
      <c r="F54" s="513">
        <f>'(C2) Burimet viti kaluar'!F63</f>
        <v>380000</v>
      </c>
      <c r="G54" s="1185"/>
      <c r="H54" s="1186"/>
      <c r="I54" s="514"/>
      <c r="J54" s="514"/>
      <c r="K54" s="514"/>
      <c r="L54" s="514"/>
      <c r="M54" s="514"/>
      <c r="N54" s="515"/>
      <c r="O54" s="516">
        <f t="shared" si="25"/>
        <v>380000</v>
      </c>
      <c r="P54" s="1185"/>
      <c r="Q54" s="1186"/>
      <c r="R54" s="514"/>
      <c r="S54" s="514"/>
      <c r="T54" s="514"/>
      <c r="U54" s="514"/>
      <c r="V54" s="514"/>
      <c r="W54" s="515"/>
      <c r="X54" s="516">
        <f t="shared" si="26"/>
        <v>380000</v>
      </c>
      <c r="Y54" s="1185"/>
      <c r="Z54" s="1186"/>
      <c r="AA54" s="514"/>
      <c r="AB54" s="514"/>
      <c r="AC54" s="514"/>
      <c r="AD54" s="514"/>
      <c r="AE54" s="514"/>
      <c r="AF54" s="515"/>
      <c r="AG54" s="516">
        <f t="shared" si="27"/>
        <v>380000</v>
      </c>
      <c r="AI54" s="493" t="str">
        <f t="shared" si="6"/>
        <v>Qendra kulturore e fëmijëve</v>
      </c>
      <c r="AJ54" s="517"/>
      <c r="AK54" s="483">
        <f t="shared" si="7"/>
        <v>178400</v>
      </c>
      <c r="AL54" s="483">
        <f t="shared" si="8"/>
        <v>12000</v>
      </c>
      <c r="AM54" s="483">
        <f t="shared" si="9"/>
        <v>380000</v>
      </c>
      <c r="AN54" s="491">
        <f t="shared" si="10"/>
        <v>411755.7871999999</v>
      </c>
      <c r="AO54" s="491">
        <f t="shared" si="11"/>
        <v>491367.0944</v>
      </c>
      <c r="AP54" s="491">
        <f t="shared" si="12"/>
        <v>570978.40159999998</v>
      </c>
      <c r="AQ54" s="491">
        <f t="shared" si="13"/>
        <v>613334.77319226577</v>
      </c>
      <c r="AR54" s="491">
        <f t="shared" si="14"/>
        <v>696898.69317855046</v>
      </c>
      <c r="AS54" s="491">
        <f t="shared" si="15"/>
        <v>785108.5200119958</v>
      </c>
      <c r="AT54" s="624">
        <f>'(E1) Vlerësimi i burimeve'!O64</f>
        <v>400000</v>
      </c>
      <c r="AU54" s="625" t="str">
        <f t="shared" si="3"/>
        <v>Plausible</v>
      </c>
      <c r="AV54" s="624">
        <f>'(E1) Vlerësimi i burimeve'!X64</f>
        <v>400000</v>
      </c>
      <c r="AW54" s="625" t="str">
        <f t="shared" si="4"/>
        <v>Plausible</v>
      </c>
      <c r="AX54" s="624">
        <f>'(E1) Vlerësimi i burimeve'!AG64</f>
        <v>400000</v>
      </c>
      <c r="AY54" s="625" t="str">
        <f t="shared" si="5"/>
        <v>Plausible</v>
      </c>
      <c r="AZ54" s="491">
        <f t="shared" si="16"/>
        <v>210176.80120773401</v>
      </c>
      <c r="BA54" s="491">
        <f t="shared" si="17"/>
        <v>285835.49562144955</v>
      </c>
      <c r="BB54" s="491">
        <f t="shared" si="18"/>
        <v>356848.28318800416</v>
      </c>
    </row>
    <row r="55" spans="1:54" s="492" customFormat="1" ht="15.75" thickBot="1" x14ac:dyDescent="0.3">
      <c r="A55" s="520" t="str">
        <f>'(C2) Burimet viti kaluar'!C64</f>
        <v>A.3.6.5</v>
      </c>
      <c r="B55" s="1187" t="str">
        <f>'(G1) Fjalori'!A272</f>
        <v>Pallati i sportit</v>
      </c>
      <c r="C55" s="1188"/>
      <c r="D55" s="513">
        <f>'(C2) Burimet viti kaluar'!D64</f>
        <v>151900</v>
      </c>
      <c r="E55" s="513">
        <f>'(C2) Burimet viti kaluar'!E64</f>
        <v>25400</v>
      </c>
      <c r="F55" s="513">
        <f>'(C2) Burimet viti kaluar'!F64</f>
        <v>350000</v>
      </c>
      <c r="G55" s="1185"/>
      <c r="H55" s="1186"/>
      <c r="I55" s="514"/>
      <c r="J55" s="514">
        <v>0.05</v>
      </c>
      <c r="K55" s="514">
        <v>0.05</v>
      </c>
      <c r="L55" s="514"/>
      <c r="M55" s="514"/>
      <c r="N55" s="515"/>
      <c r="O55" s="516">
        <f t="shared" si="25"/>
        <v>385000.00000000006</v>
      </c>
      <c r="P55" s="1185"/>
      <c r="Q55" s="1186"/>
      <c r="R55" s="514"/>
      <c r="S55" s="514"/>
      <c r="T55" s="514"/>
      <c r="U55" s="514"/>
      <c r="V55" s="514"/>
      <c r="W55" s="515"/>
      <c r="X55" s="516">
        <f t="shared" si="26"/>
        <v>385000.00000000006</v>
      </c>
      <c r="Y55" s="1185"/>
      <c r="Z55" s="1186"/>
      <c r="AA55" s="514"/>
      <c r="AB55" s="514"/>
      <c r="AC55" s="514"/>
      <c r="AD55" s="514"/>
      <c r="AE55" s="514">
        <v>0.08</v>
      </c>
      <c r="AF55" s="515"/>
      <c r="AG55" s="516">
        <f t="shared" si="27"/>
        <v>415800.00000000012</v>
      </c>
      <c r="AI55" s="493" t="str">
        <f t="shared" si="6"/>
        <v>Pallati i sportit</v>
      </c>
      <c r="AJ55" s="517"/>
      <c r="AK55" s="483">
        <f t="shared" si="7"/>
        <v>151900</v>
      </c>
      <c r="AL55" s="483">
        <f t="shared" si="8"/>
        <v>25400</v>
      </c>
      <c r="AM55" s="483">
        <f t="shared" si="9"/>
        <v>350000</v>
      </c>
      <c r="AN55" s="491">
        <f t="shared" si="10"/>
        <v>390768.10554999992</v>
      </c>
      <c r="AO55" s="491">
        <f t="shared" si="11"/>
        <v>471932.21610000002</v>
      </c>
      <c r="AP55" s="491">
        <f t="shared" si="12"/>
        <v>553096.32664999994</v>
      </c>
      <c r="AQ55" s="491">
        <f t="shared" si="13"/>
        <v>560925.81621824682</v>
      </c>
      <c r="AR55" s="491">
        <f t="shared" si="14"/>
        <v>645426.42307792697</v>
      </c>
      <c r="AS55" s="491">
        <f t="shared" si="15"/>
        <v>733848.7525774911</v>
      </c>
      <c r="AT55" s="624">
        <f>'(E1) Vlerësimi i burimeve'!O65</f>
        <v>350000</v>
      </c>
      <c r="AU55" s="625" t="str">
        <f t="shared" si="3"/>
        <v>Plausible</v>
      </c>
      <c r="AV55" s="624">
        <f>'(E1) Vlerësimi i burimeve'!X65</f>
        <v>350000</v>
      </c>
      <c r="AW55" s="625" t="str">
        <f t="shared" si="4"/>
        <v>Plausible</v>
      </c>
      <c r="AX55" s="624">
        <f>'(E1) Vlerësimi i burimeve'!AG65</f>
        <v>350000</v>
      </c>
      <c r="AY55" s="625" t="str">
        <f t="shared" si="5"/>
        <v>ATTENTION</v>
      </c>
      <c r="AZ55" s="491">
        <f t="shared" si="16"/>
        <v>220610.39488175302</v>
      </c>
      <c r="BA55" s="491">
        <f t="shared" si="17"/>
        <v>298438.00912207313</v>
      </c>
      <c r="BB55" s="491">
        <f t="shared" si="18"/>
        <v>372343.90072250873</v>
      </c>
    </row>
    <row r="56" spans="1:54" s="492" customFormat="1" ht="15.75" thickBot="1" x14ac:dyDescent="0.3">
      <c r="A56" s="520" t="str">
        <f>'(C2) Burimet viti kaluar'!C65</f>
        <v>A.3.6.6</v>
      </c>
      <c r="B56" s="1187" t="str">
        <f>'(G1) Fjalori'!A273</f>
        <v>Qendra Komunitare</v>
      </c>
      <c r="C56" s="1188"/>
      <c r="D56" s="513">
        <f>'(C2) Burimet viti kaluar'!D65</f>
        <v>0</v>
      </c>
      <c r="E56" s="513">
        <f>'(C2) Burimet viti kaluar'!E65</f>
        <v>0</v>
      </c>
      <c r="F56" s="513">
        <f>'(C2) Burimet viti kaluar'!F65</f>
        <v>0</v>
      </c>
      <c r="G56" s="1185"/>
      <c r="H56" s="1186"/>
      <c r="I56" s="514"/>
      <c r="J56" s="514"/>
      <c r="K56" s="514"/>
      <c r="L56" s="514"/>
      <c r="M56" s="514"/>
      <c r="N56" s="515"/>
      <c r="O56" s="516">
        <f t="shared" si="25"/>
        <v>0</v>
      </c>
      <c r="P56" s="1185"/>
      <c r="Q56" s="1186"/>
      <c r="R56" s="514"/>
      <c r="S56" s="514"/>
      <c r="T56" s="514"/>
      <c r="U56" s="514"/>
      <c r="V56" s="514"/>
      <c r="W56" s="515"/>
      <c r="X56" s="516">
        <f t="shared" si="26"/>
        <v>0</v>
      </c>
      <c r="Y56" s="1185"/>
      <c r="Z56" s="1186"/>
      <c r="AA56" s="514"/>
      <c r="AB56" s="514"/>
      <c r="AC56" s="514"/>
      <c r="AD56" s="514"/>
      <c r="AE56" s="514"/>
      <c r="AF56" s="515"/>
      <c r="AG56" s="516">
        <f t="shared" si="27"/>
        <v>0</v>
      </c>
      <c r="AI56" s="493" t="str">
        <f t="shared" si="6"/>
        <v>Qendra Komunitare</v>
      </c>
      <c r="AJ56" s="517"/>
      <c r="AK56" s="483">
        <f t="shared" si="7"/>
        <v>0</v>
      </c>
      <c r="AL56" s="483">
        <f t="shared" si="8"/>
        <v>0</v>
      </c>
      <c r="AM56" s="483">
        <f t="shared" si="9"/>
        <v>0</v>
      </c>
      <c r="AN56" s="491">
        <f t="shared" si="10"/>
        <v>0</v>
      </c>
      <c r="AO56" s="491">
        <f t="shared" si="11"/>
        <v>0</v>
      </c>
      <c r="AP56" s="491">
        <f t="shared" si="12"/>
        <v>0</v>
      </c>
      <c r="AQ56" s="491">
        <f t="shared" si="13"/>
        <v>0</v>
      </c>
      <c r="AR56" s="491">
        <f t="shared" si="14"/>
        <v>0</v>
      </c>
      <c r="AS56" s="491">
        <f t="shared" si="15"/>
        <v>0</v>
      </c>
      <c r="AT56" s="624">
        <f>'(E1) Vlerësimi i burimeve'!O66</f>
        <v>0</v>
      </c>
      <c r="AU56" s="625" t="str">
        <f t="shared" si="3"/>
        <v>Plausible</v>
      </c>
      <c r="AV56" s="624">
        <f>'(E1) Vlerësimi i burimeve'!X66</f>
        <v>0</v>
      </c>
      <c r="AW56" s="625" t="str">
        <f t="shared" si="4"/>
        <v>Plausible</v>
      </c>
      <c r="AX56" s="624">
        <f>'(E1) Vlerësimi i burimeve'!AG66</f>
        <v>0</v>
      </c>
      <c r="AY56" s="625" t="str">
        <f t="shared" si="5"/>
        <v>Plausible</v>
      </c>
      <c r="AZ56" s="491">
        <f t="shared" si="16"/>
        <v>0</v>
      </c>
      <c r="BA56" s="491">
        <f t="shared" si="17"/>
        <v>0</v>
      </c>
      <c r="BB56" s="491">
        <f t="shared" si="18"/>
        <v>0</v>
      </c>
    </row>
    <row r="57" spans="1:54" s="492" customFormat="1" ht="15.75" thickBot="1" x14ac:dyDescent="0.3">
      <c r="A57" s="520" t="str">
        <f>'(C2) Burimet viti kaluar'!C66</f>
        <v>A.3.6.7</v>
      </c>
      <c r="B57" s="1187" t="str">
        <f>'(G1) Fjalori'!A274</f>
        <v>Mensa (Konviktet)</v>
      </c>
      <c r="C57" s="1188"/>
      <c r="D57" s="513">
        <f>'(C2) Burimet viti kaluar'!D66</f>
        <v>0</v>
      </c>
      <c r="E57" s="513">
        <f>'(C2) Burimet viti kaluar'!E66</f>
        <v>0</v>
      </c>
      <c r="F57" s="513">
        <f>'(C2) Burimet viti kaluar'!F66</f>
        <v>0</v>
      </c>
      <c r="G57" s="1185"/>
      <c r="H57" s="1186"/>
      <c r="I57" s="514"/>
      <c r="J57" s="514"/>
      <c r="K57" s="514"/>
      <c r="L57" s="514"/>
      <c r="M57" s="514"/>
      <c r="N57" s="515"/>
      <c r="O57" s="516">
        <f t="shared" si="25"/>
        <v>0</v>
      </c>
      <c r="P57" s="1185"/>
      <c r="Q57" s="1186"/>
      <c r="R57" s="514"/>
      <c r="S57" s="514"/>
      <c r="T57" s="514"/>
      <c r="U57" s="514"/>
      <c r="V57" s="514"/>
      <c r="W57" s="515"/>
      <c r="X57" s="516">
        <f t="shared" si="26"/>
        <v>0</v>
      </c>
      <c r="Y57" s="1185"/>
      <c r="Z57" s="1186"/>
      <c r="AA57" s="514"/>
      <c r="AB57" s="514"/>
      <c r="AC57" s="514"/>
      <c r="AD57" s="514"/>
      <c r="AE57" s="514"/>
      <c r="AF57" s="515"/>
      <c r="AG57" s="516">
        <f t="shared" si="27"/>
        <v>0</v>
      </c>
      <c r="AI57" s="493" t="str">
        <f t="shared" si="6"/>
        <v>Mensa (Konviktet)</v>
      </c>
      <c r="AJ57" s="517"/>
      <c r="AK57" s="483">
        <f t="shared" si="7"/>
        <v>0</v>
      </c>
      <c r="AL57" s="483">
        <f t="shared" si="8"/>
        <v>0</v>
      </c>
      <c r="AM57" s="483">
        <f t="shared" si="9"/>
        <v>0</v>
      </c>
      <c r="AN57" s="491">
        <f t="shared" si="10"/>
        <v>0</v>
      </c>
      <c r="AO57" s="491">
        <f t="shared" si="11"/>
        <v>0</v>
      </c>
      <c r="AP57" s="491">
        <f t="shared" si="12"/>
        <v>0</v>
      </c>
      <c r="AQ57" s="491">
        <f t="shared" si="13"/>
        <v>0</v>
      </c>
      <c r="AR57" s="491">
        <f t="shared" si="14"/>
        <v>0</v>
      </c>
      <c r="AS57" s="491">
        <f t="shared" si="15"/>
        <v>0</v>
      </c>
      <c r="AT57" s="624">
        <f>'(E1) Vlerësimi i burimeve'!O67</f>
        <v>0</v>
      </c>
      <c r="AU57" s="625" t="str">
        <f t="shared" si="3"/>
        <v>Plausible</v>
      </c>
      <c r="AV57" s="624">
        <f>'(E1) Vlerësimi i burimeve'!X67</f>
        <v>0</v>
      </c>
      <c r="AW57" s="625" t="str">
        <f t="shared" si="4"/>
        <v>Plausible</v>
      </c>
      <c r="AX57" s="624">
        <f>'(E1) Vlerësimi i burimeve'!AG67</f>
        <v>0</v>
      </c>
      <c r="AY57" s="625" t="str">
        <f t="shared" si="5"/>
        <v>Plausible</v>
      </c>
      <c r="AZ57" s="491">
        <f t="shared" si="16"/>
        <v>0</v>
      </c>
      <c r="BA57" s="491">
        <f t="shared" si="17"/>
        <v>0</v>
      </c>
      <c r="BB57" s="491">
        <f t="shared" si="18"/>
        <v>0</v>
      </c>
    </row>
    <row r="58" spans="1:54" s="492" customFormat="1" ht="15.75" thickBot="1" x14ac:dyDescent="0.3">
      <c r="A58" s="520" t="str">
        <f>'(C2) Burimet viti kaluar'!C67</f>
        <v>A.3.6.8</v>
      </c>
      <c r="B58" s="1187" t="str">
        <f>'(G1) Fjalori'!A275</f>
        <v>Kopshtet</v>
      </c>
      <c r="C58" s="1188"/>
      <c r="D58" s="513">
        <f>'(C2) Burimet viti kaluar'!D67</f>
        <v>0</v>
      </c>
      <c r="E58" s="513">
        <f>'(C2) Burimet viti kaluar'!E67</f>
        <v>595945</v>
      </c>
      <c r="F58" s="513">
        <f>'(C2) Burimet viti kaluar'!F67</f>
        <v>0</v>
      </c>
      <c r="G58" s="1185"/>
      <c r="H58" s="1186"/>
      <c r="I58" s="514"/>
      <c r="J58" s="514"/>
      <c r="K58" s="514"/>
      <c r="L58" s="514"/>
      <c r="M58" s="514"/>
      <c r="N58" s="515"/>
      <c r="O58" s="516">
        <f t="shared" si="25"/>
        <v>0</v>
      </c>
      <c r="P58" s="1185"/>
      <c r="Q58" s="1186"/>
      <c r="R58" s="514"/>
      <c r="S58" s="514"/>
      <c r="T58" s="514"/>
      <c r="U58" s="514"/>
      <c r="V58" s="514"/>
      <c r="W58" s="515"/>
      <c r="X58" s="516">
        <f t="shared" si="26"/>
        <v>0</v>
      </c>
      <c r="Y58" s="1185"/>
      <c r="Z58" s="1186"/>
      <c r="AA58" s="514"/>
      <c r="AB58" s="514"/>
      <c r="AC58" s="514"/>
      <c r="AD58" s="514"/>
      <c r="AE58" s="514"/>
      <c r="AF58" s="515"/>
      <c r="AG58" s="516">
        <f t="shared" si="27"/>
        <v>0</v>
      </c>
      <c r="AI58" s="493" t="str">
        <f t="shared" si="6"/>
        <v>Kopshtet</v>
      </c>
      <c r="AJ58" s="517"/>
      <c r="AK58" s="483">
        <f t="shared" si="7"/>
        <v>0</v>
      </c>
      <c r="AL58" s="483">
        <f t="shared" si="8"/>
        <v>595945</v>
      </c>
      <c r="AM58" s="483">
        <f t="shared" si="9"/>
        <v>0</v>
      </c>
      <c r="AN58" s="491">
        <f t="shared" si="10"/>
        <v>153991.59205500016</v>
      </c>
      <c r="AO58" s="491">
        <f t="shared" si="11"/>
        <v>201249.43460999997</v>
      </c>
      <c r="AP58" s="491">
        <f t="shared" si="12"/>
        <v>248507.27716500015</v>
      </c>
      <c r="AQ58" s="491">
        <f t="shared" si="13"/>
        <v>603579.87351892563</v>
      </c>
      <c r="AR58" s="491">
        <f t="shared" si="14"/>
        <v>659653.35913875478</v>
      </c>
      <c r="AS58" s="491">
        <f t="shared" si="15"/>
        <v>726088.76450420986</v>
      </c>
      <c r="AT58" s="624">
        <f>'(E1) Vlerësimi i burimeve'!O68</f>
        <v>0</v>
      </c>
      <c r="AU58" s="625" t="str">
        <f t="shared" si="3"/>
        <v>Plausible</v>
      </c>
      <c r="AV58" s="624">
        <f>'(E1) Vlerësimi i burimeve'!X68</f>
        <v>0</v>
      </c>
      <c r="AW58" s="625" t="str">
        <f t="shared" si="4"/>
        <v>Plausible</v>
      </c>
      <c r="AX58" s="624">
        <f>'(E1) Vlerësimi i burimeve'!AG68</f>
        <v>0</v>
      </c>
      <c r="AY58" s="625" t="str">
        <f t="shared" si="5"/>
        <v>Plausible</v>
      </c>
      <c r="AZ58" s="491">
        <f t="shared" si="16"/>
        <v>-295596.68940892536</v>
      </c>
      <c r="BA58" s="491">
        <f t="shared" si="17"/>
        <v>-257154.48991875481</v>
      </c>
      <c r="BB58" s="491">
        <f t="shared" si="18"/>
        <v>-229074.21017420961</v>
      </c>
    </row>
    <row r="59" spans="1:54" s="492" customFormat="1" ht="15.75" thickBot="1" x14ac:dyDescent="0.3">
      <c r="A59" s="520" t="str">
        <f>'(C2) Burimet viti kaluar'!C68</f>
        <v>A.3.6.9</v>
      </c>
      <c r="B59" s="1187" t="str">
        <f>'(G1) Fjalori'!A276</f>
        <v>Çerdhet</v>
      </c>
      <c r="C59" s="1188"/>
      <c r="D59" s="513">
        <f>'(C2) Burimet viti kaluar'!D68</f>
        <v>1366276</v>
      </c>
      <c r="E59" s="513">
        <f>'(C2) Burimet viti kaluar'!E68</f>
        <v>1090480</v>
      </c>
      <c r="F59" s="513">
        <f>'(C2) Burimet viti kaluar'!F68</f>
        <v>5544000</v>
      </c>
      <c r="G59" s="1185"/>
      <c r="H59" s="1186"/>
      <c r="I59" s="514"/>
      <c r="J59" s="514"/>
      <c r="K59" s="514"/>
      <c r="L59" s="514"/>
      <c r="M59" s="514"/>
      <c r="N59" s="515"/>
      <c r="O59" s="516">
        <f t="shared" si="25"/>
        <v>5544000</v>
      </c>
      <c r="P59" s="1185"/>
      <c r="Q59" s="1186"/>
      <c r="R59" s="514"/>
      <c r="S59" s="514"/>
      <c r="T59" s="514"/>
      <c r="U59" s="514"/>
      <c r="V59" s="514"/>
      <c r="W59" s="515"/>
      <c r="X59" s="516">
        <f t="shared" si="26"/>
        <v>5544000</v>
      </c>
      <c r="Y59" s="1185"/>
      <c r="Z59" s="1186"/>
      <c r="AA59" s="514"/>
      <c r="AB59" s="514"/>
      <c r="AC59" s="514"/>
      <c r="AD59" s="514"/>
      <c r="AE59" s="514"/>
      <c r="AF59" s="515"/>
      <c r="AG59" s="516">
        <f t="shared" si="27"/>
        <v>5544000</v>
      </c>
      <c r="AI59" s="493" t="str">
        <f t="shared" si="6"/>
        <v>Çerdhet</v>
      </c>
      <c r="AJ59" s="517"/>
      <c r="AK59" s="483">
        <f t="shared" si="7"/>
        <v>1366276</v>
      </c>
      <c r="AL59" s="483">
        <f t="shared" si="8"/>
        <v>1090480</v>
      </c>
      <c r="AM59" s="483">
        <f t="shared" si="9"/>
        <v>5544000</v>
      </c>
      <c r="AN59" s="491">
        <f t="shared" si="10"/>
        <v>7021836.737458</v>
      </c>
      <c r="AO59" s="491">
        <f t="shared" si="11"/>
        <v>8923183.7227159999</v>
      </c>
      <c r="AP59" s="491">
        <f t="shared" si="12"/>
        <v>10824530.707974</v>
      </c>
      <c r="AQ59" s="491">
        <f t="shared" si="13"/>
        <v>8805763.9899224434</v>
      </c>
      <c r="AR59" s="491">
        <f t="shared" si="14"/>
        <v>10742090.681190886</v>
      </c>
      <c r="AS59" s="491">
        <f t="shared" si="15"/>
        <v>12719532.570039393</v>
      </c>
      <c r="AT59" s="624">
        <f>'(E1) Vlerësimi i burimeve'!O69</f>
        <v>5599999.7999999998</v>
      </c>
      <c r="AU59" s="625" t="str">
        <f t="shared" si="3"/>
        <v>Plausible</v>
      </c>
      <c r="AV59" s="624">
        <f>'(E1) Vlerësimi i burimeve'!X69</f>
        <v>5599999.7999999998</v>
      </c>
      <c r="AW59" s="625" t="str">
        <f t="shared" si="4"/>
        <v>ATTENTION</v>
      </c>
      <c r="AX59" s="624">
        <f>'(E1) Vlerësimi i burimeve'!AG69</f>
        <v>5699999.7964000003</v>
      </c>
      <c r="AY59" s="625" t="str">
        <f t="shared" si="5"/>
        <v>ATTENTION</v>
      </c>
      <c r="AZ59" s="491">
        <f t="shared" si="16"/>
        <v>5237909.4849935556</v>
      </c>
      <c r="BA59" s="491">
        <f t="shared" si="17"/>
        <v>7104276.7642411133</v>
      </c>
      <c r="BB59" s="491">
        <f t="shared" si="18"/>
        <v>8929528.8459086064</v>
      </c>
    </row>
    <row r="60" spans="1:54" s="509" customFormat="1" ht="15.75" thickBot="1" x14ac:dyDescent="0.3">
      <c r="A60" s="510" t="str">
        <f>'(C2) Burimet viti kaluar'!C69</f>
        <v>A.3.7</v>
      </c>
      <c r="B60" s="522" t="str">
        <f>'(G1) Fjalori'!A277</f>
        <v>Tarifa për furnizimin me ujë dhe kanalizime</v>
      </c>
      <c r="C60" s="620"/>
      <c r="D60" s="513">
        <f>'(C2) Burimet viti kaluar'!D69</f>
        <v>663300</v>
      </c>
      <c r="E60" s="513">
        <f>'(C2) Burimet viti kaluar'!E69</f>
        <v>0</v>
      </c>
      <c r="F60" s="513">
        <f>'(C2) Burimet viti kaluar'!F69</f>
        <v>0</v>
      </c>
      <c r="G60" s="1185"/>
      <c r="H60" s="1186"/>
      <c r="I60" s="514"/>
      <c r="J60" s="514"/>
      <c r="K60" s="514"/>
      <c r="L60" s="514"/>
      <c r="M60" s="514"/>
      <c r="N60" s="515"/>
      <c r="O60" s="516">
        <f t="shared" si="25"/>
        <v>0</v>
      </c>
      <c r="P60" s="1185"/>
      <c r="Q60" s="1186"/>
      <c r="R60" s="514"/>
      <c r="S60" s="514"/>
      <c r="T60" s="514"/>
      <c r="U60" s="514"/>
      <c r="V60" s="514"/>
      <c r="W60" s="515"/>
      <c r="X60" s="516">
        <f t="shared" si="26"/>
        <v>0</v>
      </c>
      <c r="Y60" s="1185"/>
      <c r="Z60" s="1186"/>
      <c r="AA60" s="514"/>
      <c r="AB60" s="514"/>
      <c r="AC60" s="514"/>
      <c r="AD60" s="514"/>
      <c r="AE60" s="514"/>
      <c r="AF60" s="515"/>
      <c r="AG60" s="516">
        <f t="shared" si="27"/>
        <v>0</v>
      </c>
      <c r="AI60" s="493" t="str">
        <f t="shared" si="6"/>
        <v>Tarifa për furnizimin me ujë dhe kanalizime</v>
      </c>
      <c r="AJ60" s="517"/>
      <c r="AK60" s="483">
        <f t="shared" si="7"/>
        <v>663300</v>
      </c>
      <c r="AL60" s="483">
        <f t="shared" si="8"/>
        <v>0</v>
      </c>
      <c r="AM60" s="483">
        <f t="shared" si="9"/>
        <v>0</v>
      </c>
      <c r="AN60" s="491">
        <f t="shared" si="10"/>
        <v>-417348.02834999998</v>
      </c>
      <c r="AO60" s="491">
        <f t="shared" si="11"/>
        <v>-775297.54169999994</v>
      </c>
      <c r="AP60" s="491">
        <f t="shared" si="12"/>
        <v>-1133247.0550499998</v>
      </c>
      <c r="AQ60" s="491">
        <f t="shared" si="13"/>
        <v>-167147.16493557263</v>
      </c>
      <c r="AR60" s="491">
        <f t="shared" si="14"/>
        <v>-520190.67517714715</v>
      </c>
      <c r="AS60" s="491">
        <f t="shared" si="15"/>
        <v>-867467.66219319438</v>
      </c>
      <c r="AT60" s="624">
        <f>'(E1) Vlerësimi i burimeve'!O70</f>
        <v>0</v>
      </c>
      <c r="AU60" s="625" t="str">
        <f t="shared" si="3"/>
        <v>ATTENTION</v>
      </c>
      <c r="AV60" s="624">
        <f>'(E1) Vlerësimi i burimeve'!X70</f>
        <v>0</v>
      </c>
      <c r="AW60" s="625" t="str">
        <f t="shared" si="4"/>
        <v>ATTENTION</v>
      </c>
      <c r="AX60" s="624">
        <f>'(E1) Vlerësimi i burimeve'!AG70</f>
        <v>0</v>
      </c>
      <c r="AY60" s="625" t="str">
        <f t="shared" si="5"/>
        <v>ATTENTION</v>
      </c>
      <c r="AZ60" s="491">
        <f t="shared" si="16"/>
        <v>-667548.8917644273</v>
      </c>
      <c r="BA60" s="491">
        <f t="shared" si="17"/>
        <v>-1030404.4082228527</v>
      </c>
      <c r="BB60" s="491">
        <f t="shared" si="18"/>
        <v>-1399026.4479068052</v>
      </c>
    </row>
    <row r="61" spans="1:54" s="509" customFormat="1" ht="15.75" thickBot="1" x14ac:dyDescent="0.3">
      <c r="A61" s="510" t="str">
        <f>'(C2) Burimet viti kaluar'!C70</f>
        <v>A.3.8</v>
      </c>
      <c r="B61" s="522" t="str">
        <f>'(G1) Fjalori'!A278</f>
        <v>Tarifa për shërbimin e ujitjes dhe kullimit</v>
      </c>
      <c r="C61" s="620"/>
      <c r="D61" s="513">
        <f>'(C2) Burimet viti kaluar'!D70</f>
        <v>0</v>
      </c>
      <c r="E61" s="513">
        <f>'(C2) Burimet viti kaluar'!E70</f>
        <v>0</v>
      </c>
      <c r="F61" s="513">
        <f>'(C2) Burimet viti kaluar'!F70</f>
        <v>500000</v>
      </c>
      <c r="G61" s="1185"/>
      <c r="H61" s="1186"/>
      <c r="I61" s="514"/>
      <c r="J61" s="514"/>
      <c r="K61" s="514"/>
      <c r="L61" s="514"/>
      <c r="M61" s="514"/>
      <c r="N61" s="515"/>
      <c r="O61" s="516">
        <f t="shared" si="25"/>
        <v>500000</v>
      </c>
      <c r="P61" s="1185"/>
      <c r="Q61" s="1186"/>
      <c r="R61" s="514"/>
      <c r="S61" s="514"/>
      <c r="T61" s="514"/>
      <c r="U61" s="514"/>
      <c r="V61" s="514"/>
      <c r="W61" s="515"/>
      <c r="X61" s="516">
        <f t="shared" si="26"/>
        <v>500000</v>
      </c>
      <c r="Y61" s="1185"/>
      <c r="Z61" s="1186"/>
      <c r="AA61" s="514"/>
      <c r="AB61" s="514"/>
      <c r="AC61" s="514"/>
      <c r="AD61" s="514"/>
      <c r="AE61" s="514"/>
      <c r="AF61" s="515"/>
      <c r="AG61" s="516">
        <f t="shared" si="27"/>
        <v>500000</v>
      </c>
      <c r="AI61" s="493" t="str">
        <f t="shared" si="6"/>
        <v>Tarifa për shërbimin e ujitjes dhe kullimit</v>
      </c>
      <c r="AJ61" s="517"/>
      <c r="AK61" s="483">
        <f t="shared" si="7"/>
        <v>0</v>
      </c>
      <c r="AL61" s="483">
        <f t="shared" si="8"/>
        <v>0</v>
      </c>
      <c r="AM61" s="483">
        <f t="shared" si="9"/>
        <v>500000</v>
      </c>
      <c r="AN61" s="491">
        <f t="shared" si="10"/>
        <v>685400.25</v>
      </c>
      <c r="AO61" s="491">
        <f t="shared" si="11"/>
        <v>915575.5</v>
      </c>
      <c r="AP61" s="491">
        <f t="shared" si="12"/>
        <v>1145750.75</v>
      </c>
      <c r="AQ61" s="491">
        <f t="shared" si="13"/>
        <v>874003.34318138647</v>
      </c>
      <c r="AR61" s="491">
        <f t="shared" si="14"/>
        <v>1107876.7713122666</v>
      </c>
      <c r="AS61" s="491">
        <f t="shared" si="15"/>
        <v>1346097.0434243972</v>
      </c>
      <c r="AT61" s="624">
        <f>'(E1) Vlerësimi i burimeve'!O71</f>
        <v>500000</v>
      </c>
      <c r="AU61" s="625" t="str">
        <f t="shared" si="3"/>
        <v>Plausible</v>
      </c>
      <c r="AV61" s="624">
        <f>'(E1) Vlerësimi i burimeve'!X71</f>
        <v>500000</v>
      </c>
      <c r="AW61" s="625" t="str">
        <f t="shared" si="4"/>
        <v>ATTENTION</v>
      </c>
      <c r="AX61" s="624">
        <f>'(E1) Vlerësimi i burimeve'!AG71</f>
        <v>500000</v>
      </c>
      <c r="AY61" s="625" t="str">
        <f t="shared" si="5"/>
        <v>ATTENTION</v>
      </c>
      <c r="AZ61" s="491">
        <f t="shared" si="16"/>
        <v>496797.15681861353</v>
      </c>
      <c r="BA61" s="491">
        <f t="shared" si="17"/>
        <v>723274.22868773341</v>
      </c>
      <c r="BB61" s="491">
        <f t="shared" si="18"/>
        <v>945404.45657560276</v>
      </c>
    </row>
    <row r="62" spans="1:54" s="509" customFormat="1" ht="15.75" thickBot="1" x14ac:dyDescent="0.3">
      <c r="A62" s="510" t="str">
        <f>'(C2) Burimet viti kaluar'!C71</f>
        <v>A.3.9</v>
      </c>
      <c r="B62" s="522" t="str">
        <f>'(G1) Fjalori'!A279</f>
        <v>Tarifa e përkohëshme</v>
      </c>
      <c r="C62" s="620"/>
      <c r="D62" s="513">
        <f>'(C2) Burimet viti kaluar'!D71</f>
        <v>76500</v>
      </c>
      <c r="E62" s="513">
        <f>'(C2) Burimet viti kaluar'!E71</f>
        <v>0</v>
      </c>
      <c r="F62" s="513">
        <f>'(C2) Burimet viti kaluar'!F71</f>
        <v>8500000</v>
      </c>
      <c r="G62" s="1185"/>
      <c r="H62" s="1186"/>
      <c r="I62" s="514"/>
      <c r="J62" s="514"/>
      <c r="K62" s="514"/>
      <c r="L62" s="514"/>
      <c r="M62" s="514"/>
      <c r="N62" s="515"/>
      <c r="O62" s="516">
        <f t="shared" si="25"/>
        <v>8500000</v>
      </c>
      <c r="P62" s="1185"/>
      <c r="Q62" s="1186"/>
      <c r="R62" s="514"/>
      <c r="S62" s="514"/>
      <c r="T62" s="514"/>
      <c r="U62" s="514"/>
      <c r="V62" s="514"/>
      <c r="W62" s="515"/>
      <c r="X62" s="516">
        <f t="shared" si="26"/>
        <v>8500000</v>
      </c>
      <c r="Y62" s="1185"/>
      <c r="Z62" s="1186"/>
      <c r="AA62" s="514"/>
      <c r="AB62" s="514"/>
      <c r="AC62" s="514"/>
      <c r="AD62" s="514"/>
      <c r="AE62" s="514"/>
      <c r="AF62" s="515"/>
      <c r="AG62" s="516">
        <f t="shared" si="27"/>
        <v>8500000</v>
      </c>
      <c r="AI62" s="493" t="str">
        <f t="shared" si="6"/>
        <v>Tarifa e përkohëshme</v>
      </c>
      <c r="AJ62" s="517"/>
      <c r="AK62" s="483">
        <f t="shared" si="7"/>
        <v>76500</v>
      </c>
      <c r="AL62" s="483">
        <f t="shared" si="8"/>
        <v>0</v>
      </c>
      <c r="AM62" s="483">
        <f t="shared" si="9"/>
        <v>8500000</v>
      </c>
      <c r="AN62" s="491">
        <f t="shared" si="10"/>
        <v>11603670.48825</v>
      </c>
      <c r="AO62" s="491">
        <f t="shared" si="11"/>
        <v>15475366.5515</v>
      </c>
      <c r="AP62" s="491">
        <f t="shared" si="12"/>
        <v>19347062.614750002</v>
      </c>
      <c r="AQ62" s="491">
        <f t="shared" si="13"/>
        <v>14838779.345590323</v>
      </c>
      <c r="AR62" s="491">
        <f t="shared" si="14"/>
        <v>18773910.258319307</v>
      </c>
      <c r="AS62" s="491">
        <f t="shared" si="15"/>
        <v>22783602.585858688</v>
      </c>
      <c r="AT62" s="624">
        <f>'(E1) Vlerësimi i burimeve'!O72</f>
        <v>8500000</v>
      </c>
      <c r="AU62" s="625" t="str">
        <f t="shared" si="3"/>
        <v>Plausible</v>
      </c>
      <c r="AV62" s="624">
        <f>'(E1) Vlerësimi i burimeve'!X72</f>
        <v>8500000</v>
      </c>
      <c r="AW62" s="625" t="str">
        <f t="shared" si="4"/>
        <v>ATTENTION</v>
      </c>
      <c r="AX62" s="624">
        <f>'(E1) Vlerësimi i burimeve'!AG72</f>
        <v>8500000</v>
      </c>
      <c r="AY62" s="625" t="str">
        <f t="shared" si="5"/>
        <v>ATTENTION</v>
      </c>
      <c r="AZ62" s="491">
        <f t="shared" si="16"/>
        <v>8368561.6309096776</v>
      </c>
      <c r="BA62" s="491">
        <f t="shared" si="17"/>
        <v>12176822.844680691</v>
      </c>
      <c r="BB62" s="491">
        <f t="shared" si="18"/>
        <v>15910522.643641315</v>
      </c>
    </row>
    <row r="63" spans="1:54" s="509" customFormat="1" ht="15.75" thickBot="1" x14ac:dyDescent="0.3">
      <c r="A63" s="510" t="str">
        <f>'(C2) Burimet viti kaluar'!C72</f>
        <v>A.3.10</v>
      </c>
      <c r="B63" s="522" t="str">
        <f>'(G1) Fjalori'!A280</f>
        <v>Tarifa të tjera</v>
      </c>
      <c r="C63" s="620"/>
      <c r="D63" s="513">
        <f>'(C2) Burimet viti kaluar'!D72</f>
        <v>4391217</v>
      </c>
      <c r="E63" s="513">
        <f>'(C2) Burimet viti kaluar'!E72</f>
        <v>5875620</v>
      </c>
      <c r="F63" s="513">
        <f>'(C2) Burimet viti kaluar'!F72</f>
        <v>4600000</v>
      </c>
      <c r="G63" s="1185"/>
      <c r="H63" s="1186"/>
      <c r="I63" s="514"/>
      <c r="J63" s="514"/>
      <c r="K63" s="514"/>
      <c r="L63" s="514"/>
      <c r="M63" s="514"/>
      <c r="N63" s="515"/>
      <c r="O63" s="516">
        <f t="shared" si="25"/>
        <v>4600000</v>
      </c>
      <c r="P63" s="1185"/>
      <c r="Q63" s="1186"/>
      <c r="R63" s="514"/>
      <c r="S63" s="514"/>
      <c r="T63" s="514"/>
      <c r="U63" s="514"/>
      <c r="V63" s="514"/>
      <c r="W63" s="515"/>
      <c r="X63" s="516">
        <f t="shared" si="26"/>
        <v>4600000</v>
      </c>
      <c r="Y63" s="1185"/>
      <c r="Z63" s="1186"/>
      <c r="AA63" s="514"/>
      <c r="AB63" s="514"/>
      <c r="AC63" s="514"/>
      <c r="AD63" s="514"/>
      <c r="AE63" s="514"/>
      <c r="AF63" s="515"/>
      <c r="AG63" s="516">
        <f t="shared" si="27"/>
        <v>4600000</v>
      </c>
      <c r="AI63" s="493" t="str">
        <f t="shared" si="6"/>
        <v>Tarifa të tjera</v>
      </c>
      <c r="AJ63" s="517"/>
      <c r="AK63" s="483">
        <f t="shared" si="7"/>
        <v>4391217</v>
      </c>
      <c r="AL63" s="483">
        <f t="shared" si="8"/>
        <v>5875620</v>
      </c>
      <c r="AM63" s="483">
        <f t="shared" si="9"/>
        <v>4600000</v>
      </c>
      <c r="AN63" s="491">
        <f t="shared" si="10"/>
        <v>5060985.0915885</v>
      </c>
      <c r="AO63" s="491">
        <f t="shared" si="11"/>
        <v>5274810.1235269997</v>
      </c>
      <c r="AP63" s="491">
        <f t="shared" si="12"/>
        <v>5488635.1554655004</v>
      </c>
      <c r="AQ63" s="491">
        <f t="shared" si="13"/>
        <v>6102082.8416920397</v>
      </c>
      <c r="AR63" s="491">
        <f t="shared" si="14"/>
        <v>6336321.9870291911</v>
      </c>
      <c r="AS63" s="491">
        <f t="shared" si="15"/>
        <v>6594555.9110976709</v>
      </c>
      <c r="AT63" s="624">
        <f>'(E1) Vlerësimi i burimeve'!O73</f>
        <v>4712850</v>
      </c>
      <c r="AU63" s="625" t="str">
        <f t="shared" si="3"/>
        <v>Plausible</v>
      </c>
      <c r="AV63" s="624">
        <f>'(E1) Vlerësimi i burimeve'!X73</f>
        <v>4717588.8499999996</v>
      </c>
      <c r="AW63" s="625" t="str">
        <f t="shared" si="4"/>
        <v>Plausible</v>
      </c>
      <c r="AX63" s="624">
        <f>'(E1) Vlerësimi i burimeve'!AG73</f>
        <v>4722381.4388499996</v>
      </c>
      <c r="AY63" s="625" t="str">
        <f t="shared" si="5"/>
        <v>Plausible</v>
      </c>
      <c r="AZ63" s="491">
        <f t="shared" si="16"/>
        <v>4019887.3414849602</v>
      </c>
      <c r="BA63" s="491">
        <f t="shared" si="17"/>
        <v>4213298.2600248083</v>
      </c>
      <c r="BB63" s="491">
        <f t="shared" si="18"/>
        <v>4382714.39983333</v>
      </c>
    </row>
    <row r="64" spans="1:54" x14ac:dyDescent="0.25">
      <c r="B64" s="541"/>
      <c r="C64" s="540"/>
      <c r="D64" s="541">
        <v>2015</v>
      </c>
      <c r="E64" s="541">
        <v>2016</v>
      </c>
      <c r="F64" s="541">
        <v>2017</v>
      </c>
      <c r="G64" s="541">
        <v>2018</v>
      </c>
      <c r="H64" s="541">
        <v>2019</v>
      </c>
      <c r="I64" s="541">
        <v>2020</v>
      </c>
      <c r="AI64" s="527"/>
      <c r="AJ64" s="527"/>
      <c r="AK64" s="527"/>
      <c r="AL64" s="527"/>
      <c r="AM64" s="527"/>
      <c r="AN64" s="527"/>
      <c r="AO64" s="527"/>
      <c r="AP64" s="527"/>
    </row>
    <row r="65" spans="3:42" x14ac:dyDescent="0.25">
      <c r="C65" s="541"/>
      <c r="D65" s="542" t="e">
        <f>#REF!</f>
        <v>#REF!</v>
      </c>
      <c r="E65" s="542">
        <v>98</v>
      </c>
      <c r="F65" s="542">
        <v>105</v>
      </c>
      <c r="G65" s="543">
        <v>106.3372045</v>
      </c>
      <c r="H65" s="543">
        <v>108.48035900000001</v>
      </c>
      <c r="I65" s="543">
        <v>110.6235135</v>
      </c>
      <c r="AI65" s="528"/>
      <c r="AJ65" s="544"/>
      <c r="AK65" s="545"/>
      <c r="AL65" s="545"/>
      <c r="AM65" s="545"/>
      <c r="AN65" s="545"/>
      <c r="AO65" s="545"/>
      <c r="AP65" s="545"/>
    </row>
    <row r="66" spans="3:42" x14ac:dyDescent="0.25">
      <c r="C66" s="541"/>
      <c r="D66" s="546"/>
      <c r="E66" s="546"/>
      <c r="F66" s="543">
        <v>105</v>
      </c>
      <c r="G66" s="543">
        <v>102.94234882273504</v>
      </c>
      <c r="H66" s="543">
        <v>105.01893611637921</v>
      </c>
      <c r="I66" s="543">
        <v>107.01728021836085</v>
      </c>
      <c r="AI66" s="528"/>
      <c r="AJ66" s="547"/>
      <c r="AK66" s="548"/>
      <c r="AL66" s="548"/>
      <c r="AM66" s="548"/>
      <c r="AN66" s="490"/>
      <c r="AO66" s="490"/>
      <c r="AP66" s="490"/>
    </row>
    <row r="67" spans="3:42" x14ac:dyDescent="0.25">
      <c r="C67" s="541"/>
      <c r="D67" s="546"/>
      <c r="E67" s="546"/>
      <c r="F67" s="543">
        <v>105</v>
      </c>
      <c r="G67" s="543">
        <v>109.73206017726496</v>
      </c>
      <c r="H67" s="543">
        <v>111.94178188362081</v>
      </c>
      <c r="I67" s="543">
        <v>114.22974678163915</v>
      </c>
      <c r="AI67" s="528"/>
      <c r="AJ67" s="547"/>
      <c r="AK67" s="548"/>
      <c r="AL67" s="548"/>
      <c r="AM67" s="548"/>
      <c r="AN67" s="490"/>
      <c r="AO67" s="490"/>
      <c r="AP67" s="490"/>
    </row>
    <row r="68" spans="3:42" x14ac:dyDescent="0.25">
      <c r="C68" s="541"/>
      <c r="D68" s="546"/>
      <c r="E68" s="546"/>
      <c r="F68" s="546"/>
      <c r="G68" s="542">
        <v>107</v>
      </c>
      <c r="H68" s="542">
        <v>104</v>
      </c>
      <c r="I68" s="542">
        <v>115</v>
      </c>
      <c r="AI68" s="528"/>
      <c r="AJ68" s="547"/>
      <c r="AK68" s="548"/>
      <c r="AL68" s="548"/>
      <c r="AM68" s="548"/>
      <c r="AN68" s="490"/>
      <c r="AO68" s="490"/>
      <c r="AP68" s="490"/>
    </row>
    <row r="69" spans="3:42" x14ac:dyDescent="0.25">
      <c r="C69" s="541"/>
      <c r="D69" s="546"/>
      <c r="E69" s="546"/>
      <c r="F69" s="546"/>
      <c r="G69" s="549" t="s">
        <v>476</v>
      </c>
      <c r="H69" s="549" t="s">
        <v>1030</v>
      </c>
      <c r="I69" s="549" t="s">
        <v>1030</v>
      </c>
      <c r="AI69" s="528"/>
      <c r="AJ69" s="547"/>
      <c r="AK69" s="548"/>
      <c r="AL69" s="548"/>
      <c r="AM69" s="548"/>
      <c r="AN69" s="548"/>
      <c r="AO69" s="548"/>
      <c r="AP69" s="548"/>
    </row>
    <row r="70" spans="3:42" x14ac:dyDescent="0.25">
      <c r="AI70" s="528"/>
      <c r="AJ70" s="547"/>
      <c r="AK70" s="546"/>
      <c r="AL70" s="546"/>
      <c r="AM70" s="546"/>
      <c r="AN70" s="550"/>
      <c r="AO70" s="550"/>
      <c r="AP70" s="550"/>
    </row>
    <row r="71" spans="3:42" x14ac:dyDescent="0.25">
      <c r="AI71" s="527"/>
      <c r="AJ71" s="527"/>
      <c r="AK71" s="527"/>
      <c r="AL71" s="527"/>
      <c r="AM71" s="527"/>
      <c r="AN71" s="527"/>
      <c r="AO71" s="527"/>
      <c r="AP71" s="527"/>
    </row>
    <row r="72" spans="3:42" x14ac:dyDescent="0.25">
      <c r="C72" s="540"/>
      <c r="D72" s="541"/>
      <c r="E72" s="541"/>
      <c r="F72" s="541"/>
      <c r="G72" s="541"/>
      <c r="H72" s="541"/>
      <c r="I72" s="541"/>
      <c r="AI72" s="528"/>
      <c r="AJ72" s="544"/>
      <c r="AK72" s="545"/>
      <c r="AL72" s="545"/>
      <c r="AM72" s="545"/>
      <c r="AN72" s="545"/>
      <c r="AO72" s="545"/>
      <c r="AP72" s="545"/>
    </row>
    <row r="73" spans="3:42" x14ac:dyDescent="0.25">
      <c r="C73" s="540"/>
      <c r="D73" s="541">
        <v>2015</v>
      </c>
      <c r="E73" s="541">
        <v>2016</v>
      </c>
      <c r="F73" s="541">
        <v>2017</v>
      </c>
      <c r="G73" s="541">
        <v>2018</v>
      </c>
      <c r="H73" s="541">
        <v>2019</v>
      </c>
      <c r="I73" s="541">
        <v>2020</v>
      </c>
      <c r="AI73" s="528"/>
      <c r="AJ73" s="547"/>
      <c r="AK73" s="548"/>
      <c r="AL73" s="548"/>
      <c r="AM73" s="548"/>
      <c r="AN73" s="490"/>
      <c r="AO73" s="490"/>
      <c r="AP73" s="490"/>
    </row>
    <row r="74" spans="3:42" x14ac:dyDescent="0.25">
      <c r="C74" s="541"/>
      <c r="D74" s="542">
        <v>1000</v>
      </c>
      <c r="E74" s="542">
        <v>1050</v>
      </c>
      <c r="F74" s="542">
        <v>980</v>
      </c>
      <c r="G74" s="543">
        <v>985.50393999999994</v>
      </c>
      <c r="H74" s="543">
        <v>980.26188000000002</v>
      </c>
      <c r="I74" s="543">
        <v>975.01981999999998</v>
      </c>
      <c r="AI74" s="528"/>
      <c r="AJ74" s="547"/>
      <c r="AK74" s="548"/>
      <c r="AL74" s="548"/>
      <c r="AM74" s="548"/>
      <c r="AN74" s="490"/>
      <c r="AO74" s="490"/>
      <c r="AP74" s="490"/>
    </row>
    <row r="75" spans="3:42" x14ac:dyDescent="0.25">
      <c r="C75" s="541"/>
      <c r="D75" s="546"/>
      <c r="E75" s="546"/>
      <c r="F75" s="543">
        <v>105</v>
      </c>
      <c r="G75" s="543">
        <v>940.23919763646722</v>
      </c>
      <c r="H75" s="543">
        <v>934.10957488505608</v>
      </c>
      <c r="I75" s="543">
        <v>926.93670957814459</v>
      </c>
      <c r="AI75" s="528"/>
      <c r="AJ75" s="547"/>
      <c r="AK75" s="548"/>
      <c r="AL75" s="548"/>
      <c r="AM75" s="548"/>
      <c r="AN75" s="490"/>
      <c r="AO75" s="490"/>
      <c r="AP75" s="490"/>
    </row>
    <row r="76" spans="3:42" x14ac:dyDescent="0.25">
      <c r="C76" s="541"/>
      <c r="D76" s="546"/>
      <c r="E76" s="546"/>
      <c r="F76" s="543">
        <v>105</v>
      </c>
      <c r="G76" s="543">
        <v>1030.7686823635327</v>
      </c>
      <c r="H76" s="543">
        <v>1026.4141851149441</v>
      </c>
      <c r="I76" s="543">
        <v>1023.1029304218554</v>
      </c>
      <c r="AI76" s="528"/>
      <c r="AJ76" s="547"/>
      <c r="AK76" s="548"/>
      <c r="AL76" s="548"/>
      <c r="AM76" s="548"/>
      <c r="AN76" s="548"/>
      <c r="AO76" s="548"/>
      <c r="AP76" s="548"/>
    </row>
    <row r="77" spans="3:42" x14ac:dyDescent="0.25">
      <c r="C77" s="541"/>
      <c r="D77" s="546"/>
      <c r="E77" s="546"/>
      <c r="F77" s="546"/>
      <c r="G77" s="542">
        <v>935</v>
      </c>
      <c r="H77" s="542">
        <v>1000</v>
      </c>
      <c r="I77" s="542">
        <v>1050</v>
      </c>
      <c r="AI77" s="528"/>
      <c r="AJ77" s="547"/>
      <c r="AK77" s="546"/>
      <c r="AL77" s="546"/>
      <c r="AM77" s="546"/>
      <c r="AN77" s="550"/>
      <c r="AO77" s="550"/>
      <c r="AP77" s="550"/>
    </row>
    <row r="78" spans="3:42" x14ac:dyDescent="0.25">
      <c r="C78" s="541"/>
      <c r="D78" s="546"/>
      <c r="E78" s="546"/>
      <c r="F78" s="546"/>
      <c r="G78" s="549" t="s">
        <v>1030</v>
      </c>
      <c r="H78" s="549" t="s">
        <v>476</v>
      </c>
      <c r="I78" s="549" t="s">
        <v>1030</v>
      </c>
      <c r="AI78" s="527"/>
      <c r="AJ78" s="527"/>
      <c r="AK78" s="527"/>
      <c r="AL78" s="527"/>
      <c r="AM78" s="527"/>
      <c r="AN78" s="527"/>
      <c r="AO78" s="527"/>
      <c r="AP78" s="527"/>
    </row>
    <row r="79" spans="3:42" x14ac:dyDescent="0.25">
      <c r="C79" s="541"/>
      <c r="D79" s="547"/>
      <c r="E79" s="547"/>
      <c r="F79" s="547"/>
      <c r="G79" s="551"/>
      <c r="H79" s="551"/>
      <c r="I79" s="551"/>
      <c r="AI79" s="528"/>
      <c r="AJ79" s="544"/>
      <c r="AK79" s="545"/>
      <c r="AL79" s="545"/>
      <c r="AM79" s="545"/>
      <c r="AN79" s="545"/>
      <c r="AO79" s="545"/>
      <c r="AP79" s="545"/>
    </row>
    <row r="80" spans="3:42" x14ac:dyDescent="0.25">
      <c r="AI80" s="528"/>
      <c r="AJ80" s="547"/>
      <c r="AK80" s="548"/>
      <c r="AL80" s="548"/>
      <c r="AM80" s="548"/>
      <c r="AN80" s="490"/>
      <c r="AO80" s="490"/>
      <c r="AP80" s="490"/>
    </row>
    <row r="81" spans="3:42" x14ac:dyDescent="0.25">
      <c r="AI81" s="528"/>
      <c r="AJ81" s="547"/>
      <c r="AK81" s="548"/>
      <c r="AL81" s="548"/>
      <c r="AM81" s="548"/>
      <c r="AN81" s="490"/>
      <c r="AO81" s="490"/>
      <c r="AP81" s="490"/>
    </row>
    <row r="82" spans="3:42" x14ac:dyDescent="0.25">
      <c r="C82" s="540"/>
      <c r="D82" s="541"/>
      <c r="E82" s="541"/>
      <c r="F82" s="541"/>
      <c r="G82" s="541"/>
      <c r="H82" s="541"/>
      <c r="I82" s="541"/>
      <c r="AI82" s="528"/>
      <c r="AJ82" s="547"/>
      <c r="AK82" s="548"/>
      <c r="AL82" s="548"/>
      <c r="AM82" s="548"/>
      <c r="AN82" s="490"/>
      <c r="AO82" s="490"/>
      <c r="AP82" s="490"/>
    </row>
    <row r="83" spans="3:42" x14ac:dyDescent="0.25">
      <c r="C83" s="540"/>
      <c r="D83" s="541">
        <v>2015</v>
      </c>
      <c r="E83" s="541">
        <v>2016</v>
      </c>
      <c r="F83" s="541">
        <v>2017</v>
      </c>
      <c r="G83" s="541">
        <v>2018</v>
      </c>
      <c r="H83" s="541">
        <v>2019</v>
      </c>
      <c r="I83" s="541">
        <v>2020</v>
      </c>
      <c r="AI83" s="528"/>
      <c r="AJ83" s="547"/>
      <c r="AK83" s="548"/>
      <c r="AL83" s="548"/>
      <c r="AM83" s="548"/>
      <c r="AN83" s="548"/>
      <c r="AO83" s="548"/>
      <c r="AP83" s="548"/>
    </row>
    <row r="84" spans="3:42" x14ac:dyDescent="0.25">
      <c r="C84" s="541"/>
      <c r="D84" s="542">
        <v>1000</v>
      </c>
      <c r="E84" s="542">
        <v>750</v>
      </c>
      <c r="F84" s="542">
        <v>950</v>
      </c>
      <c r="G84" s="543">
        <v>866.86022500000001</v>
      </c>
      <c r="H84" s="543">
        <v>824.01794999999993</v>
      </c>
      <c r="I84" s="543">
        <v>781.17567499999996</v>
      </c>
      <c r="AI84" s="528"/>
      <c r="AJ84" s="547"/>
      <c r="AK84" s="546"/>
      <c r="AL84" s="546"/>
      <c r="AM84" s="546"/>
      <c r="AN84" s="550"/>
      <c r="AO84" s="550"/>
      <c r="AP84" s="550"/>
    </row>
    <row r="85" spans="3:42" x14ac:dyDescent="0.25">
      <c r="C85" s="541"/>
      <c r="D85" s="546"/>
      <c r="E85" s="546"/>
      <c r="F85" s="543">
        <v>105</v>
      </c>
      <c r="G85" s="543">
        <v>697.11744113675218</v>
      </c>
      <c r="H85" s="543">
        <v>650.94680581896</v>
      </c>
      <c r="I85" s="543">
        <v>600.86401091804237</v>
      </c>
      <c r="AI85" s="527"/>
      <c r="AJ85" s="527"/>
      <c r="AK85" s="527"/>
      <c r="AL85" s="527"/>
      <c r="AM85" s="527"/>
      <c r="AN85" s="527"/>
      <c r="AO85" s="527"/>
      <c r="AP85" s="527"/>
    </row>
    <row r="86" spans="3:42" x14ac:dyDescent="0.25">
      <c r="C86" s="541"/>
      <c r="D86" s="546"/>
      <c r="E86" s="546"/>
      <c r="F86" s="543">
        <v>105</v>
      </c>
      <c r="G86" s="543">
        <v>1036.6030088632479</v>
      </c>
      <c r="H86" s="543">
        <v>997.08909418103985</v>
      </c>
      <c r="I86" s="543">
        <v>961.48733908195754</v>
      </c>
      <c r="AI86" s="528"/>
      <c r="AJ86" s="544"/>
      <c r="AK86" s="545"/>
      <c r="AL86" s="545"/>
      <c r="AM86" s="545"/>
      <c r="AN86" s="545"/>
      <c r="AO86" s="545"/>
      <c r="AP86" s="545"/>
    </row>
    <row r="87" spans="3:42" x14ac:dyDescent="0.25">
      <c r="C87" s="541"/>
      <c r="D87" s="546"/>
      <c r="E87" s="546"/>
      <c r="F87" s="546"/>
      <c r="G87" s="542">
        <v>1000</v>
      </c>
      <c r="H87" s="542">
        <v>1050</v>
      </c>
      <c r="I87" s="542">
        <v>1100</v>
      </c>
      <c r="AI87" s="528"/>
      <c r="AJ87" s="547"/>
      <c r="AK87" s="548"/>
      <c r="AL87" s="548"/>
      <c r="AM87" s="548"/>
      <c r="AN87" s="490"/>
      <c r="AO87" s="490"/>
      <c r="AP87" s="490"/>
    </row>
    <row r="88" spans="3:42" x14ac:dyDescent="0.25">
      <c r="C88" s="541"/>
      <c r="D88" s="546"/>
      <c r="E88" s="546"/>
      <c r="F88" s="546"/>
      <c r="G88" s="549" t="s">
        <v>476</v>
      </c>
      <c r="H88" s="549" t="s">
        <v>1030</v>
      </c>
      <c r="I88" s="549" t="s">
        <v>1030</v>
      </c>
      <c r="AI88" s="528"/>
      <c r="AJ88" s="547"/>
      <c r="AK88" s="548"/>
      <c r="AL88" s="548"/>
      <c r="AM88" s="548"/>
      <c r="AN88" s="490"/>
      <c r="AO88" s="490"/>
      <c r="AP88" s="490"/>
    </row>
    <row r="89" spans="3:42" x14ac:dyDescent="0.25">
      <c r="AI89" s="528"/>
      <c r="AJ89" s="547"/>
      <c r="AK89" s="548"/>
      <c r="AL89" s="548"/>
      <c r="AM89" s="548"/>
      <c r="AN89" s="490"/>
      <c r="AO89" s="490"/>
      <c r="AP89" s="490"/>
    </row>
    <row r="90" spans="3:42" x14ac:dyDescent="0.25">
      <c r="AI90" s="528"/>
      <c r="AJ90" s="547"/>
      <c r="AK90" s="548"/>
      <c r="AL90" s="548"/>
      <c r="AM90" s="548"/>
      <c r="AN90" s="548"/>
      <c r="AO90" s="548"/>
      <c r="AP90" s="548"/>
    </row>
    <row r="91" spans="3:42" x14ac:dyDescent="0.25">
      <c r="AI91" s="528"/>
      <c r="AJ91" s="547"/>
      <c r="AK91" s="546"/>
      <c r="AL91" s="546"/>
      <c r="AM91" s="546"/>
      <c r="AN91" s="550"/>
      <c r="AO91" s="550"/>
      <c r="AP91" s="550"/>
    </row>
    <row r="92" spans="3:42" x14ac:dyDescent="0.25">
      <c r="AI92" s="527"/>
      <c r="AJ92" s="527"/>
      <c r="AK92" s="527"/>
      <c r="AL92" s="527"/>
      <c r="AM92" s="527"/>
      <c r="AN92" s="527"/>
      <c r="AO92" s="527"/>
      <c r="AP92" s="527"/>
    </row>
    <row r="93" spans="3:42" x14ac:dyDescent="0.25">
      <c r="AI93" s="528"/>
      <c r="AJ93" s="544"/>
      <c r="AK93" s="545"/>
      <c r="AL93" s="545"/>
      <c r="AM93" s="545"/>
      <c r="AN93" s="545"/>
      <c r="AO93" s="545"/>
      <c r="AP93" s="545"/>
    </row>
    <row r="94" spans="3:42" x14ac:dyDescent="0.25">
      <c r="AI94" s="528"/>
      <c r="AJ94" s="547"/>
      <c r="AK94" s="548"/>
      <c r="AL94" s="548"/>
      <c r="AM94" s="548"/>
      <c r="AN94" s="490"/>
      <c r="AO94" s="490"/>
      <c r="AP94" s="490"/>
    </row>
    <row r="95" spans="3:42" x14ac:dyDescent="0.25">
      <c r="AI95" s="528"/>
      <c r="AJ95" s="547"/>
      <c r="AK95" s="548"/>
      <c r="AL95" s="548"/>
      <c r="AM95" s="548"/>
      <c r="AN95" s="490"/>
      <c r="AO95" s="490"/>
      <c r="AP95" s="490"/>
    </row>
    <row r="96" spans="3:42" x14ac:dyDescent="0.25">
      <c r="AI96" s="528"/>
      <c r="AJ96" s="547"/>
      <c r="AK96" s="548"/>
      <c r="AL96" s="548"/>
      <c r="AM96" s="548"/>
      <c r="AN96" s="490"/>
      <c r="AO96" s="490"/>
      <c r="AP96" s="490"/>
    </row>
    <row r="97" spans="4:42" x14ac:dyDescent="0.25">
      <c r="AI97" s="528"/>
      <c r="AJ97" s="547"/>
      <c r="AK97" s="548"/>
      <c r="AL97" s="548"/>
      <c r="AM97" s="548"/>
      <c r="AN97" s="548"/>
      <c r="AO97" s="548"/>
      <c r="AP97" s="548"/>
    </row>
    <row r="98" spans="4:42" x14ac:dyDescent="0.25">
      <c r="AI98" s="528"/>
      <c r="AJ98" s="547"/>
      <c r="AK98" s="546"/>
      <c r="AL98" s="546"/>
      <c r="AM98" s="546"/>
      <c r="AN98" s="550"/>
      <c r="AO98" s="550"/>
      <c r="AP98" s="550"/>
    </row>
    <row r="99" spans="4:42" x14ac:dyDescent="0.25">
      <c r="AI99" s="527"/>
      <c r="AJ99" s="527"/>
      <c r="AK99" s="527"/>
      <c r="AL99" s="527"/>
      <c r="AM99" s="527"/>
      <c r="AN99" s="527"/>
      <c r="AO99" s="527"/>
      <c r="AP99" s="527"/>
    </row>
    <row r="100" spans="4:42" x14ac:dyDescent="0.25">
      <c r="AI100" s="528"/>
      <c r="AJ100" s="544"/>
      <c r="AK100" s="545"/>
      <c r="AL100" s="545"/>
      <c r="AM100" s="545"/>
      <c r="AN100" s="545"/>
      <c r="AO100" s="545"/>
      <c r="AP100" s="545"/>
    </row>
    <row r="101" spans="4:42" x14ac:dyDescent="0.25">
      <c r="AI101" s="528"/>
      <c r="AJ101" s="547"/>
      <c r="AK101" s="548"/>
      <c r="AL101" s="548"/>
      <c r="AM101" s="548"/>
      <c r="AN101" s="490"/>
      <c r="AO101" s="490"/>
      <c r="AP101" s="490"/>
    </row>
    <row r="102" spans="4:42" x14ac:dyDescent="0.25">
      <c r="D102" s="525"/>
      <c r="AI102" s="528"/>
      <c r="AJ102" s="547"/>
      <c r="AK102" s="548"/>
      <c r="AL102" s="548"/>
      <c r="AM102" s="548"/>
      <c r="AN102" s="490"/>
      <c r="AO102" s="490"/>
      <c r="AP102" s="490"/>
    </row>
    <row r="103" spans="4:42" x14ac:dyDescent="0.25">
      <c r="D103" s="525"/>
      <c r="AI103" s="528"/>
      <c r="AJ103" s="547"/>
      <c r="AK103" s="548"/>
      <c r="AL103" s="548"/>
      <c r="AM103" s="548"/>
      <c r="AN103" s="490"/>
      <c r="AO103" s="490"/>
      <c r="AP103" s="490"/>
    </row>
    <row r="104" spans="4:42" x14ac:dyDescent="0.25">
      <c r="D104" s="525"/>
      <c r="AI104" s="528"/>
      <c r="AJ104" s="547"/>
      <c r="AK104" s="548"/>
      <c r="AL104" s="548"/>
      <c r="AM104" s="548"/>
      <c r="AN104" s="548"/>
      <c r="AO104" s="548"/>
      <c r="AP104" s="548"/>
    </row>
    <row r="105" spans="4:42" x14ac:dyDescent="0.25">
      <c r="D105" s="525"/>
      <c r="AI105" s="528"/>
      <c r="AJ105" s="547"/>
      <c r="AK105" s="546"/>
      <c r="AL105" s="546"/>
      <c r="AM105" s="546"/>
      <c r="AN105" s="550"/>
      <c r="AO105" s="550"/>
      <c r="AP105" s="550"/>
    </row>
    <row r="106" spans="4:42" x14ac:dyDescent="0.25">
      <c r="D106" s="525"/>
      <c r="AI106" s="527"/>
      <c r="AJ106" s="527"/>
      <c r="AK106" s="527"/>
      <c r="AL106" s="527"/>
      <c r="AM106" s="527"/>
      <c r="AN106" s="527"/>
      <c r="AO106" s="527"/>
      <c r="AP106" s="527"/>
    </row>
    <row r="107" spans="4:42" x14ac:dyDescent="0.25">
      <c r="D107" s="525"/>
      <c r="AI107" s="528"/>
      <c r="AJ107" s="544"/>
      <c r="AK107" s="545"/>
      <c r="AL107" s="545"/>
      <c r="AM107" s="545"/>
      <c r="AN107" s="545"/>
      <c r="AO107" s="545"/>
      <c r="AP107" s="545"/>
    </row>
    <row r="108" spans="4:42" x14ac:dyDescent="0.25">
      <c r="AI108" s="528"/>
      <c r="AJ108" s="547"/>
      <c r="AK108" s="548"/>
      <c r="AL108" s="548"/>
      <c r="AM108" s="548"/>
      <c r="AN108" s="490"/>
      <c r="AO108" s="490"/>
      <c r="AP108" s="490"/>
    </row>
    <row r="109" spans="4:42" x14ac:dyDescent="0.25">
      <c r="AI109" s="528"/>
      <c r="AJ109" s="547"/>
      <c r="AK109" s="548"/>
      <c r="AL109" s="548"/>
      <c r="AM109" s="548"/>
      <c r="AN109" s="490"/>
      <c r="AO109" s="490"/>
      <c r="AP109" s="490"/>
    </row>
    <row r="110" spans="4:42" x14ac:dyDescent="0.25">
      <c r="AI110" s="528"/>
      <c r="AJ110" s="547"/>
      <c r="AK110" s="548"/>
      <c r="AL110" s="548"/>
      <c r="AM110" s="548"/>
      <c r="AN110" s="490"/>
      <c r="AO110" s="490"/>
      <c r="AP110" s="490"/>
    </row>
    <row r="111" spans="4:42" x14ac:dyDescent="0.25">
      <c r="AI111" s="528"/>
      <c r="AJ111" s="547"/>
      <c r="AK111" s="548"/>
      <c r="AL111" s="548"/>
      <c r="AM111" s="548"/>
      <c r="AN111" s="548"/>
      <c r="AO111" s="548"/>
      <c r="AP111" s="548"/>
    </row>
    <row r="112" spans="4:42" x14ac:dyDescent="0.25">
      <c r="AI112" s="528"/>
      <c r="AJ112" s="547"/>
      <c r="AK112" s="546"/>
      <c r="AL112" s="546"/>
      <c r="AM112" s="546"/>
      <c r="AN112" s="550"/>
      <c r="AO112" s="550"/>
      <c r="AP112" s="550"/>
    </row>
    <row r="113" spans="35:42" x14ac:dyDescent="0.25">
      <c r="AI113" s="527"/>
      <c r="AJ113" s="527"/>
      <c r="AK113" s="527"/>
      <c r="AL113" s="527"/>
      <c r="AM113" s="527"/>
      <c r="AN113" s="527"/>
      <c r="AO113" s="527"/>
      <c r="AP113" s="527"/>
    </row>
    <row r="114" spans="35:42" x14ac:dyDescent="0.25">
      <c r="AI114" s="528"/>
      <c r="AJ114" s="544"/>
      <c r="AK114" s="545"/>
      <c r="AL114" s="545"/>
      <c r="AM114" s="545"/>
      <c r="AN114" s="545"/>
      <c r="AO114" s="545"/>
      <c r="AP114" s="545"/>
    </row>
    <row r="115" spans="35:42" x14ac:dyDescent="0.25">
      <c r="AI115" s="528"/>
      <c r="AJ115" s="547"/>
      <c r="AK115" s="548"/>
      <c r="AL115" s="548"/>
      <c r="AM115" s="548"/>
      <c r="AN115" s="490"/>
      <c r="AO115" s="490"/>
      <c r="AP115" s="490"/>
    </row>
    <row r="116" spans="35:42" x14ac:dyDescent="0.25">
      <c r="AI116" s="528"/>
      <c r="AJ116" s="547"/>
      <c r="AK116" s="548"/>
      <c r="AL116" s="548"/>
      <c r="AM116" s="548"/>
      <c r="AN116" s="490"/>
      <c r="AO116" s="490"/>
      <c r="AP116" s="490"/>
    </row>
    <row r="117" spans="35:42" x14ac:dyDescent="0.25">
      <c r="AI117" s="528"/>
      <c r="AJ117" s="547"/>
      <c r="AK117" s="548"/>
      <c r="AL117" s="548"/>
      <c r="AM117" s="548"/>
      <c r="AN117" s="490"/>
      <c r="AO117" s="490"/>
      <c r="AP117" s="490"/>
    </row>
    <row r="118" spans="35:42" x14ac:dyDescent="0.25">
      <c r="AI118" s="528"/>
      <c r="AJ118" s="547"/>
      <c r="AK118" s="548"/>
      <c r="AL118" s="548"/>
      <c r="AM118" s="548"/>
      <c r="AN118" s="548"/>
      <c r="AO118" s="548"/>
      <c r="AP118" s="548"/>
    </row>
    <row r="119" spans="35:42" x14ac:dyDescent="0.25">
      <c r="AI119" s="528"/>
      <c r="AJ119" s="547"/>
      <c r="AK119" s="546"/>
      <c r="AL119" s="546"/>
      <c r="AM119" s="546"/>
      <c r="AN119" s="550"/>
      <c r="AO119" s="550"/>
      <c r="AP119" s="550"/>
    </row>
    <row r="120" spans="35:42" x14ac:dyDescent="0.25">
      <c r="AI120" s="527"/>
      <c r="AJ120" s="527"/>
      <c r="AK120" s="527"/>
      <c r="AL120" s="527"/>
      <c r="AM120" s="527"/>
      <c r="AN120" s="527"/>
      <c r="AO120" s="527"/>
      <c r="AP120" s="527"/>
    </row>
    <row r="121" spans="35:42" x14ac:dyDescent="0.25">
      <c r="AI121" s="528"/>
      <c r="AJ121" s="544"/>
      <c r="AK121" s="545"/>
      <c r="AL121" s="545"/>
      <c r="AM121" s="545"/>
      <c r="AN121" s="545"/>
      <c r="AO121" s="545"/>
      <c r="AP121" s="545"/>
    </row>
    <row r="122" spans="35:42" x14ac:dyDescent="0.25">
      <c r="AI122" s="528"/>
      <c r="AJ122" s="547"/>
      <c r="AK122" s="548"/>
      <c r="AL122" s="548"/>
      <c r="AM122" s="548"/>
      <c r="AN122" s="490"/>
      <c r="AO122" s="490"/>
      <c r="AP122" s="490"/>
    </row>
    <row r="123" spans="35:42" x14ac:dyDescent="0.25">
      <c r="AI123" s="528"/>
      <c r="AJ123" s="547"/>
      <c r="AK123" s="548"/>
      <c r="AL123" s="548"/>
      <c r="AM123" s="548"/>
      <c r="AN123" s="490"/>
      <c r="AO123" s="490"/>
      <c r="AP123" s="490"/>
    </row>
    <row r="124" spans="35:42" x14ac:dyDescent="0.25">
      <c r="AI124" s="528"/>
      <c r="AJ124" s="547"/>
      <c r="AK124" s="548"/>
      <c r="AL124" s="548"/>
      <c r="AM124" s="548"/>
      <c r="AN124" s="490"/>
      <c r="AO124" s="490"/>
      <c r="AP124" s="490"/>
    </row>
    <row r="125" spans="35:42" x14ac:dyDescent="0.25">
      <c r="AI125" s="528"/>
      <c r="AJ125" s="547"/>
      <c r="AK125" s="548"/>
      <c r="AL125" s="548"/>
      <c r="AM125" s="548"/>
      <c r="AN125" s="548"/>
      <c r="AO125" s="548"/>
      <c r="AP125" s="548"/>
    </row>
    <row r="126" spans="35:42" x14ac:dyDescent="0.25">
      <c r="AI126" s="528"/>
      <c r="AJ126" s="547"/>
      <c r="AK126" s="546"/>
      <c r="AL126" s="546"/>
      <c r="AM126" s="546"/>
      <c r="AN126" s="550"/>
      <c r="AO126" s="550"/>
      <c r="AP126" s="550"/>
    </row>
    <row r="127" spans="35:42" x14ac:dyDescent="0.25">
      <c r="AI127" s="527"/>
      <c r="AJ127" s="527"/>
      <c r="AK127" s="527"/>
      <c r="AL127" s="527"/>
      <c r="AM127" s="527"/>
      <c r="AN127" s="527"/>
      <c r="AO127" s="527"/>
      <c r="AP127" s="527"/>
    </row>
    <row r="128" spans="35:42" x14ac:dyDescent="0.25">
      <c r="AI128" s="528"/>
      <c r="AJ128" s="544"/>
      <c r="AK128" s="545"/>
      <c r="AL128" s="545"/>
      <c r="AM128" s="545"/>
      <c r="AN128" s="545"/>
      <c r="AO128" s="545"/>
      <c r="AP128" s="545"/>
    </row>
    <row r="129" spans="35:42" x14ac:dyDescent="0.25">
      <c r="AI129" s="528"/>
      <c r="AJ129" s="547"/>
      <c r="AK129" s="548"/>
      <c r="AL129" s="548"/>
      <c r="AM129" s="548"/>
      <c r="AN129" s="490"/>
      <c r="AO129" s="490"/>
      <c r="AP129" s="490"/>
    </row>
    <row r="130" spans="35:42" x14ac:dyDescent="0.25">
      <c r="AI130" s="528"/>
      <c r="AJ130" s="547"/>
      <c r="AK130" s="548"/>
      <c r="AL130" s="548"/>
      <c r="AM130" s="548"/>
      <c r="AN130" s="490"/>
      <c r="AO130" s="490"/>
      <c r="AP130" s="490"/>
    </row>
    <row r="131" spans="35:42" x14ac:dyDescent="0.25">
      <c r="AI131" s="528"/>
      <c r="AJ131" s="547"/>
      <c r="AK131" s="548"/>
      <c r="AL131" s="548"/>
      <c r="AM131" s="548"/>
      <c r="AN131" s="490"/>
      <c r="AO131" s="490"/>
      <c r="AP131" s="490"/>
    </row>
    <row r="132" spans="35:42" x14ac:dyDescent="0.25">
      <c r="AI132" s="528"/>
      <c r="AJ132" s="547"/>
      <c r="AK132" s="548"/>
      <c r="AL132" s="548"/>
      <c r="AM132" s="548"/>
      <c r="AN132" s="548"/>
      <c r="AO132" s="548"/>
      <c r="AP132" s="548"/>
    </row>
    <row r="133" spans="35:42" x14ac:dyDescent="0.25">
      <c r="AI133" s="528"/>
      <c r="AJ133" s="547"/>
      <c r="AK133" s="546"/>
      <c r="AL133" s="546"/>
      <c r="AM133" s="546"/>
      <c r="AN133" s="550"/>
      <c r="AO133" s="550"/>
      <c r="AP133" s="550"/>
    </row>
    <row r="134" spans="35:42" x14ac:dyDescent="0.25">
      <c r="AI134" s="527"/>
      <c r="AJ134" s="527"/>
      <c r="AK134" s="527"/>
      <c r="AL134" s="527"/>
      <c r="AM134" s="527"/>
      <c r="AN134" s="527"/>
      <c r="AO134" s="527"/>
      <c r="AP134" s="527"/>
    </row>
    <row r="135" spans="35:42" x14ac:dyDescent="0.25">
      <c r="AI135" s="528"/>
      <c r="AJ135" s="544"/>
      <c r="AK135" s="545"/>
      <c r="AL135" s="545"/>
      <c r="AM135" s="545"/>
      <c r="AN135" s="545"/>
      <c r="AO135" s="545"/>
      <c r="AP135" s="545"/>
    </row>
    <row r="136" spans="35:42" x14ac:dyDescent="0.25">
      <c r="AI136" s="528"/>
      <c r="AJ136" s="547"/>
      <c r="AK136" s="548"/>
      <c r="AL136" s="548"/>
      <c r="AM136" s="548"/>
      <c r="AN136" s="490"/>
      <c r="AO136" s="490"/>
      <c r="AP136" s="490"/>
    </row>
    <row r="137" spans="35:42" x14ac:dyDescent="0.25">
      <c r="AI137" s="528"/>
      <c r="AJ137" s="547"/>
      <c r="AK137" s="548"/>
      <c r="AL137" s="548"/>
      <c r="AM137" s="548"/>
      <c r="AN137" s="490"/>
      <c r="AO137" s="490"/>
      <c r="AP137" s="490"/>
    </row>
    <row r="138" spans="35:42" x14ac:dyDescent="0.25">
      <c r="AI138" s="528"/>
      <c r="AJ138" s="547"/>
      <c r="AK138" s="548"/>
      <c r="AL138" s="548"/>
      <c r="AM138" s="548"/>
      <c r="AN138" s="490"/>
      <c r="AO138" s="490"/>
      <c r="AP138" s="490"/>
    </row>
    <row r="139" spans="35:42" x14ac:dyDescent="0.25">
      <c r="AI139" s="528"/>
      <c r="AJ139" s="547"/>
      <c r="AK139" s="548"/>
      <c r="AL139" s="548"/>
      <c r="AM139" s="548"/>
      <c r="AN139" s="548"/>
      <c r="AO139" s="548"/>
      <c r="AP139" s="548"/>
    </row>
    <row r="140" spans="35:42" x14ac:dyDescent="0.25">
      <c r="AI140" s="528"/>
      <c r="AJ140" s="547"/>
      <c r="AK140" s="546"/>
      <c r="AL140" s="546"/>
      <c r="AM140" s="546"/>
      <c r="AN140" s="550"/>
      <c r="AO140" s="550"/>
      <c r="AP140" s="550"/>
    </row>
    <row r="141" spans="35:42" x14ac:dyDescent="0.25">
      <c r="AI141" s="527"/>
      <c r="AJ141" s="527"/>
      <c r="AK141" s="527"/>
      <c r="AL141" s="527"/>
      <c r="AM141" s="527"/>
      <c r="AN141" s="527"/>
      <c r="AO141" s="527"/>
      <c r="AP141" s="527"/>
    </row>
    <row r="142" spans="35:42" x14ac:dyDescent="0.25">
      <c r="AI142" s="528"/>
      <c r="AJ142" s="544"/>
      <c r="AK142" s="545"/>
      <c r="AL142" s="545"/>
      <c r="AM142" s="545"/>
      <c r="AN142" s="545"/>
      <c r="AO142" s="545"/>
      <c r="AP142" s="545"/>
    </row>
    <row r="143" spans="35:42" x14ac:dyDescent="0.25">
      <c r="AI143" s="528"/>
      <c r="AJ143" s="547"/>
      <c r="AK143" s="548"/>
      <c r="AL143" s="548"/>
      <c r="AM143" s="548"/>
      <c r="AN143" s="490"/>
      <c r="AO143" s="490"/>
      <c r="AP143" s="490"/>
    </row>
    <row r="144" spans="35:42" x14ac:dyDescent="0.25">
      <c r="AI144" s="528"/>
      <c r="AJ144" s="547"/>
      <c r="AK144" s="548"/>
      <c r="AL144" s="548"/>
      <c r="AM144" s="548"/>
      <c r="AN144" s="490"/>
      <c r="AO144" s="490"/>
      <c r="AP144" s="490"/>
    </row>
    <row r="145" spans="35:42" x14ac:dyDescent="0.25">
      <c r="AI145" s="528"/>
      <c r="AJ145" s="547"/>
      <c r="AK145" s="548"/>
      <c r="AL145" s="548"/>
      <c r="AM145" s="548"/>
      <c r="AN145" s="490"/>
      <c r="AO145" s="490"/>
      <c r="AP145" s="490"/>
    </row>
    <row r="146" spans="35:42" x14ac:dyDescent="0.25">
      <c r="AI146" s="528"/>
      <c r="AJ146" s="547"/>
      <c r="AK146" s="548"/>
      <c r="AL146" s="548"/>
      <c r="AM146" s="548"/>
      <c r="AN146" s="548"/>
      <c r="AO146" s="548"/>
      <c r="AP146" s="548"/>
    </row>
    <row r="147" spans="35:42" x14ac:dyDescent="0.25">
      <c r="AI147" s="528"/>
      <c r="AJ147" s="547"/>
      <c r="AK147" s="546"/>
      <c r="AL147" s="546"/>
      <c r="AM147" s="546"/>
      <c r="AN147" s="550"/>
      <c r="AO147" s="550"/>
      <c r="AP147" s="550"/>
    </row>
    <row r="148" spans="35:42" x14ac:dyDescent="0.25">
      <c r="AI148" s="527"/>
      <c r="AJ148" s="527"/>
      <c r="AK148" s="527"/>
      <c r="AL148" s="527"/>
      <c r="AM148" s="527"/>
      <c r="AN148" s="527"/>
      <c r="AO148" s="527"/>
      <c r="AP148" s="527"/>
    </row>
    <row r="149" spans="35:42" x14ac:dyDescent="0.25">
      <c r="AI149" s="527"/>
      <c r="AJ149" s="527"/>
      <c r="AK149" s="527"/>
      <c r="AL149" s="527"/>
      <c r="AM149" s="527"/>
      <c r="AN149" s="527"/>
      <c r="AO149" s="527"/>
      <c r="AP149" s="527"/>
    </row>
    <row r="150" spans="35:42" x14ac:dyDescent="0.25">
      <c r="AI150" s="527"/>
      <c r="AJ150" s="527"/>
      <c r="AK150" s="527"/>
      <c r="AL150" s="527"/>
      <c r="AM150" s="527"/>
      <c r="AN150" s="527"/>
      <c r="AO150" s="527"/>
      <c r="AP150" s="527"/>
    </row>
    <row r="151" spans="35:42" x14ac:dyDescent="0.25">
      <c r="AI151" s="527"/>
      <c r="AJ151" s="527"/>
      <c r="AK151" s="527"/>
      <c r="AL151" s="527"/>
      <c r="AM151" s="527"/>
      <c r="AN151" s="527"/>
      <c r="AO151" s="527"/>
      <c r="AP151" s="527"/>
    </row>
  </sheetData>
  <sheetProtection selectLockedCells="1"/>
  <mergeCells count="159">
    <mergeCell ref="B8:C8"/>
    <mergeCell ref="B11:C11"/>
    <mergeCell ref="B12:C12"/>
    <mergeCell ref="B13:C13"/>
    <mergeCell ref="B14:C14"/>
    <mergeCell ref="G5:O5"/>
    <mergeCell ref="P5:X5"/>
    <mergeCell ref="Y5:AG5"/>
    <mergeCell ref="B7:C7"/>
    <mergeCell ref="B26:C26"/>
    <mergeCell ref="G26:H26"/>
    <mergeCell ref="P26:Q26"/>
    <mergeCell ref="Y26:Z26"/>
    <mergeCell ref="G27:H27"/>
    <mergeCell ref="P27:Q27"/>
    <mergeCell ref="Y27:Z27"/>
    <mergeCell ref="B22:C22"/>
    <mergeCell ref="B24:C24"/>
    <mergeCell ref="G24:H24"/>
    <mergeCell ref="P24:Q24"/>
    <mergeCell ref="Y24:Z24"/>
    <mergeCell ref="B25:C25"/>
    <mergeCell ref="G25:H25"/>
    <mergeCell ref="P25:Q25"/>
    <mergeCell ref="Y25:Z25"/>
    <mergeCell ref="B31:C31"/>
    <mergeCell ref="G31:H31"/>
    <mergeCell ref="P31:Q31"/>
    <mergeCell ref="Y31:Z31"/>
    <mergeCell ref="B33:C33"/>
    <mergeCell ref="G33:H33"/>
    <mergeCell ref="P33:Q33"/>
    <mergeCell ref="Y33:Z33"/>
    <mergeCell ref="B29:C29"/>
    <mergeCell ref="G29:H29"/>
    <mergeCell ref="P29:Q29"/>
    <mergeCell ref="Y29:Z29"/>
    <mergeCell ref="B30:C30"/>
    <mergeCell ref="G30:H30"/>
    <mergeCell ref="P30:Q30"/>
    <mergeCell ref="Y30:Z30"/>
    <mergeCell ref="B37:C37"/>
    <mergeCell ref="G37:H37"/>
    <mergeCell ref="P37:Q37"/>
    <mergeCell ref="Y37:Z37"/>
    <mergeCell ref="B38:C38"/>
    <mergeCell ref="G38:H38"/>
    <mergeCell ref="P38:Q38"/>
    <mergeCell ref="Y38:Z38"/>
    <mergeCell ref="B34:C34"/>
    <mergeCell ref="G34:H34"/>
    <mergeCell ref="P34:Q34"/>
    <mergeCell ref="Y34:Z34"/>
    <mergeCell ref="B35:C35"/>
    <mergeCell ref="G35:H35"/>
    <mergeCell ref="P35:Q35"/>
    <mergeCell ref="Y35:Z35"/>
    <mergeCell ref="B41:C41"/>
    <mergeCell ref="G41:H41"/>
    <mergeCell ref="P41:Q41"/>
    <mergeCell ref="Y41:Z41"/>
    <mergeCell ref="B42:C42"/>
    <mergeCell ref="G42:H42"/>
    <mergeCell ref="P42:Q42"/>
    <mergeCell ref="Y42:Z42"/>
    <mergeCell ref="B39:C39"/>
    <mergeCell ref="G39:H39"/>
    <mergeCell ref="P39:Q39"/>
    <mergeCell ref="Y39:Z39"/>
    <mergeCell ref="B40:C40"/>
    <mergeCell ref="G40:H40"/>
    <mergeCell ref="P40:Q40"/>
    <mergeCell ref="Y40:Z40"/>
    <mergeCell ref="B45:C45"/>
    <mergeCell ref="G45:H45"/>
    <mergeCell ref="P45:Q45"/>
    <mergeCell ref="Y45:Z45"/>
    <mergeCell ref="B46:C46"/>
    <mergeCell ref="G46:H46"/>
    <mergeCell ref="P46:Q46"/>
    <mergeCell ref="Y46:Z46"/>
    <mergeCell ref="B43:C43"/>
    <mergeCell ref="G43:H43"/>
    <mergeCell ref="P43:Q43"/>
    <mergeCell ref="Y43:Z43"/>
    <mergeCell ref="B44:C44"/>
    <mergeCell ref="G44:H44"/>
    <mergeCell ref="P44:Q44"/>
    <mergeCell ref="Y44:Z44"/>
    <mergeCell ref="B49:C49"/>
    <mergeCell ref="G49:H49"/>
    <mergeCell ref="P49:Q49"/>
    <mergeCell ref="Y49:Z49"/>
    <mergeCell ref="B51:C51"/>
    <mergeCell ref="G51:H51"/>
    <mergeCell ref="P51:Q51"/>
    <mergeCell ref="Y51:Z51"/>
    <mergeCell ref="B47:C47"/>
    <mergeCell ref="G47:H47"/>
    <mergeCell ref="P47:Q47"/>
    <mergeCell ref="Y47:Z47"/>
    <mergeCell ref="B48:C48"/>
    <mergeCell ref="G48:H48"/>
    <mergeCell ref="P48:Q48"/>
    <mergeCell ref="Y48:Z48"/>
    <mergeCell ref="B54:C54"/>
    <mergeCell ref="G54:H54"/>
    <mergeCell ref="P54:Q54"/>
    <mergeCell ref="Y54:Z54"/>
    <mergeCell ref="B55:C55"/>
    <mergeCell ref="G55:H55"/>
    <mergeCell ref="P55:Q55"/>
    <mergeCell ref="Y55:Z55"/>
    <mergeCell ref="B52:C52"/>
    <mergeCell ref="G52:H52"/>
    <mergeCell ref="P52:Q52"/>
    <mergeCell ref="Y52:Z52"/>
    <mergeCell ref="B53:C53"/>
    <mergeCell ref="G53:H53"/>
    <mergeCell ref="P53:Q53"/>
    <mergeCell ref="Y53:Z53"/>
    <mergeCell ref="B58:C58"/>
    <mergeCell ref="G58:H58"/>
    <mergeCell ref="P58:Q58"/>
    <mergeCell ref="Y58:Z58"/>
    <mergeCell ref="B59:C59"/>
    <mergeCell ref="G59:H59"/>
    <mergeCell ref="P59:Q59"/>
    <mergeCell ref="Y59:Z59"/>
    <mergeCell ref="B56:C56"/>
    <mergeCell ref="G56:H56"/>
    <mergeCell ref="P56:Q56"/>
    <mergeCell ref="Y56:Z56"/>
    <mergeCell ref="B57:C57"/>
    <mergeCell ref="G57:H57"/>
    <mergeCell ref="P57:Q57"/>
    <mergeCell ref="Y57:Z57"/>
    <mergeCell ref="G62:H62"/>
    <mergeCell ref="P62:Q62"/>
    <mergeCell ref="Y62:Z62"/>
    <mergeCell ref="G63:H63"/>
    <mergeCell ref="P63:Q63"/>
    <mergeCell ref="Y63:Z63"/>
    <mergeCell ref="G60:H60"/>
    <mergeCell ref="P60:Q60"/>
    <mergeCell ref="Y60:Z60"/>
    <mergeCell ref="G61:H61"/>
    <mergeCell ref="P61:Q61"/>
    <mergeCell ref="Y61:Z61"/>
    <mergeCell ref="AT5:AU5"/>
    <mergeCell ref="AV5:AW5"/>
    <mergeCell ref="AX5:AY5"/>
    <mergeCell ref="A3:BB3"/>
    <mergeCell ref="A1:BB1"/>
    <mergeCell ref="AZ6:BB6"/>
    <mergeCell ref="AT6:AY6"/>
    <mergeCell ref="AK6:AM6"/>
    <mergeCell ref="AN6:AP6"/>
    <mergeCell ref="AQ6:AS6"/>
  </mergeCells>
  <printOptions gridLines="1"/>
  <pageMargins left="0.78740157480314965" right="0.70866141732283472" top="0.98425196850393704" bottom="0.78740157480314965" header="0.43307086614173229" footer="0.31496062992125984"/>
  <pageSetup paperSize="9" fitToHeight="0" orientation="landscape" r:id="rId1"/>
  <headerFooter>
    <oddHeader>&amp;LPROGRAMI BUXHETOR AFATMESËM&amp;C&amp;8 28 Shkurt 2018&amp;R&amp;A</oddHeader>
    <oddFooter>&amp;L&amp;8Copyright for Albania: dldp &amp; Ministry of Finance Copyright outside Albania: Lucerne University of Applied Sciences and Arts / Lucerne School of BusinessPrepared by: Stefan Pfaeffli &amp; Alex Loetscher&amp;R1</oddFooter>
  </headerFooter>
  <rowBreaks count="2" manualBreakCount="2">
    <brk id="32" min="1" max="28" man="1"/>
    <brk id="141" min="1" max="16" man="1"/>
  </rowBreaks>
  <colBreaks count="1" manualBreakCount="1">
    <brk id="15" max="10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rgb="FFFF0000"/>
    <pageSetUpPr fitToPage="1"/>
  </sheetPr>
  <dimension ref="A1:P297"/>
  <sheetViews>
    <sheetView showGridLines="0" topLeftCell="A182" workbookViewId="0">
      <selection activeCell="O195" sqref="O195"/>
    </sheetView>
  </sheetViews>
  <sheetFormatPr defaultColWidth="9.140625" defaultRowHeight="17.25" customHeight="1" x14ac:dyDescent="0.2"/>
  <cols>
    <col min="1" max="1" width="25.85546875" style="95" customWidth="1"/>
    <col min="2" max="2" width="11.140625" style="95" customWidth="1"/>
    <col min="3" max="3" width="10.140625" style="95" customWidth="1"/>
    <col min="4" max="4" width="9.85546875" style="95" customWidth="1"/>
    <col min="5" max="5" width="10.42578125" style="95" customWidth="1"/>
    <col min="6" max="6" width="10" style="95" customWidth="1"/>
    <col min="7" max="7" width="10.28515625" style="95" customWidth="1"/>
    <col min="8" max="8" width="2.7109375" style="95" customWidth="1"/>
    <col min="9" max="9" width="35.28515625" style="95" customWidth="1"/>
    <col min="10" max="10" width="11.85546875" style="95" customWidth="1"/>
    <col min="11" max="11" width="12.140625" style="95" customWidth="1"/>
    <col min="12" max="12" width="11.28515625" style="95" customWidth="1"/>
    <col min="13" max="13" width="10.140625" style="95" customWidth="1"/>
    <col min="14" max="14" width="10.5703125" style="95" customWidth="1"/>
    <col min="15" max="15" width="10" style="95" customWidth="1"/>
    <col min="16" max="16384" width="9.140625" style="95"/>
  </cols>
  <sheetData>
    <row r="1" spans="1:15" ht="13.5" customHeight="1" x14ac:dyDescent="0.2">
      <c r="A1" s="206" t="str">
        <f>'(B2) Struktura Organizative'!A5</f>
        <v>Numër</v>
      </c>
      <c r="B1" s="1199" t="str">
        <f>'(B2) Struktura Organizative'!B5</f>
        <v>Emri i Nënfunksionit</v>
      </c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1"/>
    </row>
    <row r="2" spans="1:15" s="118" customFormat="1" ht="18.75" customHeight="1" x14ac:dyDescent="0.25">
      <c r="A2" s="272" t="str">
        <f>'(G1) Fjalori'!A64</f>
        <v>Nënfunksioni 1</v>
      </c>
      <c r="B2" s="1196" t="str">
        <f>+VLOOKUP($A2,'(B2) Struktura Organizative'!$A7:$E33,2,FALSE)</f>
        <v>011 Organet ekzekutive dhe legjislative, për çështjet financiare dhe fiskale, çështjet e brendshme</v>
      </c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M2" s="1197"/>
      <c r="N2" s="1197"/>
      <c r="O2" s="1198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 t="str">
        <f>+VLOOKUP($A2,'(B2) Struktura Organizative'!$A7:$E33,4,FALSE)</f>
        <v>Irsa Karapanca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Funksionale'!A8</f>
        <v>Programi 1a</v>
      </c>
      <c r="B6" s="1203"/>
      <c r="C6" s="1204" t="str">
        <f>VLOOKUP($A6,'(B3) Struktura Funksionale'!$A$7:$E$146,3,FALSE)</f>
        <v>Planifikimi Menaxhimi dhe Administrimi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Funksionale'!A9</f>
        <v>Programi 1b</v>
      </c>
      <c r="B7" s="1203"/>
      <c r="C7" s="1204" t="str">
        <f>VLOOKUP($A7,'(B3) Struktura Funksionale'!$A$7:$E$146,3,FALSE)</f>
        <v>Çështje financiare dhe fiskale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4.25" customHeight="1" x14ac:dyDescent="0.2">
      <c r="A8" s="1202" t="str">
        <f>'(B3) Struktura Funksionale'!A10</f>
        <v>Programi 1c</v>
      </c>
      <c r="B8" s="1203"/>
      <c r="C8" s="1204" t="str">
        <f>VLOOKUP($A8,'(B3) Struktura Funksionale'!$A$7:$E$146,3,FALSE)</f>
        <v>Sherbime të pergjithshme publike</v>
      </c>
      <c r="D8" s="1205"/>
      <c r="E8" s="1205"/>
      <c r="F8" s="1205"/>
      <c r="G8" s="1205"/>
      <c r="H8" s="1206"/>
      <c r="I8" s="1204" t="str">
        <f>VLOOKUP($A8,'(B3) Struktura Funksionale'!$A$7:$E$146,4,FALSE)</f>
        <v>E detyrueshme</v>
      </c>
      <c r="J8" s="1205"/>
      <c r="K8" s="1206"/>
      <c r="L8" s="1204" t="str">
        <f>VLOOKUP($A8,'(B3) Struktura Funksionale'!$A$7:$E$146,5,FALSE)</f>
        <v>I veti</v>
      </c>
      <c r="M8" s="1205"/>
      <c r="N8" s="1205"/>
      <c r="O8" s="1206"/>
    </row>
    <row r="9" spans="1:15" ht="13.5" customHeight="1" x14ac:dyDescent="0.2">
      <c r="A9" s="1202" t="str">
        <f>'(B3) Struktura Funksionale'!A11</f>
        <v>Programi 1d</v>
      </c>
      <c r="B9" s="1203"/>
      <c r="C9" s="1204" t="str">
        <f>VLOOKUP($A9,'(B3) Struktura Funksionale'!$A$7:$E$146,3,FALSE)</f>
        <v>Gjendja civile</v>
      </c>
      <c r="D9" s="1205"/>
      <c r="E9" s="1205"/>
      <c r="F9" s="1205"/>
      <c r="G9" s="1205"/>
      <c r="H9" s="1206"/>
      <c r="I9" s="1204" t="str">
        <f>VLOOKUP($A9,'(B3) Struktura Funksionale'!$A$7:$E$146,4,FALSE)</f>
        <v>E detyrueshme</v>
      </c>
      <c r="J9" s="1205"/>
      <c r="K9" s="1206"/>
      <c r="L9" s="1204" t="str">
        <f>VLOOKUP($A9,'(B3) Struktura Funksionale'!$A$7:$E$146,5,FALSE)</f>
        <v>I deleguar</v>
      </c>
      <c r="M9" s="1205"/>
      <c r="N9" s="1205"/>
      <c r="O9" s="1206"/>
    </row>
    <row r="10" spans="1:15" ht="13.5" customHeight="1" x14ac:dyDescent="0.2">
      <c r="A10" s="1202" t="str">
        <f>'(B3) Struktura Funksionale'!A12</f>
        <v>Programi 1e</v>
      </c>
      <c r="B10" s="1203"/>
      <c r="C10" s="1204">
        <f>VLOOKUP($A10,'(B3) Struktura Funksionale'!$A$7:$E$146,3,FALSE)</f>
        <v>0</v>
      </c>
      <c r="D10" s="1205"/>
      <c r="E10" s="1205"/>
      <c r="F10" s="1205"/>
      <c r="G10" s="1205"/>
      <c r="H10" s="1206"/>
      <c r="I10" s="1204">
        <f>VLOOKUP($A10,'(B3) Struktura Funksionale'!$A$7:$E$146,4,FALSE)</f>
        <v>0</v>
      </c>
      <c r="J10" s="1205"/>
      <c r="K10" s="1206"/>
      <c r="L10" s="1204">
        <f>VLOOKUP($A10,'(B3) Struktura Funksionale'!$A$7:$E$146,5,FALSE)</f>
        <v>0</v>
      </c>
      <c r="M10" s="1205"/>
      <c r="N10" s="1205"/>
      <c r="O10" s="1206"/>
    </row>
    <row r="11" spans="1:15" ht="13.5" customHeight="1" x14ac:dyDescent="0.2">
      <c r="A11" s="1202" t="str">
        <f>'(B3) Struktura Funksionale'!A13</f>
        <v>Programi 1f</v>
      </c>
      <c r="B11" s="1203"/>
      <c r="C11" s="1204">
        <f>VLOOKUP($A11,'(B3) Struktura Funksionale'!$A$7:$E$146,3,FALSE)</f>
        <v>0</v>
      </c>
      <c r="D11" s="1205"/>
      <c r="E11" s="1205"/>
      <c r="F11" s="1205"/>
      <c r="G11" s="1205"/>
      <c r="H11" s="1206"/>
      <c r="I11" s="1204">
        <f>VLOOKUP($A11,'(B3) Struktura Funksionale'!$A$7:$E$146,4,FALSE)</f>
        <v>0</v>
      </c>
      <c r="J11" s="1205"/>
      <c r="K11" s="1206"/>
      <c r="L11" s="1204">
        <f>VLOOKUP($A11,'(B3) Struktura Funksionale'!$A$7:$E$146,5,FALSE)</f>
        <v>0</v>
      </c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</v>
      </c>
      <c r="B14" s="1225" t="str">
        <f>B$2</f>
        <v>011 Organet ekzekutive dhe legjislative, për çështjet financiare dhe fiskale, çështjet e brendshme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21" t="str">
        <f>A15</f>
        <v>SHPENZIME TË PRITSHME</v>
      </c>
      <c r="B18" s="774">
        <f t="shared" ref="B18:G18" si="1">B72+B111+B150+B189+B228+B267</f>
        <v>196792965</v>
      </c>
      <c r="C18" s="774">
        <f t="shared" si="1"/>
        <v>310542368</v>
      </c>
      <c r="D18" s="774">
        <f t="shared" si="1"/>
        <v>431325564</v>
      </c>
      <c r="E18" s="713">
        <f t="shared" si="1"/>
        <v>378732688</v>
      </c>
      <c r="F18" s="713">
        <f t="shared" si="1"/>
        <v>320188860</v>
      </c>
      <c r="G18" s="713">
        <f t="shared" si="1"/>
        <v>319549283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709"/>
      <c r="B19" s="710"/>
      <c r="C19" s="711"/>
      <c r="D19" s="711"/>
      <c r="E19" s="276"/>
      <c r="F19" s="276"/>
      <c r="G19" s="712"/>
      <c r="H19" s="10"/>
      <c r="I19" s="121" t="str">
        <f>'(G1) Fjalori'!A388</f>
        <v>VLERËSIM I ARDHURAVE NGA TARIFAT</v>
      </c>
      <c r="J19" s="775">
        <f t="shared" ref="J19:O19" si="2">J73+J112+J151+J190+J229+J268</f>
        <v>122163500</v>
      </c>
      <c r="K19" s="775">
        <f t="shared" si="2"/>
        <v>7177842</v>
      </c>
      <c r="L19" s="775">
        <f t="shared" si="2"/>
        <v>283517721</v>
      </c>
      <c r="M19" s="713">
        <f t="shared" si="2"/>
        <v>0</v>
      </c>
      <c r="N19" s="713">
        <f t="shared" si="2"/>
        <v>0</v>
      </c>
      <c r="O19" s="713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  <c r="I20" s="776"/>
      <c r="J20" s="776"/>
      <c r="K20" s="776"/>
      <c r="L20" s="776"/>
      <c r="M20" s="776"/>
      <c r="N20" s="776"/>
      <c r="O20" s="776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  <c r="I21" s="776"/>
      <c r="J21" s="776"/>
      <c r="K21" s="776"/>
      <c r="L21" s="776"/>
      <c r="M21" s="776"/>
      <c r="N21" s="776"/>
      <c r="O21" s="776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777">
        <f t="shared" ref="E22:G24" si="3">E76+E115+E154+E193+E232+E271</f>
        <v>0</v>
      </c>
      <c r="F22" s="777">
        <f t="shared" si="3"/>
        <v>0</v>
      </c>
      <c r="G22" s="77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777">
        <f t="shared" si="3"/>
        <v>0</v>
      </c>
      <c r="F23" s="777">
        <f t="shared" si="3"/>
        <v>0</v>
      </c>
      <c r="G23" s="777">
        <f t="shared" si="3"/>
        <v>0</v>
      </c>
      <c r="H23" s="30"/>
      <c r="I23" s="771" t="str">
        <f>'(G1) Fjalori'!A390</f>
        <v>Transferta e kushtëzuar</v>
      </c>
      <c r="J23" s="1244"/>
      <c r="K23" s="1241"/>
      <c r="L23" s="1245"/>
      <c r="M23" s="777">
        <f t="shared" ref="M23:O24" si="4">M76+M115+M154+M193+M232+M271</f>
        <v>0</v>
      </c>
      <c r="N23" s="777">
        <f t="shared" si="4"/>
        <v>0</v>
      </c>
      <c r="O23" s="77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777">
        <f t="shared" si="3"/>
        <v>0</v>
      </c>
      <c r="F24" s="777">
        <f t="shared" si="3"/>
        <v>0</v>
      </c>
      <c r="G24" s="777">
        <f t="shared" si="3"/>
        <v>0</v>
      </c>
      <c r="H24" s="52"/>
      <c r="I24" s="771" t="str">
        <f>'(G1) Fjalori'!A391</f>
        <v>Trasferta Specifike</v>
      </c>
      <c r="J24" s="1246"/>
      <c r="K24" s="1247"/>
      <c r="L24" s="1248"/>
      <c r="M24" s="777">
        <f t="shared" si="4"/>
        <v>8004000</v>
      </c>
      <c r="N24" s="777">
        <f t="shared" si="4"/>
        <v>8004000</v>
      </c>
      <c r="O24" s="777">
        <f t="shared" si="4"/>
        <v>8004000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777">
        <f t="shared" ref="E25:G33" si="5">E79+E118+E157+E196+E235+E274</f>
        <v>0</v>
      </c>
      <c r="F25" s="777">
        <f t="shared" si="5"/>
        <v>0</v>
      </c>
      <c r="G25" s="777">
        <f t="shared" si="5"/>
        <v>0</v>
      </c>
      <c r="H25" s="8"/>
      <c r="I25" s="771" t="str">
        <f>'(G1) Fjalori'!A392</f>
        <v>Trashëgimi me destinacion</v>
      </c>
      <c r="J25" s="1246"/>
      <c r="K25" s="1247"/>
      <c r="L25" s="1248"/>
      <c r="M25" s="777">
        <f t="shared" ref="M25:O26" si="6">M78+M117+M156+M195+M234+M273</f>
        <v>0</v>
      </c>
      <c r="N25" s="778">
        <f t="shared" si="6"/>
        <v>0</v>
      </c>
      <c r="O25" s="779">
        <f t="shared" si="6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777">
        <f t="shared" si="5"/>
        <v>0</v>
      </c>
      <c r="F26" s="777">
        <f t="shared" si="5"/>
        <v>0</v>
      </c>
      <c r="G26" s="777">
        <f t="shared" si="5"/>
        <v>0</v>
      </c>
      <c r="H26" s="52"/>
      <c r="I26" s="771" t="str">
        <f>'(G1) Fjalori'!A393</f>
        <v>Burime të tjera (përfshirë gjobat)</v>
      </c>
      <c r="J26" s="1249"/>
      <c r="K26" s="1250"/>
      <c r="L26" s="1251"/>
      <c r="M26" s="777">
        <f t="shared" si="6"/>
        <v>0</v>
      </c>
      <c r="N26" s="777">
        <f t="shared" si="6"/>
        <v>0</v>
      </c>
      <c r="O26" s="777">
        <f t="shared" si="6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777">
        <f t="shared" si="5"/>
        <v>0</v>
      </c>
      <c r="F27" s="777">
        <f t="shared" si="5"/>
        <v>0</v>
      </c>
      <c r="G27" s="777">
        <f t="shared" si="5"/>
        <v>0</v>
      </c>
      <c r="H27" s="52"/>
      <c r="I27" s="771" t="str">
        <f>'(G1) Fjalori'!A394</f>
        <v>VLERËSIMI I TË ARDHURAVE ME DESTINACION</v>
      </c>
      <c r="J27" s="774">
        <f t="shared" ref="J27:O27" si="7">J80+J119+J158+J197+J236+J275</f>
        <v>12916486</v>
      </c>
      <c r="K27" s="774">
        <f t="shared" si="7"/>
        <v>13061106</v>
      </c>
      <c r="L27" s="774">
        <f t="shared" si="7"/>
        <v>68480645</v>
      </c>
      <c r="M27" s="713">
        <f t="shared" si="7"/>
        <v>8004000</v>
      </c>
      <c r="N27" s="713">
        <f t="shared" si="7"/>
        <v>8004000</v>
      </c>
      <c r="O27" s="713">
        <f t="shared" si="7"/>
        <v>8004000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777">
        <f t="shared" si="5"/>
        <v>0</v>
      </c>
      <c r="F28" s="777">
        <f t="shared" si="5"/>
        <v>0</v>
      </c>
      <c r="G28" s="777">
        <f t="shared" si="5"/>
        <v>0</v>
      </c>
      <c r="H28" s="52"/>
      <c r="I28" s="776"/>
      <c r="J28" s="776"/>
      <c r="K28" s="776"/>
      <c r="L28" s="776"/>
      <c r="M28" s="776"/>
      <c r="N28" s="776"/>
      <c r="O28" s="776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777">
        <f t="shared" si="5"/>
        <v>82418688</v>
      </c>
      <c r="F29" s="777">
        <f t="shared" si="5"/>
        <v>21596860</v>
      </c>
      <c r="G29" s="777">
        <f t="shared" si="5"/>
        <v>18046223</v>
      </c>
      <c r="H29" s="52"/>
      <c r="I29" s="121" t="str">
        <f>'(G1) Fjalori'!A395</f>
        <v xml:space="preserve">TË ARDHURAT E PRITSHME </v>
      </c>
      <c r="J29" s="774">
        <f t="shared" ref="J29:O29" si="8">J82+J121+J160+J199+J238+J277</f>
        <v>135079986</v>
      </c>
      <c r="K29" s="774">
        <f t="shared" si="8"/>
        <v>20238948</v>
      </c>
      <c r="L29" s="774">
        <f t="shared" si="8"/>
        <v>351998366</v>
      </c>
      <c r="M29" s="713">
        <f t="shared" si="8"/>
        <v>8004000</v>
      </c>
      <c r="N29" s="713">
        <f t="shared" si="8"/>
        <v>8004000</v>
      </c>
      <c r="O29" s="713">
        <f t="shared" si="8"/>
        <v>8004000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777">
        <f t="shared" si="5"/>
        <v>0</v>
      </c>
      <c r="F30" s="777">
        <f t="shared" si="5"/>
        <v>0</v>
      </c>
      <c r="G30" s="777">
        <f t="shared" si="5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777">
        <f t="shared" si="5"/>
        <v>0</v>
      </c>
      <c r="F31" s="777">
        <f t="shared" si="5"/>
        <v>0</v>
      </c>
      <c r="G31" s="777">
        <f t="shared" si="5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777">
        <f t="shared" si="5"/>
        <v>0</v>
      </c>
      <c r="F32" s="777">
        <f t="shared" si="5"/>
        <v>0</v>
      </c>
      <c r="G32" s="777">
        <f t="shared" si="5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714" t="str">
        <f>A21</f>
        <v>KOSTO DIREKTE PËR PROJEKTET DHE SHPENZIMET KAPITALE</v>
      </c>
      <c r="B33" s="1229"/>
      <c r="C33" s="1230"/>
      <c r="D33" s="1231"/>
      <c r="E33" s="777">
        <f t="shared" si="5"/>
        <v>82418688</v>
      </c>
      <c r="F33" s="777">
        <f t="shared" si="5"/>
        <v>21596860</v>
      </c>
      <c r="G33" s="777">
        <f t="shared" si="5"/>
        <v>18046223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780">
        <f t="shared" ref="J34:O34" si="9">J88+J127+J166+J205+J244+J283</f>
        <v>61712979</v>
      </c>
      <c r="K34" s="780">
        <f t="shared" si="9"/>
        <v>290303420</v>
      </c>
      <c r="L34" s="780">
        <f t="shared" si="9"/>
        <v>79327198</v>
      </c>
      <c r="M34" s="780">
        <f t="shared" si="9"/>
        <v>370728688</v>
      </c>
      <c r="N34" s="780">
        <f t="shared" si="9"/>
        <v>312184860</v>
      </c>
      <c r="O34" s="780">
        <f t="shared" si="9"/>
        <v>311545283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777">
        <f>E89+E128+E167+E206+E245+E284</f>
        <v>155004640</v>
      </c>
      <c r="F35" s="777">
        <f>F89+F128+F167+F206+F245+F284</f>
        <v>156492378</v>
      </c>
      <c r="G35" s="777">
        <f>G89+G128+G167+G206+G245+G284</f>
        <v>158095194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10">A23</f>
        <v>Sigurimet Shoqërore</v>
      </c>
      <c r="B36" s="1229">
        <f t="shared" ref="B36:B45" si="11">B23</f>
        <v>601</v>
      </c>
      <c r="C36" s="1230"/>
      <c r="D36" s="1231"/>
      <c r="E36" s="777">
        <f t="shared" ref="E36:G46" si="12">E90+E129+E168+E207+E246+E285</f>
        <v>31075359.999999996</v>
      </c>
      <c r="F36" s="777">
        <f t="shared" si="12"/>
        <v>31373621.999999996</v>
      </c>
      <c r="G36" s="777">
        <f t="shared" si="12"/>
        <v>31574666</v>
      </c>
      <c r="H36" s="52"/>
    </row>
    <row r="37" spans="1:15" ht="12.75" x14ac:dyDescent="0.2">
      <c r="A37" s="121" t="str">
        <f t="shared" si="10"/>
        <v>Mallra dhe shërbime</v>
      </c>
      <c r="B37" s="1229">
        <f t="shared" si="11"/>
        <v>602</v>
      </c>
      <c r="C37" s="1230"/>
      <c r="D37" s="1231"/>
      <c r="E37" s="777">
        <f t="shared" si="12"/>
        <v>110234000</v>
      </c>
      <c r="F37" s="777">
        <f t="shared" si="12"/>
        <v>110726000</v>
      </c>
      <c r="G37" s="777">
        <f t="shared" si="12"/>
        <v>111833200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>M91+M130+M169+M208+M247+M286</f>
        <v>0</v>
      </c>
      <c r="N37" s="126">
        <f>N91+N130+N169+N208+N247+N286</f>
        <v>0</v>
      </c>
      <c r="O37" s="126">
        <f>O91+O130+O169+O208+O247+O286</f>
        <v>0</v>
      </c>
    </row>
    <row r="38" spans="1:15" ht="12.75" x14ac:dyDescent="0.2">
      <c r="A38" s="121" t="str">
        <f t="shared" si="10"/>
        <v>Subvencione</v>
      </c>
      <c r="B38" s="1229">
        <f t="shared" si="11"/>
        <v>603</v>
      </c>
      <c r="C38" s="1230"/>
      <c r="D38" s="1231"/>
      <c r="E38" s="777">
        <f t="shared" si="12"/>
        <v>0</v>
      </c>
      <c r="F38" s="777">
        <f t="shared" si="12"/>
        <v>0</v>
      </c>
      <c r="G38" s="777">
        <f t="shared" si="12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ref="M38:O40" si="13">M92+M131+M170+M209+M248+M287</f>
        <v>0</v>
      </c>
      <c r="N38" s="126">
        <f t="shared" si="13"/>
        <v>0</v>
      </c>
      <c r="O38" s="126">
        <f t="shared" si="13"/>
        <v>0</v>
      </c>
    </row>
    <row r="39" spans="1:15" ht="12.75" x14ac:dyDescent="0.2">
      <c r="A39" s="121" t="str">
        <f t="shared" si="10"/>
        <v>Të tjera transferta korrente të brendshme</v>
      </c>
      <c r="B39" s="1229">
        <f t="shared" si="11"/>
        <v>604</v>
      </c>
      <c r="C39" s="1230"/>
      <c r="D39" s="1231"/>
      <c r="E39" s="777">
        <f t="shared" si="12"/>
        <v>0</v>
      </c>
      <c r="F39" s="777">
        <f t="shared" si="12"/>
        <v>0</v>
      </c>
      <c r="G39" s="777">
        <f t="shared" si="12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3"/>
        <v>0</v>
      </c>
      <c r="N39" s="126">
        <f t="shared" si="13"/>
        <v>0</v>
      </c>
      <c r="O39" s="126">
        <f t="shared" si="13"/>
        <v>0</v>
      </c>
    </row>
    <row r="40" spans="1:15" ht="12.75" x14ac:dyDescent="0.2">
      <c r="A40" s="121" t="str">
        <f t="shared" si="10"/>
        <v>Transferta korrente të huaja</v>
      </c>
      <c r="B40" s="1229">
        <f t="shared" si="11"/>
        <v>605</v>
      </c>
      <c r="C40" s="1230"/>
      <c r="D40" s="1231"/>
      <c r="E40" s="777">
        <f t="shared" si="12"/>
        <v>0</v>
      </c>
      <c r="F40" s="777">
        <f t="shared" si="12"/>
        <v>0</v>
      </c>
      <c r="G40" s="777">
        <f t="shared" si="12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3"/>
        <v>0</v>
      </c>
      <c r="N40" s="126">
        <f t="shared" si="13"/>
        <v>0</v>
      </c>
      <c r="O40" s="126">
        <f t="shared" si="13"/>
        <v>0</v>
      </c>
    </row>
    <row r="41" spans="1:15" ht="12.75" x14ac:dyDescent="0.2">
      <c r="A41" s="121" t="str">
        <f t="shared" si="10"/>
        <v>Transferta për Buxhetet Familiare dhe Individët</v>
      </c>
      <c r="B41" s="1229">
        <f t="shared" si="11"/>
        <v>606</v>
      </c>
      <c r="C41" s="1230"/>
      <c r="D41" s="1231"/>
      <c r="E41" s="777">
        <f t="shared" si="12"/>
        <v>0</v>
      </c>
      <c r="F41" s="777">
        <f t="shared" si="12"/>
        <v>0</v>
      </c>
      <c r="G41" s="777">
        <f t="shared" si="12"/>
        <v>0</v>
      </c>
      <c r="H41" s="52"/>
      <c r="I41" s="276"/>
      <c r="J41" s="1286"/>
      <c r="K41" s="1286"/>
      <c r="L41" s="1286"/>
      <c r="M41" s="299" t="str">
        <f>IF(SUM(M38:M40)=M37,"OK","STOP")</f>
        <v>OK</v>
      </c>
      <c r="N41" s="299" t="str">
        <f>IF(SUM(N38:N40)=N37,"OK","STOP")</f>
        <v>OK</v>
      </c>
      <c r="O41" s="299" t="str">
        <f>IF(SUM(O38:O40)=O37,"OK","STOP")</f>
        <v>OK</v>
      </c>
    </row>
    <row r="42" spans="1:15" ht="12.75" x14ac:dyDescent="0.2">
      <c r="A42" s="564" t="str">
        <f t="shared" si="10"/>
        <v>Shpenzimet kapitale</v>
      </c>
      <c r="B42" s="1256" t="str">
        <f t="shared" si="11"/>
        <v>230 / 231</v>
      </c>
      <c r="C42" s="1257"/>
      <c r="D42" s="1258"/>
      <c r="E42" s="777">
        <f t="shared" si="12"/>
        <v>0</v>
      </c>
      <c r="F42" s="777">
        <f t="shared" si="12"/>
        <v>0</v>
      </c>
      <c r="G42" s="777">
        <f t="shared" si="12"/>
        <v>0</v>
      </c>
      <c r="H42" s="52"/>
    </row>
    <row r="43" spans="1:15" ht="12.75" x14ac:dyDescent="0.2">
      <c r="A43" s="121" t="str">
        <f t="shared" si="10"/>
        <v>Rezerva</v>
      </c>
      <c r="B43" s="1229">
        <f t="shared" si="11"/>
        <v>609</v>
      </c>
      <c r="C43" s="1230"/>
      <c r="D43" s="1231"/>
      <c r="E43" s="777">
        <f t="shared" si="12"/>
        <v>0</v>
      </c>
      <c r="F43" s="777">
        <f t="shared" si="12"/>
        <v>0</v>
      </c>
      <c r="G43" s="777">
        <f t="shared" si="12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10"/>
        <v>Interesa per kredi direkte ose bono</v>
      </c>
      <c r="B44" s="1259">
        <f t="shared" si="11"/>
        <v>650</v>
      </c>
      <c r="C44" s="1260"/>
      <c r="D44" s="1261"/>
      <c r="E44" s="777">
        <f t="shared" si="12"/>
        <v>0</v>
      </c>
      <c r="F44" s="777">
        <f t="shared" si="12"/>
        <v>0</v>
      </c>
      <c r="G44" s="777">
        <f t="shared" si="12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783" t="str">
        <f t="shared" si="10"/>
        <v>Të tjera</v>
      </c>
      <c r="B45" s="1229" t="str">
        <f t="shared" si="11"/>
        <v>69 / ?</v>
      </c>
      <c r="C45" s="1230"/>
      <c r="D45" s="781" t="str">
        <f>IF(OR(E45&lt;0,F45&lt;0,G45&lt;0),"STOP","OK!")</f>
        <v>OK!</v>
      </c>
      <c r="E45" s="777">
        <f t="shared" si="12"/>
        <v>0</v>
      </c>
      <c r="F45" s="777">
        <f t="shared" si="12"/>
        <v>0</v>
      </c>
      <c r="G45" s="777">
        <f t="shared" si="12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713">
        <f t="shared" si="12"/>
        <v>296314000</v>
      </c>
      <c r="F46" s="713">
        <f t="shared" si="12"/>
        <v>298592000</v>
      </c>
      <c r="G46" s="713">
        <f t="shared" si="12"/>
        <v>301503060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709"/>
      <c r="B47" s="710"/>
      <c r="C47" s="711"/>
      <c r="D47" s="711"/>
      <c r="E47" s="276"/>
      <c r="F47" s="276"/>
      <c r="G47" s="712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21" t="str">
        <f>A18</f>
        <v>SHPENZIME TË PRITSHME</v>
      </c>
      <c r="B48" s="774">
        <f t="shared" ref="B48:G48" si="14">B102+B141+B180+B219+B258+B297</f>
        <v>196792965</v>
      </c>
      <c r="C48" s="774">
        <f t="shared" si="14"/>
        <v>310542368</v>
      </c>
      <c r="D48" s="774">
        <f t="shared" si="14"/>
        <v>431325564</v>
      </c>
      <c r="E48" s="713">
        <f t="shared" si="14"/>
        <v>378732688</v>
      </c>
      <c r="F48" s="713">
        <f t="shared" si="14"/>
        <v>320188860</v>
      </c>
      <c r="G48" s="713">
        <f t="shared" si="14"/>
        <v>319549283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378732688</v>
      </c>
      <c r="N52" s="135">
        <f>VLOOKUP($A14,'(D1) Tavanet buxhetore'!$A$7:$R$473,8,FALSE)</f>
        <v>320188860</v>
      </c>
      <c r="O52" s="587">
        <f>VLOOKUP($A14,'(D1) Tavanet buxhetore'!$A$7:$R$473,9,FALSE)</f>
        <v>319549283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378732688</v>
      </c>
      <c r="N53" s="136">
        <f>F18</f>
        <v>320188860</v>
      </c>
      <c r="O53" s="588">
        <f>G18</f>
        <v>319549283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186080000</v>
      </c>
      <c r="N55" s="135">
        <f>VLOOKUP($A14,'(D1) Tavanet buxhetore'!$A$7:$R$473,11,FALSE)</f>
        <v>187866000</v>
      </c>
      <c r="O55" s="587">
        <f>VLOOKUP($A14,'(D1) Tavanet buxhetore'!$A$7:$R$473,12,FALSE)</f>
        <v>189669860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186080000</v>
      </c>
      <c r="N56" s="136">
        <f>F22+F35+F23+F36</f>
        <v>187866000</v>
      </c>
      <c r="O56" s="588">
        <f>G22+G35+G23+G36</f>
        <v>189669860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110234000</v>
      </c>
      <c r="N58" s="135">
        <f>VLOOKUP($A14,'(D1) Tavanet buxhetore'!$A$7:$R$473,14,FALSE)</f>
        <v>110726000</v>
      </c>
      <c r="O58" s="587">
        <f>VLOOKUP($A14,'(D1) Tavanet buxhetore'!$A$7:$R$473,15,FALSE)</f>
        <v>111833200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110234000</v>
      </c>
      <c r="N59" s="136">
        <f>N53-N56-N62</f>
        <v>110726000</v>
      </c>
      <c r="O59" s="588">
        <f>O53-O56-O62</f>
        <v>111833200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82418688</v>
      </c>
      <c r="N61" s="135">
        <f>VLOOKUP($A14,'(D1) Tavanet buxhetore'!$A$7:$R$473,17,FALSE)</f>
        <v>21596860</v>
      </c>
      <c r="O61" s="587">
        <f>VLOOKUP($A14,'(D1) Tavanet buxhetore'!$A$7:$R$473,18,FALSE)</f>
        <v>18046223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82418688</v>
      </c>
      <c r="N62" s="136">
        <f>F29+F42</f>
        <v>21596860</v>
      </c>
      <c r="O62" s="588">
        <f>G29+G42</f>
        <v>18046223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5">A14</f>
        <v>Nënfunksioni 1</v>
      </c>
      <c r="B66" s="1225" t="str">
        <f t="shared" si="15"/>
        <v>011 Organet ekzekutive dhe legjislative, për çështjet financiare dhe fiskale, çështjet e brendshme</v>
      </c>
      <c r="C66" s="1225">
        <f t="shared" si="15"/>
        <v>0</v>
      </c>
      <c r="D66" s="1225">
        <f t="shared" si="15"/>
        <v>0</v>
      </c>
      <c r="E66" s="1225">
        <f t="shared" si="15"/>
        <v>0</v>
      </c>
      <c r="F66" s="1225">
        <f t="shared" si="15"/>
        <v>0</v>
      </c>
      <c r="G66" s="1225">
        <f t="shared" si="15"/>
        <v>0</v>
      </c>
      <c r="H66" s="1225">
        <f t="shared" si="15"/>
        <v>0</v>
      </c>
      <c r="I66" s="1225">
        <f t="shared" si="15"/>
        <v>0</v>
      </c>
      <c r="J66" s="1225">
        <f t="shared" si="15"/>
        <v>0</v>
      </c>
      <c r="K66" s="1225">
        <f t="shared" si="15"/>
        <v>0</v>
      </c>
      <c r="L66" s="1225">
        <f t="shared" si="15"/>
        <v>0</v>
      </c>
      <c r="M66" s="1225">
        <f t="shared" si="15"/>
        <v>0</v>
      </c>
      <c r="N66" s="1225">
        <f t="shared" si="15"/>
        <v>0</v>
      </c>
      <c r="O66" s="1225">
        <f t="shared" si="15"/>
        <v>0</v>
      </c>
    </row>
    <row r="67" spans="1:15" ht="17.25" customHeight="1" x14ac:dyDescent="0.2">
      <c r="A67" s="489" t="str">
        <f>A6</f>
        <v>Programi 1a</v>
      </c>
      <c r="B67" s="1283" t="str">
        <f>C6</f>
        <v>Planifikimi Menaxhimi dhe Administrimi</v>
      </c>
      <c r="C67" s="1283" t="e">
        <f>#REF!</f>
        <v>#REF!</v>
      </c>
      <c r="D67" s="1283" t="e">
        <f>#REF!</f>
        <v>#REF!</v>
      </c>
      <c r="E67" s="1283" t="e">
        <f>#REF!</f>
        <v>#REF!</v>
      </c>
      <c r="F67" s="1283" t="e">
        <f>#REF!</f>
        <v>#REF!</v>
      </c>
      <c r="G67" s="1283" t="e">
        <f>#REF!</f>
        <v>#REF!</v>
      </c>
      <c r="H67" s="1283" t="e">
        <f>#REF!</f>
        <v>#REF!</v>
      </c>
      <c r="I67" s="1283" t="e">
        <f>#REF!</f>
        <v>#REF!</v>
      </c>
      <c r="J67" s="1283" t="e">
        <f>#REF!</f>
        <v>#REF!</v>
      </c>
      <c r="K67" s="1283" t="e">
        <f>#REF!</f>
        <v>#REF!</v>
      </c>
      <c r="L67" s="1283" t="e">
        <f>#REF!</f>
        <v>#REF!</v>
      </c>
      <c r="M67" s="1283" t="e">
        <f>#REF!</f>
        <v>#REF!</v>
      </c>
      <c r="N67" s="1283" t="e">
        <f>#REF!</f>
        <v>#REF!</v>
      </c>
      <c r="O67" s="1283" t="e">
        <f>#REF!</f>
        <v>#REF!</v>
      </c>
    </row>
    <row r="68" spans="1:15" ht="17.25" customHeight="1" x14ac:dyDescent="0.2">
      <c r="A68" s="262" t="str">
        <f>'(B3) Struktura Funksionale'!B8</f>
        <v>01110</v>
      </c>
      <c r="B68" s="1288"/>
      <c r="C68" s="1288"/>
      <c r="D68" s="1288"/>
      <c r="E68" s="1288"/>
      <c r="F68" s="1288"/>
      <c r="G68" s="1288"/>
      <c r="H68" s="1288"/>
      <c r="I68" s="1288"/>
      <c r="J68" s="1288"/>
      <c r="K68" s="1288"/>
      <c r="L68" s="1288"/>
      <c r="M68" s="1288"/>
      <c r="N68" s="1288"/>
      <c r="O68" s="1289"/>
    </row>
    <row r="69" spans="1:15" ht="21" customHeight="1" x14ac:dyDescent="0.2">
      <c r="A69" s="1252" t="str">
        <f t="shared" ref="A69:G69" si="16">A15</f>
        <v>SHPENZIME TË PRITSHME</v>
      </c>
      <c r="B69" s="1253">
        <f t="shared" si="16"/>
        <v>0</v>
      </c>
      <c r="C69" s="1253">
        <f t="shared" si="16"/>
        <v>0</v>
      </c>
      <c r="D69" s="1253">
        <f t="shared" si="16"/>
        <v>0</v>
      </c>
      <c r="E69" s="1253">
        <f t="shared" si="16"/>
        <v>0</v>
      </c>
      <c r="F69" s="1253">
        <f t="shared" si="16"/>
        <v>0</v>
      </c>
      <c r="G69" s="1254">
        <f t="shared" si="16"/>
        <v>0</v>
      </c>
      <c r="H69" s="128"/>
      <c r="I69" s="1255" t="str">
        <f t="shared" ref="I69:O69" si="17">I15</f>
        <v xml:space="preserve">TË ARDHURAT E PRITSHME </v>
      </c>
      <c r="J69" s="1253">
        <f t="shared" si="17"/>
        <v>0</v>
      </c>
      <c r="K69" s="1253">
        <f t="shared" si="17"/>
        <v>0</v>
      </c>
      <c r="L69" s="1253">
        <f t="shared" si="17"/>
        <v>0</v>
      </c>
      <c r="M69" s="1253">
        <f t="shared" si="17"/>
        <v>0</v>
      </c>
      <c r="N69" s="1253">
        <f t="shared" si="17"/>
        <v>0</v>
      </c>
      <c r="O69" s="1254">
        <f t="shared" si="17"/>
        <v>0</v>
      </c>
    </row>
    <row r="70" spans="1:15" ht="19.5" customHeight="1" x14ac:dyDescent="0.2">
      <c r="A70" s="202"/>
      <c r="B70" s="363">
        <f t="shared" ref="B70:G70" si="18">B16</f>
        <v>2019</v>
      </c>
      <c r="C70" s="363">
        <f t="shared" si="18"/>
        <v>2020</v>
      </c>
      <c r="D70" s="363">
        <f t="shared" si="18"/>
        <v>2021</v>
      </c>
      <c r="E70" s="238">
        <f t="shared" si="18"/>
        <v>2022</v>
      </c>
      <c r="F70" s="238">
        <f t="shared" si="18"/>
        <v>2023</v>
      </c>
      <c r="G70" s="238">
        <f t="shared" si="18"/>
        <v>2024</v>
      </c>
      <c r="H70" s="203"/>
      <c r="I70" s="360"/>
      <c r="J70" s="363">
        <f t="shared" ref="J70:O70" si="19">J16</f>
        <v>2019</v>
      </c>
      <c r="K70" s="363">
        <f t="shared" si="19"/>
        <v>2020</v>
      </c>
      <c r="L70" s="363">
        <f t="shared" si="19"/>
        <v>2021</v>
      </c>
      <c r="M70" s="238">
        <f t="shared" si="19"/>
        <v>2022</v>
      </c>
      <c r="N70" s="238">
        <f t="shared" si="19"/>
        <v>2023</v>
      </c>
      <c r="O70" s="238">
        <f t="shared" si="19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768" t="str">
        <f>A18</f>
        <v>SHPENZIME TË PRITSHME</v>
      </c>
      <c r="B72" s="769">
        <f>VLOOKUP(A67,'(C1) Shpenzimet vitet e kaluara'!A$9:O$177,5,FALSE)</f>
        <v>188973007</v>
      </c>
      <c r="C72" s="769">
        <f>VLOOKUP(A67,'(C1) Shpenzimet vitet e kaluara'!A$9:O$177,9,FALSE)</f>
        <v>300083152</v>
      </c>
      <c r="D72" s="769">
        <f>VLOOKUP(A67,'(C1) Shpenzimet vitet e kaluara'!A$9:O$177,13,FALSE)</f>
        <v>423241564</v>
      </c>
      <c r="E72" s="770">
        <f>E83+E89+E90+E91</f>
        <v>370648688</v>
      </c>
      <c r="F72" s="770">
        <f t="shared" ref="F72:G72" si="20">F83+F89+F90+F91</f>
        <v>312104860</v>
      </c>
      <c r="G72" s="770">
        <f t="shared" si="20"/>
        <v>311465283</v>
      </c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709"/>
      <c r="B73" s="710"/>
      <c r="C73" s="711"/>
      <c r="D73" s="711"/>
      <c r="E73" s="276"/>
      <c r="F73" s="276"/>
      <c r="G73" s="712"/>
      <c r="H73" s="10"/>
      <c r="I73" s="134" t="str">
        <f>I19</f>
        <v>VLERËSIM I ARDHURAVE NGA TARIFAT</v>
      </c>
      <c r="J73" s="34">
        <f>VLOOKUP($A67,'(C1) Shpenzimet vitet e kaluara'!$A$9:$O$177,6,FALSE)</f>
        <v>122163500</v>
      </c>
      <c r="K73" s="34">
        <f>VLOOKUP($A67,'(C1) Shpenzimet vitet e kaluara'!$A$9:$O$177,10,FALSE)</f>
        <v>7177842</v>
      </c>
      <c r="L73" s="34">
        <f>VLOOKUP($A67,'(C1) Shpenzimet vitet e kaluara'!$A$9:$O$177,14,FALSE)</f>
        <v>283517721</v>
      </c>
      <c r="M73" s="36"/>
      <c r="N73" s="36"/>
      <c r="O73" s="36"/>
    </row>
    <row r="74" spans="1:15" ht="12.75" x14ac:dyDescent="0.2">
      <c r="A74" s="1232" t="str">
        <f t="shared" ref="A74:G75" si="21">A20</f>
        <v>SHPENZIME TË PRITSHME</v>
      </c>
      <c r="B74" s="1233">
        <f t="shared" si="21"/>
        <v>0</v>
      </c>
      <c r="C74" s="1233">
        <f t="shared" si="21"/>
        <v>0</v>
      </c>
      <c r="D74" s="1233">
        <f t="shared" si="21"/>
        <v>0</v>
      </c>
      <c r="E74" s="1233">
        <f t="shared" si="21"/>
        <v>0</v>
      </c>
      <c r="F74" s="1233">
        <f t="shared" si="21"/>
        <v>0</v>
      </c>
      <c r="G74" s="1234">
        <f t="shared" si="21"/>
        <v>0</v>
      </c>
      <c r="H74" s="10"/>
    </row>
    <row r="75" spans="1:15" ht="12.75" x14ac:dyDescent="0.2">
      <c r="A75" s="1226" t="str">
        <f t="shared" si="21"/>
        <v>KOSTO DIREKTE PËR PROJEKTET DHE SHPENZIMET KAPITALE</v>
      </c>
      <c r="B75" s="1227">
        <f t="shared" si="21"/>
        <v>0</v>
      </c>
      <c r="C75" s="1227">
        <f t="shared" si="21"/>
        <v>0</v>
      </c>
      <c r="D75" s="1227">
        <f t="shared" si="21"/>
        <v>0</v>
      </c>
      <c r="E75" s="1227">
        <f t="shared" si="21"/>
        <v>0</v>
      </c>
      <c r="F75" s="1227">
        <f t="shared" si="21"/>
        <v>0</v>
      </c>
      <c r="G75" s="1228">
        <f t="shared" si="21"/>
        <v>0</v>
      </c>
      <c r="H75" s="30"/>
      <c r="I75" s="1226" t="str">
        <f t="shared" ref="I75:I80" si="22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23">A22</f>
        <v>Pagat</v>
      </c>
      <c r="B76" s="1229">
        <f t="shared" si="23"/>
        <v>600</v>
      </c>
      <c r="C76" s="1230">
        <f t="shared" si="23"/>
        <v>0</v>
      </c>
      <c r="D76" s="1231">
        <f t="shared" si="23"/>
        <v>0</v>
      </c>
      <c r="E76" s="713"/>
      <c r="F76" s="713"/>
      <c r="G76" s="713"/>
      <c r="H76" s="30"/>
      <c r="I76" s="339" t="str">
        <f t="shared" si="22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23"/>
        <v>Sigurimet Shoqërore</v>
      </c>
      <c r="B77" s="1229">
        <f t="shared" si="23"/>
        <v>601</v>
      </c>
      <c r="C77" s="1230">
        <f t="shared" si="23"/>
        <v>0</v>
      </c>
      <c r="D77" s="1231">
        <f t="shared" si="23"/>
        <v>0</v>
      </c>
      <c r="E77" s="713"/>
      <c r="F77" s="713"/>
      <c r="G77" s="713"/>
      <c r="H77" s="30"/>
      <c r="I77" s="339" t="str">
        <f t="shared" si="22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23"/>
        <v>Mallra dhe shërbime</v>
      </c>
      <c r="B78" s="1229">
        <f t="shared" si="23"/>
        <v>602</v>
      </c>
      <c r="C78" s="1230">
        <f t="shared" si="23"/>
        <v>0</v>
      </c>
      <c r="D78" s="1231">
        <f t="shared" si="23"/>
        <v>0</v>
      </c>
      <c r="E78" s="713"/>
      <c r="F78" s="713"/>
      <c r="G78" s="713"/>
      <c r="H78" s="52"/>
      <c r="I78" s="339" t="str">
        <f t="shared" si="22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23"/>
        <v>Subvencione</v>
      </c>
      <c r="B79" s="1229">
        <f t="shared" si="23"/>
        <v>603</v>
      </c>
      <c r="C79" s="1230">
        <f t="shared" si="23"/>
        <v>0</v>
      </c>
      <c r="D79" s="1231">
        <f t="shared" si="23"/>
        <v>0</v>
      </c>
      <c r="E79" s="713"/>
      <c r="F79" s="713"/>
      <c r="G79" s="713"/>
      <c r="H79" s="8"/>
      <c r="I79" s="339" t="str">
        <f t="shared" si="22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23"/>
        <v>Të tjera transferta korrente të brendshme</v>
      </c>
      <c r="B80" s="1229">
        <f t="shared" si="23"/>
        <v>604</v>
      </c>
      <c r="C80" s="1230">
        <f t="shared" si="23"/>
        <v>0</v>
      </c>
      <c r="D80" s="1231">
        <f t="shared" si="23"/>
        <v>0</v>
      </c>
      <c r="E80" s="713"/>
      <c r="F80" s="713"/>
      <c r="G80" s="713"/>
      <c r="H80" s="52"/>
      <c r="I80" s="355" t="str">
        <f t="shared" si="22"/>
        <v>VLERËSIMI I TË ARDHURAVE ME DESTINACION</v>
      </c>
      <c r="J80" s="34">
        <f>VLOOKUP($A67,'(C1) Shpenzimet vitet e kaluara'!$A$9:$O$177,7,FALSE)</f>
        <v>5013486</v>
      </c>
      <c r="K80" s="34">
        <f>VLOOKUP($A67,'(C1) Shpenzimet vitet e kaluara'!$A$9:$O$177,11,FALSE)</f>
        <v>1464890</v>
      </c>
      <c r="L80" s="34">
        <f>VLOOKUP($A67,'(C1) Shpenzimet vitet e kaluara'!$A$9:$O$177,15,FALSE)</f>
        <v>60396645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6" ht="12.75" x14ac:dyDescent="0.2">
      <c r="A81" s="121" t="str">
        <f t="shared" si="23"/>
        <v>Transferta korrente të huaja</v>
      </c>
      <c r="B81" s="1229">
        <f t="shared" si="23"/>
        <v>605</v>
      </c>
      <c r="C81" s="1230">
        <f t="shared" si="23"/>
        <v>0</v>
      </c>
      <c r="D81" s="1231">
        <f t="shared" si="23"/>
        <v>0</v>
      </c>
      <c r="E81" s="713"/>
      <c r="F81" s="713"/>
      <c r="G81" s="713"/>
      <c r="H81" s="52"/>
    </row>
    <row r="82" spans="1:16" ht="12.75" x14ac:dyDescent="0.2">
      <c r="A82" s="121" t="str">
        <f t="shared" si="23"/>
        <v>Transferta për Buxhetet Familiare dhe Individët</v>
      </c>
      <c r="B82" s="1229">
        <f t="shared" si="23"/>
        <v>606</v>
      </c>
      <c r="C82" s="1230">
        <f t="shared" si="23"/>
        <v>0</v>
      </c>
      <c r="D82" s="1231">
        <f t="shared" si="23"/>
        <v>0</v>
      </c>
      <c r="E82" s="713"/>
      <c r="F82" s="713"/>
      <c r="G82" s="713"/>
      <c r="H82" s="52"/>
      <c r="I82" s="134" t="str">
        <f>I29</f>
        <v xml:space="preserve">TË ARDHURAT E PRITSHME </v>
      </c>
      <c r="J82" s="33">
        <f>J73+J80</f>
        <v>127176986</v>
      </c>
      <c r="K82" s="33">
        <f>K73+K80</f>
        <v>8642732</v>
      </c>
      <c r="L82" s="33">
        <f>L73+L80</f>
        <v>343914366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6" ht="12.75" x14ac:dyDescent="0.2">
      <c r="A83" s="121" t="str">
        <f t="shared" si="23"/>
        <v>Shpenzimet kapitale</v>
      </c>
      <c r="B83" s="1229" t="str">
        <f t="shared" si="23"/>
        <v>230 / 231</v>
      </c>
      <c r="C83" s="1230">
        <f t="shared" si="23"/>
        <v>0</v>
      </c>
      <c r="D83" s="1231">
        <f t="shared" si="23"/>
        <v>0</v>
      </c>
      <c r="E83" s="708">
        <v>82418688</v>
      </c>
      <c r="F83" s="708">
        <v>21596860</v>
      </c>
      <c r="G83" s="708">
        <v>18046223</v>
      </c>
      <c r="H83" s="52"/>
    </row>
    <row r="84" spans="1:16" ht="12.75" x14ac:dyDescent="0.2">
      <c r="A84" s="121" t="str">
        <f t="shared" si="23"/>
        <v>Rezerva</v>
      </c>
      <c r="B84" s="1229">
        <f t="shared" si="23"/>
        <v>609</v>
      </c>
      <c r="C84" s="1230">
        <f t="shared" si="23"/>
        <v>0</v>
      </c>
      <c r="D84" s="1231">
        <f t="shared" si="23"/>
        <v>0</v>
      </c>
      <c r="E84" s="713"/>
      <c r="F84" s="713"/>
      <c r="G84" s="713"/>
      <c r="H84" s="52"/>
    </row>
    <row r="85" spans="1:16" ht="12.75" x14ac:dyDescent="0.2">
      <c r="A85" s="121" t="str">
        <f t="shared" si="23"/>
        <v>Interesa per kredi direkte ose bono</v>
      </c>
      <c r="B85" s="1229">
        <f t="shared" si="23"/>
        <v>650</v>
      </c>
      <c r="C85" s="1230">
        <f t="shared" si="23"/>
        <v>0</v>
      </c>
      <c r="D85" s="1231">
        <f t="shared" si="23"/>
        <v>0</v>
      </c>
      <c r="E85" s="713"/>
      <c r="F85" s="713"/>
      <c r="G85" s="713"/>
      <c r="H85" s="52"/>
    </row>
    <row r="86" spans="1:16" ht="12.75" x14ac:dyDescent="0.2">
      <c r="A86" s="121" t="str">
        <f t="shared" si="23"/>
        <v>Të tjera</v>
      </c>
      <c r="B86" s="1229" t="str">
        <f t="shared" si="23"/>
        <v>69 / ?</v>
      </c>
      <c r="C86" s="1230">
        <f t="shared" si="23"/>
        <v>0</v>
      </c>
      <c r="D86" s="1231">
        <f t="shared" si="23"/>
        <v>0</v>
      </c>
      <c r="E86" s="713"/>
      <c r="F86" s="713"/>
      <c r="G86" s="713"/>
      <c r="H86" s="52"/>
      <c r="I86" s="1235" t="str">
        <f t="shared" ref="I86:O87" si="24">I32</f>
        <v>SHUMA E KËRKUAR NETO</v>
      </c>
      <c r="J86" s="1236">
        <f t="shared" si="24"/>
        <v>0</v>
      </c>
      <c r="K86" s="1236">
        <f t="shared" si="24"/>
        <v>0</v>
      </c>
      <c r="L86" s="1236">
        <f t="shared" si="24"/>
        <v>0</v>
      </c>
      <c r="M86" s="1236">
        <f t="shared" si="24"/>
        <v>0</v>
      </c>
      <c r="N86" s="1236">
        <f t="shared" si="24"/>
        <v>0</v>
      </c>
      <c r="O86" s="1237">
        <f t="shared" si="24"/>
        <v>0</v>
      </c>
    </row>
    <row r="87" spans="1:16" ht="12" customHeight="1" x14ac:dyDescent="0.2">
      <c r="A87" s="714" t="str">
        <f t="shared" si="23"/>
        <v>KOSTO DIREKTE PËR PROJEKTET DHE SHPENZIMET KAPITALE</v>
      </c>
      <c r="B87" s="1229">
        <f t="shared" si="23"/>
        <v>0</v>
      </c>
      <c r="C87" s="1230">
        <f t="shared" si="23"/>
        <v>0</v>
      </c>
      <c r="D87" s="1231">
        <f t="shared" si="23"/>
        <v>0</v>
      </c>
      <c r="E87" s="713">
        <f>SUM(E76:E86)</f>
        <v>82418688</v>
      </c>
      <c r="F87" s="713">
        <f>SUM(F76:F86)</f>
        <v>21596860</v>
      </c>
      <c r="G87" s="713">
        <f>SUM(G76:G86)</f>
        <v>18046223</v>
      </c>
      <c r="H87" s="52"/>
      <c r="I87" s="1238">
        <f t="shared" si="24"/>
        <v>0</v>
      </c>
      <c r="J87" s="1239">
        <f t="shared" si="24"/>
        <v>0</v>
      </c>
      <c r="K87" s="1239">
        <f t="shared" si="24"/>
        <v>0</v>
      </c>
      <c r="L87" s="1239">
        <f t="shared" si="24"/>
        <v>0</v>
      </c>
      <c r="M87" s="1239">
        <f t="shared" si="24"/>
        <v>0</v>
      </c>
      <c r="N87" s="1239">
        <f t="shared" si="24"/>
        <v>0</v>
      </c>
      <c r="O87" s="1240">
        <f t="shared" si="24"/>
        <v>0</v>
      </c>
    </row>
    <row r="88" spans="1:16" ht="12.75" x14ac:dyDescent="0.2">
      <c r="A88" s="1226" t="str">
        <f t="shared" si="23"/>
        <v>SHPENZIME KORRENTE</v>
      </c>
      <c r="B88" s="1227">
        <f t="shared" si="23"/>
        <v>0</v>
      </c>
      <c r="C88" s="1227">
        <f t="shared" si="23"/>
        <v>0</v>
      </c>
      <c r="D88" s="1227">
        <f t="shared" si="23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780">
        <f t="shared" ref="J88:O88" si="25">B72-J82</f>
        <v>61796021</v>
      </c>
      <c r="K88" s="780">
        <f t="shared" si="25"/>
        <v>291440420</v>
      </c>
      <c r="L88" s="780">
        <f t="shared" si="25"/>
        <v>79327198</v>
      </c>
      <c r="M88" s="780">
        <f t="shared" si="25"/>
        <v>370648688</v>
      </c>
      <c r="N88" s="780">
        <f t="shared" si="25"/>
        <v>312104860</v>
      </c>
      <c r="O88" s="780">
        <f t="shared" si="25"/>
        <v>311465283</v>
      </c>
    </row>
    <row r="89" spans="1:16" ht="12.75" x14ac:dyDescent="0.2">
      <c r="A89" s="121" t="str">
        <f t="shared" si="23"/>
        <v>Pagat</v>
      </c>
      <c r="B89" s="1229">
        <f t="shared" si="23"/>
        <v>600</v>
      </c>
      <c r="C89" s="1230">
        <f t="shared" si="23"/>
        <v>0</v>
      </c>
      <c r="D89" s="1231">
        <f t="shared" si="23"/>
        <v>0</v>
      </c>
      <c r="E89" s="796">
        <v>148773800</v>
      </c>
      <c r="F89" s="796">
        <v>150261538</v>
      </c>
      <c r="G89" s="796">
        <v>151864354</v>
      </c>
      <c r="H89" s="52"/>
      <c r="I89" s="52"/>
      <c r="J89" s="52"/>
      <c r="K89" s="52"/>
      <c r="L89" s="14"/>
      <c r="M89" s="53"/>
    </row>
    <row r="90" spans="1:16" ht="12.75" x14ac:dyDescent="0.2">
      <c r="A90" s="121" t="str">
        <f t="shared" si="23"/>
        <v>Sigurimet Shoqërore</v>
      </c>
      <c r="B90" s="1229">
        <f t="shared" si="23"/>
        <v>601</v>
      </c>
      <c r="C90" s="1230">
        <f t="shared" si="23"/>
        <v>0</v>
      </c>
      <c r="D90" s="1231">
        <f t="shared" si="23"/>
        <v>0</v>
      </c>
      <c r="E90" s="708">
        <v>29826199.999999996</v>
      </c>
      <c r="F90" s="708">
        <v>30124461.999999996</v>
      </c>
      <c r="G90" s="708">
        <v>30325506</v>
      </c>
      <c r="H90" s="52"/>
    </row>
    <row r="91" spans="1:16" ht="12.75" x14ac:dyDescent="0.2">
      <c r="A91" s="121" t="str">
        <f t="shared" si="23"/>
        <v>Mallra dhe shërbime</v>
      </c>
      <c r="B91" s="1229">
        <f t="shared" si="23"/>
        <v>602</v>
      </c>
      <c r="C91" s="1230">
        <f t="shared" si="23"/>
        <v>0</v>
      </c>
      <c r="D91" s="1231">
        <f t="shared" si="23"/>
        <v>0</v>
      </c>
      <c r="E91" s="784">
        <v>109630000</v>
      </c>
      <c r="F91" s="784">
        <v>110122000</v>
      </c>
      <c r="G91" s="784">
        <v>111229200</v>
      </c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6" ht="12.75" x14ac:dyDescent="0.2">
      <c r="A92" s="121" t="str">
        <f t="shared" si="23"/>
        <v>Subvencione</v>
      </c>
      <c r="B92" s="1229">
        <f t="shared" si="23"/>
        <v>603</v>
      </c>
      <c r="C92" s="1230">
        <f t="shared" si="23"/>
        <v>0</v>
      </c>
      <c r="D92" s="1231">
        <f t="shared" si="23"/>
        <v>0</v>
      </c>
      <c r="E92" s="708"/>
      <c r="F92" s="708"/>
      <c r="G92" s="708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6" ht="12.75" x14ac:dyDescent="0.2">
      <c r="A93" s="121" t="str">
        <f t="shared" si="23"/>
        <v>Të tjera transferta korrente të brendshme</v>
      </c>
      <c r="B93" s="1229">
        <f t="shared" si="23"/>
        <v>604</v>
      </c>
      <c r="C93" s="1230">
        <f t="shared" si="23"/>
        <v>0</v>
      </c>
      <c r="D93" s="1231">
        <f t="shared" si="23"/>
        <v>0</v>
      </c>
      <c r="E93" s="708"/>
      <c r="F93" s="708"/>
      <c r="G93" s="708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6" ht="12.75" x14ac:dyDescent="0.2">
      <c r="A94" s="121" t="str">
        <f t="shared" si="23"/>
        <v>Transferta korrente të huaja</v>
      </c>
      <c r="B94" s="1229">
        <f t="shared" si="23"/>
        <v>605</v>
      </c>
      <c r="C94" s="1230">
        <f t="shared" si="23"/>
        <v>0</v>
      </c>
      <c r="D94" s="1231">
        <f t="shared" si="23"/>
        <v>0</v>
      </c>
      <c r="E94" s="708"/>
      <c r="F94" s="708"/>
      <c r="G94" s="708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6" ht="12.75" x14ac:dyDescent="0.2">
      <c r="A95" s="121" t="str">
        <f t="shared" si="23"/>
        <v>Transferta për Buxhetet Familiare dhe Individët</v>
      </c>
      <c r="B95" s="1229">
        <f t="shared" si="23"/>
        <v>606</v>
      </c>
      <c r="C95" s="1230">
        <f t="shared" si="23"/>
        <v>0</v>
      </c>
      <c r="D95" s="1231">
        <f t="shared" si="23"/>
        <v>0</v>
      </c>
      <c r="E95" s="708"/>
      <c r="F95" s="708"/>
      <c r="G95" s="708"/>
      <c r="H95" s="52"/>
      <c r="I95" s="276"/>
      <c r="J95" s="1286"/>
      <c r="K95" s="1286"/>
      <c r="L95" s="1286"/>
      <c r="M95" s="299" t="str">
        <f>IF(SUM(M92:M94)=M91,"OK","STOP")</f>
        <v>OK</v>
      </c>
      <c r="N95" s="299" t="str">
        <f>IF(SUM(N92:N94)=N91,"OK","STOP")</f>
        <v>OK</v>
      </c>
      <c r="O95" s="299" t="str">
        <f>IF(SUM(O92:O94)=O91,"OK","STOP")</f>
        <v>OK</v>
      </c>
      <c r="P95" s="96"/>
    </row>
    <row r="96" spans="1:16" ht="12.75" x14ac:dyDescent="0.2">
      <c r="A96" s="564" t="str">
        <f t="shared" si="23"/>
        <v>Shpenzimet kapitale</v>
      </c>
      <c r="B96" s="1256" t="str">
        <f t="shared" si="23"/>
        <v>230 / 231</v>
      </c>
      <c r="C96" s="1257">
        <f t="shared" si="23"/>
        <v>0</v>
      </c>
      <c r="D96" s="1258">
        <f t="shared" si="23"/>
        <v>0</v>
      </c>
      <c r="E96" s="713"/>
      <c r="F96" s="713"/>
      <c r="G96" s="713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23"/>
        <v>Rezerva</v>
      </c>
      <c r="B97" s="1229">
        <f t="shared" si="23"/>
        <v>609</v>
      </c>
      <c r="C97" s="1230">
        <f t="shared" si="23"/>
        <v>0</v>
      </c>
      <c r="D97" s="1231">
        <f t="shared" si="23"/>
        <v>0</v>
      </c>
      <c r="E97" s="708"/>
      <c r="F97" s="708"/>
      <c r="G97" s="708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23"/>
        <v>Interesa per kredi direkte ose bono</v>
      </c>
      <c r="B98" s="1259">
        <f t="shared" si="23"/>
        <v>650</v>
      </c>
      <c r="C98" s="1260">
        <f t="shared" si="23"/>
        <v>0</v>
      </c>
      <c r="D98" s="1261">
        <f t="shared" si="23"/>
        <v>0</v>
      </c>
      <c r="E98" s="708"/>
      <c r="F98" s="708"/>
      <c r="G98" s="708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783" t="str">
        <f>A45</f>
        <v>Të tjera</v>
      </c>
      <c r="B99" s="1229" t="str">
        <f>B45</f>
        <v>69 / ?</v>
      </c>
      <c r="C99" s="1230">
        <f>C45</f>
        <v>0</v>
      </c>
      <c r="D99" s="715" t="str">
        <f>IF(OR(E99&lt;0,F99&lt;0,G99&lt;0),"STOP","OK!")</f>
        <v>OK!</v>
      </c>
      <c r="E99" s="716">
        <f>-E87+E72-(SUM(E89:E98))</f>
        <v>0</v>
      </c>
      <c r="F99" s="717">
        <f>-F87+F72-(SUM(F89:F98))</f>
        <v>0</v>
      </c>
      <c r="G99" s="717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713">
        <f>SUM(E89:E99)</f>
        <v>288230000</v>
      </c>
      <c r="F100" s="713">
        <f>SUM(F89:F99)</f>
        <v>290508000</v>
      </c>
      <c r="G100" s="713">
        <f>SUM(G89:G99)</f>
        <v>293419060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709"/>
      <c r="B101" s="710"/>
      <c r="C101" s="711"/>
      <c r="D101" s="711"/>
      <c r="E101" s="276"/>
      <c r="F101" s="276"/>
      <c r="G101" s="712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21" t="str">
        <f>A48</f>
        <v>SHPENZIME TË PRITSHME</v>
      </c>
      <c r="B102" s="774">
        <f>B72</f>
        <v>188973007</v>
      </c>
      <c r="C102" s="774">
        <f>C72</f>
        <v>300083152</v>
      </c>
      <c r="D102" s="774">
        <f>D72</f>
        <v>423241564</v>
      </c>
      <c r="E102" s="713">
        <f>E87+E100</f>
        <v>370648688</v>
      </c>
      <c r="F102" s="713">
        <f>F87+F100</f>
        <v>312104860</v>
      </c>
      <c r="G102" s="713">
        <f>G87+G100</f>
        <v>311465283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6">A66</f>
        <v>Nënfunksioni 1</v>
      </c>
      <c r="B105" s="1225" t="str">
        <f t="shared" si="26"/>
        <v>011 Organet ekzekutive dhe legjislative, për çështjet financiare dhe fiskale, çështjet e brendshme</v>
      </c>
      <c r="C105" s="1225">
        <f t="shared" si="26"/>
        <v>0</v>
      </c>
      <c r="D105" s="1225">
        <f t="shared" si="26"/>
        <v>0</v>
      </c>
      <c r="E105" s="1225">
        <f t="shared" si="26"/>
        <v>0</v>
      </c>
      <c r="F105" s="1225">
        <f t="shared" si="26"/>
        <v>0</v>
      </c>
      <c r="G105" s="1225">
        <f t="shared" si="26"/>
        <v>0</v>
      </c>
      <c r="H105" s="1225">
        <f t="shared" si="26"/>
        <v>0</v>
      </c>
      <c r="I105" s="1225">
        <f t="shared" si="26"/>
        <v>0</v>
      </c>
      <c r="J105" s="1225">
        <f t="shared" si="26"/>
        <v>0</v>
      </c>
      <c r="K105" s="1225">
        <f t="shared" si="26"/>
        <v>0</v>
      </c>
      <c r="L105" s="1225">
        <f t="shared" si="26"/>
        <v>0</v>
      </c>
      <c r="M105" s="1225">
        <f t="shared" si="26"/>
        <v>0</v>
      </c>
      <c r="N105" s="1225">
        <f t="shared" si="26"/>
        <v>0</v>
      </c>
      <c r="O105" s="1225">
        <f t="shared" si="26"/>
        <v>0</v>
      </c>
    </row>
    <row r="106" spans="1:15" ht="17.25" customHeight="1" x14ac:dyDescent="0.2">
      <c r="A106" s="262" t="str">
        <f>A7</f>
        <v>Programi 1b</v>
      </c>
      <c r="B106" s="1225" t="str">
        <f>C7</f>
        <v>Çështje financiare dhe fiskale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262" t="str">
        <f>'(B3) Struktura Funksionale'!B9</f>
        <v>01120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7">A69</f>
        <v>SHPENZIME TË PRITSHME</v>
      </c>
      <c r="B108" s="1253">
        <f t="shared" si="27"/>
        <v>0</v>
      </c>
      <c r="C108" s="1253">
        <f t="shared" si="27"/>
        <v>0</v>
      </c>
      <c r="D108" s="1253">
        <f t="shared" si="27"/>
        <v>0</v>
      </c>
      <c r="E108" s="1253">
        <f t="shared" si="27"/>
        <v>0</v>
      </c>
      <c r="F108" s="1253">
        <f t="shared" si="27"/>
        <v>0</v>
      </c>
      <c r="G108" s="1254">
        <f t="shared" si="27"/>
        <v>0</v>
      </c>
      <c r="H108" s="128"/>
      <c r="I108" s="1255" t="str">
        <f t="shared" ref="I108:O108" si="28">I69</f>
        <v xml:space="preserve">TË ARDHURAT E PRITSHME </v>
      </c>
      <c r="J108" s="1253">
        <f t="shared" si="28"/>
        <v>0</v>
      </c>
      <c r="K108" s="1253">
        <f t="shared" si="28"/>
        <v>0</v>
      </c>
      <c r="L108" s="1253">
        <f t="shared" si="28"/>
        <v>0</v>
      </c>
      <c r="M108" s="1253">
        <f t="shared" si="28"/>
        <v>0</v>
      </c>
      <c r="N108" s="1253">
        <f t="shared" si="28"/>
        <v>0</v>
      </c>
      <c r="O108" s="1254">
        <f t="shared" si="28"/>
        <v>0</v>
      </c>
    </row>
    <row r="109" spans="1:15" ht="21" customHeight="1" x14ac:dyDescent="0.2">
      <c r="A109" s="202"/>
      <c r="B109" s="363">
        <f t="shared" ref="B109:G109" si="29">B70</f>
        <v>2019</v>
      </c>
      <c r="C109" s="363">
        <f t="shared" si="29"/>
        <v>2020</v>
      </c>
      <c r="D109" s="363">
        <f t="shared" si="29"/>
        <v>2021</v>
      </c>
      <c r="E109" s="238">
        <f t="shared" si="29"/>
        <v>2022</v>
      </c>
      <c r="F109" s="238">
        <f t="shared" si="29"/>
        <v>2023</v>
      </c>
      <c r="G109" s="238">
        <f t="shared" si="29"/>
        <v>2024</v>
      </c>
      <c r="H109" s="203"/>
      <c r="I109" s="360"/>
      <c r="J109" s="363">
        <f t="shared" ref="J109:O109" si="30">J70</f>
        <v>2019</v>
      </c>
      <c r="K109" s="363">
        <f t="shared" si="30"/>
        <v>2020</v>
      </c>
      <c r="L109" s="363">
        <f t="shared" si="30"/>
        <v>2021</v>
      </c>
      <c r="M109" s="238">
        <f t="shared" si="30"/>
        <v>2022</v>
      </c>
      <c r="N109" s="238">
        <f t="shared" si="30"/>
        <v>2023</v>
      </c>
      <c r="O109" s="238">
        <f t="shared" si="30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>I72</f>
        <v>VLERËSIM I ARDHURAVE NGA TARIFAT</v>
      </c>
      <c r="J111" s="1227"/>
      <c r="K111" s="1227"/>
      <c r="L111" s="1227"/>
      <c r="M111" s="1227"/>
      <c r="N111" s="1227"/>
      <c r="O111" s="1228"/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31">A74</f>
        <v>SHPENZIME TË PRITSHME</v>
      </c>
      <c r="B113" s="1233">
        <f t="shared" si="31"/>
        <v>0</v>
      </c>
      <c r="C113" s="1233">
        <f t="shared" si="31"/>
        <v>0</v>
      </c>
      <c r="D113" s="1233">
        <f t="shared" si="31"/>
        <v>0</v>
      </c>
      <c r="E113" s="1233">
        <f t="shared" si="31"/>
        <v>0</v>
      </c>
      <c r="F113" s="1233">
        <f t="shared" si="31"/>
        <v>0</v>
      </c>
      <c r="G113" s="1234">
        <f t="shared" si="31"/>
        <v>0</v>
      </c>
      <c r="H113" s="10"/>
    </row>
    <row r="114" spans="1:15" ht="12.75" x14ac:dyDescent="0.2">
      <c r="A114" s="1226" t="str">
        <f t="shared" si="31"/>
        <v>KOSTO DIREKTE PËR PROJEKTET DHE SHPENZIMET KAPITALE</v>
      </c>
      <c r="B114" s="1227">
        <f t="shared" si="31"/>
        <v>0</v>
      </c>
      <c r="C114" s="1227">
        <f t="shared" si="31"/>
        <v>0</v>
      </c>
      <c r="D114" s="1227">
        <f t="shared" si="31"/>
        <v>0</v>
      </c>
      <c r="E114" s="1227">
        <f t="shared" si="31"/>
        <v>0</v>
      </c>
      <c r="F114" s="1227">
        <f t="shared" si="31"/>
        <v>0</v>
      </c>
      <c r="G114" s="1228">
        <f t="shared" si="31"/>
        <v>0</v>
      </c>
      <c r="H114" s="30"/>
      <c r="I114" s="1226" t="str">
        <f t="shared" ref="I114:I119" si="32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3">A76</f>
        <v>Pagat</v>
      </c>
      <c r="B115" s="1229">
        <f t="shared" si="33"/>
        <v>600</v>
      </c>
      <c r="C115" s="1230">
        <f t="shared" si="33"/>
        <v>0</v>
      </c>
      <c r="D115" s="1231">
        <f t="shared" si="33"/>
        <v>0</v>
      </c>
      <c r="E115" s="126"/>
      <c r="F115" s="126"/>
      <c r="G115" s="126"/>
      <c r="H115" s="30"/>
      <c r="I115" s="339" t="str">
        <f t="shared" si="32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3"/>
        <v>Sigurimet Shoqërore</v>
      </c>
      <c r="B116" s="1229">
        <f t="shared" si="33"/>
        <v>601</v>
      </c>
      <c r="C116" s="1230">
        <f t="shared" si="33"/>
        <v>0</v>
      </c>
      <c r="D116" s="1231">
        <f t="shared" si="33"/>
        <v>0</v>
      </c>
      <c r="E116" s="126"/>
      <c r="F116" s="126"/>
      <c r="G116" s="126"/>
      <c r="H116" s="30"/>
      <c r="I116" s="339" t="str">
        <f t="shared" si="32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3"/>
        <v>Mallra dhe shërbime</v>
      </c>
      <c r="B117" s="1229">
        <f t="shared" si="33"/>
        <v>602</v>
      </c>
      <c r="C117" s="1230">
        <f t="shared" si="33"/>
        <v>0</v>
      </c>
      <c r="D117" s="1231">
        <f t="shared" si="33"/>
        <v>0</v>
      </c>
      <c r="E117" s="126"/>
      <c r="F117" s="126"/>
      <c r="G117" s="126"/>
      <c r="H117" s="52"/>
      <c r="I117" s="339" t="str">
        <f t="shared" si="32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3"/>
        <v>Subvencione</v>
      </c>
      <c r="B118" s="1229">
        <f t="shared" si="33"/>
        <v>603</v>
      </c>
      <c r="C118" s="1230">
        <f t="shared" si="33"/>
        <v>0</v>
      </c>
      <c r="D118" s="1231">
        <f t="shared" si="33"/>
        <v>0</v>
      </c>
      <c r="E118" s="126"/>
      <c r="F118" s="126"/>
      <c r="G118" s="126"/>
      <c r="H118" s="8"/>
      <c r="I118" s="339" t="str">
        <f t="shared" si="32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3"/>
        <v>Të tjera transferta korrente të brendshme</v>
      </c>
      <c r="B119" s="1229">
        <f t="shared" si="33"/>
        <v>604</v>
      </c>
      <c r="C119" s="1230">
        <f t="shared" si="33"/>
        <v>0</v>
      </c>
      <c r="D119" s="1231">
        <f t="shared" si="33"/>
        <v>0</v>
      </c>
      <c r="E119" s="126"/>
      <c r="F119" s="126"/>
      <c r="G119" s="126"/>
      <c r="H119" s="52"/>
      <c r="I119" s="339" t="str">
        <f t="shared" si="32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3"/>
        <v>Transferta korrente të huaja</v>
      </c>
      <c r="B120" s="1229">
        <f t="shared" si="33"/>
        <v>605</v>
      </c>
      <c r="C120" s="1230">
        <f t="shared" si="33"/>
        <v>0</v>
      </c>
      <c r="D120" s="1231">
        <f t="shared" si="33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3"/>
        <v>Transferta për Buxhetet Familiare dhe Individët</v>
      </c>
      <c r="B121" s="1229">
        <f t="shared" si="33"/>
        <v>606</v>
      </c>
      <c r="C121" s="1230">
        <f t="shared" si="33"/>
        <v>0</v>
      </c>
      <c r="D121" s="1231">
        <f t="shared" si="33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3"/>
        <v>Shpenzimet kapitale</v>
      </c>
      <c r="B122" s="1229" t="str">
        <f t="shared" si="33"/>
        <v>230 / 231</v>
      </c>
      <c r="C122" s="1230">
        <f t="shared" si="33"/>
        <v>0</v>
      </c>
      <c r="D122" s="1231">
        <f t="shared" si="33"/>
        <v>0</v>
      </c>
      <c r="E122" s="36"/>
      <c r="F122" s="36"/>
      <c r="G122" s="36"/>
      <c r="H122" s="52"/>
    </row>
    <row r="123" spans="1:15" ht="12.75" x14ac:dyDescent="0.2">
      <c r="A123" s="121" t="str">
        <f t="shared" si="33"/>
        <v>Rezerva</v>
      </c>
      <c r="B123" s="1229">
        <f t="shared" si="33"/>
        <v>609</v>
      </c>
      <c r="C123" s="1230">
        <f t="shared" si="33"/>
        <v>0</v>
      </c>
      <c r="D123" s="1231">
        <f t="shared" si="33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3"/>
        <v>Interesa per kredi direkte ose bono</v>
      </c>
      <c r="B124" s="1229">
        <f t="shared" si="33"/>
        <v>650</v>
      </c>
      <c r="C124" s="1230">
        <f t="shared" si="33"/>
        <v>0</v>
      </c>
      <c r="D124" s="1231">
        <f t="shared" si="33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3"/>
        <v>Të tjera</v>
      </c>
      <c r="B125" s="1229" t="str">
        <f t="shared" si="33"/>
        <v>69 / ?</v>
      </c>
      <c r="C125" s="1230">
        <f t="shared" si="33"/>
        <v>0</v>
      </c>
      <c r="D125" s="1231">
        <f t="shared" si="33"/>
        <v>0</v>
      </c>
      <c r="E125" s="126"/>
      <c r="F125" s="126"/>
      <c r="G125" s="126"/>
      <c r="H125" s="52"/>
      <c r="I125" s="1235" t="str">
        <f t="shared" ref="I125:O126" si="34">I86</f>
        <v>SHUMA E KËRKUAR NETO</v>
      </c>
      <c r="J125" s="1236">
        <f t="shared" si="34"/>
        <v>0</v>
      </c>
      <c r="K125" s="1236">
        <f t="shared" si="34"/>
        <v>0</v>
      </c>
      <c r="L125" s="1236">
        <f t="shared" si="34"/>
        <v>0</v>
      </c>
      <c r="M125" s="1236">
        <f t="shared" si="34"/>
        <v>0</v>
      </c>
      <c r="N125" s="1236">
        <f t="shared" si="34"/>
        <v>0</v>
      </c>
      <c r="O125" s="1237">
        <f t="shared" si="34"/>
        <v>0</v>
      </c>
    </row>
    <row r="126" spans="1:15" ht="12.75" customHeight="1" x14ac:dyDescent="0.2">
      <c r="A126" s="268" t="str">
        <f t="shared" si="33"/>
        <v>KOSTO DIREKTE PËR PROJEKTET DHE SHPENZIMET KAPITALE</v>
      </c>
      <c r="B126" s="1229">
        <f t="shared" si="33"/>
        <v>0</v>
      </c>
      <c r="C126" s="1230">
        <f t="shared" si="33"/>
        <v>0</v>
      </c>
      <c r="D126" s="1231">
        <f t="shared" si="33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4"/>
        <v>0</v>
      </c>
      <c r="J126" s="1239">
        <f t="shared" si="34"/>
        <v>0</v>
      </c>
      <c r="K126" s="1239">
        <f t="shared" si="34"/>
        <v>0</v>
      </c>
      <c r="L126" s="1239">
        <f t="shared" si="34"/>
        <v>0</v>
      </c>
      <c r="M126" s="1239">
        <f t="shared" si="34"/>
        <v>0</v>
      </c>
      <c r="N126" s="1239">
        <f t="shared" si="34"/>
        <v>0</v>
      </c>
      <c r="O126" s="1240">
        <f t="shared" si="34"/>
        <v>0</v>
      </c>
    </row>
    <row r="127" spans="1:15" ht="12.75" x14ac:dyDescent="0.2">
      <c r="A127" s="1226" t="str">
        <f t="shared" si="33"/>
        <v>SHPENZIME KORRENTE</v>
      </c>
      <c r="B127" s="1227">
        <f t="shared" si="33"/>
        <v>0</v>
      </c>
      <c r="C127" s="1227">
        <f t="shared" si="33"/>
        <v>0</v>
      </c>
      <c r="D127" s="1227">
        <f t="shared" si="33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780">
        <f t="shared" ref="J127:O127" si="35">B111-J121</f>
        <v>0</v>
      </c>
      <c r="K127" s="18">
        <f t="shared" si="35"/>
        <v>0</v>
      </c>
      <c r="L127" s="18">
        <f t="shared" si="35"/>
        <v>0</v>
      </c>
      <c r="M127" s="18">
        <f t="shared" si="35"/>
        <v>0</v>
      </c>
      <c r="N127" s="18">
        <f t="shared" si="35"/>
        <v>0</v>
      </c>
      <c r="O127" s="18">
        <f t="shared" si="35"/>
        <v>0</v>
      </c>
    </row>
    <row r="128" spans="1:15" ht="12.75" x14ac:dyDescent="0.2">
      <c r="A128" s="121" t="str">
        <f t="shared" si="33"/>
        <v>Pagat</v>
      </c>
      <c r="B128" s="1229">
        <f t="shared" si="33"/>
        <v>600</v>
      </c>
      <c r="C128" s="1230">
        <f t="shared" si="33"/>
        <v>0</v>
      </c>
      <c r="D128" s="1231">
        <f t="shared" si="33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3"/>
        <v>Sigurimet Shoqërore</v>
      </c>
      <c r="B129" s="1229">
        <f t="shared" si="33"/>
        <v>601</v>
      </c>
      <c r="C129" s="1230">
        <f t="shared" si="33"/>
        <v>0</v>
      </c>
      <c r="D129" s="1231">
        <f t="shared" si="33"/>
        <v>0</v>
      </c>
      <c r="E129" s="36"/>
      <c r="F129" s="36"/>
      <c r="G129" s="36"/>
      <c r="H129" s="52"/>
    </row>
    <row r="130" spans="1:15" ht="12.75" x14ac:dyDescent="0.2">
      <c r="A130" s="121" t="str">
        <f t="shared" si="33"/>
        <v>Mallra dhe shërbime</v>
      </c>
      <c r="B130" s="1229">
        <f t="shared" si="33"/>
        <v>602</v>
      </c>
      <c r="C130" s="1230">
        <f t="shared" si="33"/>
        <v>0</v>
      </c>
      <c r="D130" s="1231">
        <f t="shared" si="33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3"/>
        <v>Subvencione</v>
      </c>
      <c r="B131" s="1229">
        <f t="shared" si="33"/>
        <v>603</v>
      </c>
      <c r="C131" s="1230">
        <f t="shared" si="33"/>
        <v>0</v>
      </c>
      <c r="D131" s="1231">
        <f t="shared" si="33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3"/>
        <v>Të tjera transferta korrente të brendshme</v>
      </c>
      <c r="B132" s="1229">
        <f t="shared" si="33"/>
        <v>604</v>
      </c>
      <c r="C132" s="1230">
        <f t="shared" si="33"/>
        <v>0</v>
      </c>
      <c r="D132" s="1231">
        <f t="shared" si="33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3"/>
        <v>Transferta korrente të huaja</v>
      </c>
      <c r="B133" s="1229">
        <f t="shared" si="33"/>
        <v>605</v>
      </c>
      <c r="C133" s="1230">
        <f t="shared" si="33"/>
        <v>0</v>
      </c>
      <c r="D133" s="1231">
        <f t="shared" si="33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3"/>
        <v>Transferta për Buxhetet Familiare dhe Individët</v>
      </c>
      <c r="B134" s="1229">
        <f t="shared" si="33"/>
        <v>606</v>
      </c>
      <c r="C134" s="1230">
        <f t="shared" si="33"/>
        <v>0</v>
      </c>
      <c r="D134" s="1231">
        <f t="shared" si="33"/>
        <v>0</v>
      </c>
      <c r="E134" s="36"/>
      <c r="F134" s="36"/>
      <c r="G134" s="36"/>
      <c r="H134" s="52"/>
      <c r="I134" s="276"/>
      <c r="J134" s="1286"/>
      <c r="K134" s="1286"/>
      <c r="L134" s="1286"/>
      <c r="M134" s="299" t="str">
        <f>IF(SUM(M131:M133)=M130,"OK","STOP")</f>
        <v>OK</v>
      </c>
      <c r="N134" s="299" t="str">
        <f>IF(SUM(N131:N133)=N130,"OK","STOP")</f>
        <v>OK</v>
      </c>
      <c r="O134" s="299" t="str">
        <f>IF(SUM(O131:O133)=O130,"OK","STOP")</f>
        <v>OK</v>
      </c>
    </row>
    <row r="135" spans="1:15" ht="12.75" x14ac:dyDescent="0.2">
      <c r="A135" s="564" t="str">
        <f t="shared" si="33"/>
        <v>Shpenzimet kapitale</v>
      </c>
      <c r="B135" s="1256" t="str">
        <f t="shared" si="33"/>
        <v>230 / 231</v>
      </c>
      <c r="C135" s="1257">
        <f t="shared" si="33"/>
        <v>0</v>
      </c>
      <c r="D135" s="1258">
        <f t="shared" si="33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3"/>
        <v>Rezerva</v>
      </c>
      <c r="B136" s="1229">
        <f t="shared" si="33"/>
        <v>609</v>
      </c>
      <c r="C136" s="1230">
        <f t="shared" si="33"/>
        <v>0</v>
      </c>
      <c r="D136" s="1231">
        <f t="shared" si="33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3"/>
        <v>Interesa per kredi direkte ose bono</v>
      </c>
      <c r="B137" s="1259">
        <f t="shared" si="33"/>
        <v>650</v>
      </c>
      <c r="C137" s="1260">
        <f t="shared" si="33"/>
        <v>0</v>
      </c>
      <c r="D137" s="1261">
        <f t="shared" si="33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3" spans="1:15" ht="17.25" hidden="1" customHeight="1" x14ac:dyDescent="0.2"/>
    <row r="144" spans="1:15" ht="17.25" hidden="1" customHeight="1" x14ac:dyDescent="0.2">
      <c r="A144" s="204" t="str">
        <f t="shared" ref="A144:O144" si="36">A66</f>
        <v>Nënfunksioni 1</v>
      </c>
      <c r="B144" s="1225" t="str">
        <f t="shared" si="36"/>
        <v>011 Organet ekzekutive dhe legjislative, për çështjet financiare dhe fiskale, çështjet e brendshme</v>
      </c>
      <c r="C144" s="1225">
        <f t="shared" si="36"/>
        <v>0</v>
      </c>
      <c r="D144" s="1225">
        <f t="shared" si="36"/>
        <v>0</v>
      </c>
      <c r="E144" s="1225">
        <f t="shared" si="36"/>
        <v>0</v>
      </c>
      <c r="F144" s="1225">
        <f t="shared" si="36"/>
        <v>0</v>
      </c>
      <c r="G144" s="1225">
        <f t="shared" si="36"/>
        <v>0</v>
      </c>
      <c r="H144" s="1225">
        <f t="shared" si="36"/>
        <v>0</v>
      </c>
      <c r="I144" s="1225">
        <f t="shared" si="36"/>
        <v>0</v>
      </c>
      <c r="J144" s="1225">
        <f t="shared" si="36"/>
        <v>0</v>
      </c>
      <c r="K144" s="1225">
        <f t="shared" si="36"/>
        <v>0</v>
      </c>
      <c r="L144" s="1225">
        <f t="shared" si="36"/>
        <v>0</v>
      </c>
      <c r="M144" s="1225">
        <f t="shared" si="36"/>
        <v>0</v>
      </c>
      <c r="N144" s="1225">
        <f t="shared" si="36"/>
        <v>0</v>
      </c>
      <c r="O144" s="1225">
        <f t="shared" si="36"/>
        <v>0</v>
      </c>
    </row>
    <row r="145" spans="1:15" ht="17.25" hidden="1" customHeight="1" x14ac:dyDescent="0.2">
      <c r="A145" s="262" t="str">
        <f>A8</f>
        <v>Programi 1c</v>
      </c>
      <c r="B145" s="1225" t="str">
        <f>C8</f>
        <v>Sherbime të pergjithshme publike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hidden="1" customHeight="1" x14ac:dyDescent="0.2">
      <c r="A146" s="262" t="str">
        <f>'(B3) Struktura Funksionale'!B10</f>
        <v>01130</v>
      </c>
      <c r="B146" s="485"/>
      <c r="C146" s="485"/>
      <c r="D146" s="485"/>
      <c r="E146" s="485"/>
      <c r="F146" s="485"/>
      <c r="G146" s="486"/>
      <c r="H146" s="487"/>
      <c r="I146" s="488"/>
      <c r="J146" s="485"/>
      <c r="K146" s="485"/>
      <c r="L146" s="485"/>
      <c r="M146" s="485"/>
      <c r="N146" s="485"/>
      <c r="O146" s="486"/>
    </row>
    <row r="147" spans="1:15" ht="22.5" hidden="1" customHeight="1" x14ac:dyDescent="0.2">
      <c r="A147" s="1221" t="str">
        <f t="shared" ref="A147:G147" si="37">A69</f>
        <v>SHPENZIME TË PRITSHME</v>
      </c>
      <c r="B147" s="1222">
        <f t="shared" si="37"/>
        <v>0</v>
      </c>
      <c r="C147" s="1222">
        <f t="shared" si="37"/>
        <v>0</v>
      </c>
      <c r="D147" s="1222">
        <f t="shared" si="37"/>
        <v>0</v>
      </c>
      <c r="E147" s="1222">
        <f t="shared" si="37"/>
        <v>0</v>
      </c>
      <c r="F147" s="1222">
        <f t="shared" si="37"/>
        <v>0</v>
      </c>
      <c r="G147" s="1242">
        <f t="shared" si="37"/>
        <v>0</v>
      </c>
      <c r="H147" s="128"/>
      <c r="I147" s="1243" t="str">
        <f t="shared" ref="I147:O147" si="38">I69</f>
        <v xml:space="preserve">TË ARDHURAT E PRITSHME </v>
      </c>
      <c r="J147" s="1222">
        <f t="shared" si="38"/>
        <v>0</v>
      </c>
      <c r="K147" s="1222">
        <f t="shared" si="38"/>
        <v>0</v>
      </c>
      <c r="L147" s="1222">
        <f t="shared" si="38"/>
        <v>0</v>
      </c>
      <c r="M147" s="1222">
        <f t="shared" si="38"/>
        <v>0</v>
      </c>
      <c r="N147" s="1222">
        <f t="shared" si="38"/>
        <v>0</v>
      </c>
      <c r="O147" s="1242">
        <f t="shared" si="38"/>
        <v>0</v>
      </c>
    </row>
    <row r="148" spans="1:15" ht="20.25" hidden="1" customHeight="1" x14ac:dyDescent="0.2">
      <c r="A148" s="202"/>
      <c r="B148" s="363">
        <f t="shared" ref="B148:G148" si="39">B70</f>
        <v>2019</v>
      </c>
      <c r="C148" s="363">
        <f t="shared" si="39"/>
        <v>2020</v>
      </c>
      <c r="D148" s="363">
        <f t="shared" si="39"/>
        <v>2021</v>
      </c>
      <c r="E148" s="238">
        <f t="shared" si="39"/>
        <v>2022</v>
      </c>
      <c r="F148" s="238">
        <f t="shared" si="39"/>
        <v>2023</v>
      </c>
      <c r="G148" s="238">
        <f t="shared" si="39"/>
        <v>2024</v>
      </c>
      <c r="H148" s="203"/>
      <c r="I148" s="269"/>
      <c r="J148" s="236">
        <f t="shared" ref="J148:O148" si="40">J70</f>
        <v>2019</v>
      </c>
      <c r="K148" s="236">
        <f t="shared" si="40"/>
        <v>2020</v>
      </c>
      <c r="L148" s="236">
        <f t="shared" si="40"/>
        <v>2021</v>
      </c>
      <c r="M148" s="237">
        <f t="shared" si="40"/>
        <v>2022</v>
      </c>
      <c r="N148" s="237">
        <f t="shared" si="40"/>
        <v>2023</v>
      </c>
      <c r="O148" s="237">
        <f t="shared" si="40"/>
        <v>2024</v>
      </c>
    </row>
    <row r="149" spans="1:15" ht="12.75" hidden="1" customHeight="1" x14ac:dyDescent="0.2">
      <c r="A149" s="369"/>
      <c r="B149" s="302"/>
      <c r="C149" s="303"/>
      <c r="D149" s="304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hidden="1" customHeight="1" x14ac:dyDescent="0.2">
      <c r="A150" s="134" t="str">
        <f>A72</f>
        <v>SHPENZIME TË PRITSHME</v>
      </c>
      <c r="B150" s="301">
        <f>VLOOKUP(A145,'(C1) Shpenzimet vitet e kaluara'!A$9:O$177,5,FALSE)</f>
        <v>0</v>
      </c>
      <c r="C150" s="301">
        <f>VLOOKUP(A145,'(C1) Shpenzimet vitet e kaluara'!A$9:O$177,9,FALSE)</f>
        <v>0</v>
      </c>
      <c r="D150" s="301">
        <f>VLOOKUP(A145,'(C1) Shpenzimet vitet e kaluara'!A$9:O$177,13,FALSE)</f>
        <v>0</v>
      </c>
      <c r="E150" s="36"/>
      <c r="F150" s="36"/>
      <c r="G150" s="36"/>
      <c r="I150" s="1226" t="str">
        <f t="shared" ref="I150:O150" si="41">I72</f>
        <v>VLERËSIM I ARDHURAVE NGA TARIFAT</v>
      </c>
      <c r="J150" s="1227">
        <f t="shared" si="41"/>
        <v>0</v>
      </c>
      <c r="K150" s="1227">
        <f t="shared" si="41"/>
        <v>0</v>
      </c>
      <c r="L150" s="1227">
        <f t="shared" si="41"/>
        <v>0</v>
      </c>
      <c r="M150" s="1227">
        <f t="shared" si="41"/>
        <v>0</v>
      </c>
      <c r="N150" s="1227">
        <f t="shared" si="41"/>
        <v>0</v>
      </c>
      <c r="O150" s="1228">
        <f t="shared" si="41"/>
        <v>0</v>
      </c>
    </row>
    <row r="151" spans="1:15" ht="12.75" hidden="1" customHeight="1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hidden="1" customHeight="1" x14ac:dyDescent="0.2">
      <c r="A152" s="1232" t="str">
        <f t="shared" ref="A152:G153" si="42">A74</f>
        <v>SHPENZIME TË PRITSHME</v>
      </c>
      <c r="B152" s="1233">
        <f t="shared" si="42"/>
        <v>0</v>
      </c>
      <c r="C152" s="1233">
        <f t="shared" si="42"/>
        <v>0</v>
      </c>
      <c r="D152" s="1233">
        <f t="shared" si="42"/>
        <v>0</v>
      </c>
      <c r="E152" s="1233">
        <f t="shared" si="42"/>
        <v>0</v>
      </c>
      <c r="F152" s="1233">
        <f t="shared" si="42"/>
        <v>0</v>
      </c>
      <c r="G152" s="1234">
        <f t="shared" si="42"/>
        <v>0</v>
      </c>
      <c r="H152" s="10"/>
    </row>
    <row r="153" spans="1:15" ht="12.75" hidden="1" customHeight="1" x14ac:dyDescent="0.2">
      <c r="A153" s="1226" t="str">
        <f t="shared" si="42"/>
        <v>KOSTO DIREKTE PËR PROJEKTET DHE SHPENZIMET KAPITALE</v>
      </c>
      <c r="B153" s="1227">
        <f t="shared" si="42"/>
        <v>0</v>
      </c>
      <c r="C153" s="1227">
        <f t="shared" si="42"/>
        <v>0</v>
      </c>
      <c r="D153" s="1227">
        <f t="shared" si="42"/>
        <v>0</v>
      </c>
      <c r="E153" s="1227">
        <f t="shared" si="42"/>
        <v>0</v>
      </c>
      <c r="F153" s="1227">
        <f t="shared" si="42"/>
        <v>0</v>
      </c>
      <c r="G153" s="1228">
        <f t="shared" si="42"/>
        <v>0</v>
      </c>
      <c r="H153" s="30"/>
      <c r="I153" s="1226" t="str">
        <f t="shared" ref="I153:I158" si="43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hidden="1" customHeight="1" x14ac:dyDescent="0.2">
      <c r="A154" s="121" t="str">
        <f t="shared" ref="A154:D176" si="44">A76</f>
        <v>Pagat</v>
      </c>
      <c r="B154" s="1229">
        <f t="shared" si="44"/>
        <v>600</v>
      </c>
      <c r="C154" s="1230">
        <f t="shared" si="44"/>
        <v>0</v>
      </c>
      <c r="D154" s="1231">
        <f t="shared" si="44"/>
        <v>0</v>
      </c>
      <c r="E154" s="36"/>
      <c r="F154" s="36"/>
      <c r="G154" s="36"/>
      <c r="H154" s="30"/>
      <c r="I154" s="339" t="str">
        <f t="shared" si="43"/>
        <v>Transferta e kushtëzuar</v>
      </c>
      <c r="J154" s="336"/>
      <c r="K154" s="338"/>
      <c r="L154" s="337"/>
      <c r="M154" s="125"/>
      <c r="N154" s="125"/>
      <c r="O154" s="129"/>
    </row>
    <row r="155" spans="1:15" ht="12.75" hidden="1" customHeight="1" x14ac:dyDescent="0.2">
      <c r="A155" s="121" t="str">
        <f t="shared" si="44"/>
        <v>Sigurimet Shoqërore</v>
      </c>
      <c r="B155" s="1229">
        <f t="shared" si="44"/>
        <v>601</v>
      </c>
      <c r="C155" s="1230">
        <f t="shared" si="44"/>
        <v>0</v>
      </c>
      <c r="D155" s="1231">
        <f t="shared" si="44"/>
        <v>0</v>
      </c>
      <c r="E155" s="36"/>
      <c r="F155" s="36"/>
      <c r="G155" s="36"/>
      <c r="H155" s="30"/>
      <c r="I155" s="339" t="str">
        <f t="shared" si="43"/>
        <v>Trasferta Specifike</v>
      </c>
      <c r="J155" s="336"/>
      <c r="K155" s="338"/>
      <c r="L155" s="337"/>
      <c r="M155" s="125"/>
      <c r="N155" s="125"/>
      <c r="O155" s="129"/>
    </row>
    <row r="156" spans="1:15" ht="12.75" hidden="1" customHeight="1" x14ac:dyDescent="0.2">
      <c r="A156" s="121" t="str">
        <f t="shared" si="44"/>
        <v>Mallra dhe shërbime</v>
      </c>
      <c r="B156" s="1229">
        <f t="shared" si="44"/>
        <v>602</v>
      </c>
      <c r="C156" s="1230">
        <f t="shared" si="44"/>
        <v>0</v>
      </c>
      <c r="D156" s="1231">
        <f t="shared" si="44"/>
        <v>0</v>
      </c>
      <c r="E156" s="36"/>
      <c r="F156" s="36"/>
      <c r="G156" s="36"/>
      <c r="H156" s="52"/>
      <c r="I156" s="339" t="str">
        <f t="shared" si="43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hidden="1" customHeight="1" x14ac:dyDescent="0.2">
      <c r="A157" s="121" t="str">
        <f t="shared" si="44"/>
        <v>Subvencione</v>
      </c>
      <c r="B157" s="1229">
        <f t="shared" si="44"/>
        <v>603</v>
      </c>
      <c r="C157" s="1230">
        <f t="shared" si="44"/>
        <v>0</v>
      </c>
      <c r="D157" s="1231">
        <f t="shared" si="44"/>
        <v>0</v>
      </c>
      <c r="E157" s="36"/>
      <c r="F157" s="36"/>
      <c r="G157" s="36"/>
      <c r="H157" s="8"/>
      <c r="I157" s="339" t="str">
        <f t="shared" si="43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hidden="1" customHeight="1" x14ac:dyDescent="0.2">
      <c r="A158" s="121" t="str">
        <f t="shared" si="44"/>
        <v>Të tjera transferta korrente të brendshme</v>
      </c>
      <c r="B158" s="1229">
        <f t="shared" si="44"/>
        <v>604</v>
      </c>
      <c r="C158" s="1230">
        <f t="shared" si="44"/>
        <v>0</v>
      </c>
      <c r="D158" s="1231">
        <f t="shared" si="44"/>
        <v>0</v>
      </c>
      <c r="E158" s="36"/>
      <c r="F158" s="36"/>
      <c r="G158" s="36"/>
      <c r="H158" s="52"/>
      <c r="I158" s="339" t="str">
        <f t="shared" si="43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hidden="1" customHeight="1" x14ac:dyDescent="0.2">
      <c r="A159" s="121" t="str">
        <f t="shared" si="44"/>
        <v>Transferta korrente të huaja</v>
      </c>
      <c r="B159" s="1229">
        <f t="shared" si="44"/>
        <v>605</v>
      </c>
      <c r="C159" s="1230">
        <f t="shared" si="44"/>
        <v>0</v>
      </c>
      <c r="D159" s="1231">
        <f t="shared" si="44"/>
        <v>0</v>
      </c>
      <c r="E159" s="36"/>
      <c r="F159" s="36"/>
      <c r="G159" s="36"/>
      <c r="H159" s="52"/>
    </row>
    <row r="160" spans="1:15" ht="12.75" hidden="1" customHeight="1" x14ac:dyDescent="0.2">
      <c r="A160" s="121" t="str">
        <f t="shared" si="44"/>
        <v>Transferta për Buxhetet Familiare dhe Individët</v>
      </c>
      <c r="B160" s="1229">
        <f t="shared" si="44"/>
        <v>606</v>
      </c>
      <c r="C160" s="1230">
        <f t="shared" si="44"/>
        <v>0</v>
      </c>
      <c r="D160" s="1231">
        <f t="shared" si="44"/>
        <v>0</v>
      </c>
      <c r="E160" s="36"/>
      <c r="F160" s="36"/>
      <c r="G160" s="3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M158+M151+M159</f>
        <v>0</v>
      </c>
      <c r="N160" s="126">
        <f>N158+N151+N159</f>
        <v>0</v>
      </c>
      <c r="O160" s="126">
        <f>O158+O151+O159</f>
        <v>0</v>
      </c>
    </row>
    <row r="161" spans="1:15" ht="12.75" hidden="1" customHeight="1" x14ac:dyDescent="0.2">
      <c r="A161" s="121" t="str">
        <f t="shared" si="44"/>
        <v>Shpenzimet kapitale</v>
      </c>
      <c r="B161" s="1229" t="str">
        <f t="shared" si="44"/>
        <v>230 / 231</v>
      </c>
      <c r="C161" s="1230">
        <f t="shared" si="44"/>
        <v>0</v>
      </c>
      <c r="D161" s="1231">
        <f t="shared" si="44"/>
        <v>0</v>
      </c>
      <c r="E161" s="36"/>
      <c r="F161" s="36"/>
      <c r="G161" s="36"/>
      <c r="H161" s="52"/>
    </row>
    <row r="162" spans="1:15" ht="12.75" hidden="1" customHeight="1" x14ac:dyDescent="0.2">
      <c r="A162" s="121" t="str">
        <f t="shared" si="44"/>
        <v>Rezerva</v>
      </c>
      <c r="B162" s="1229">
        <f t="shared" si="44"/>
        <v>609</v>
      </c>
      <c r="C162" s="1230">
        <f t="shared" si="44"/>
        <v>0</v>
      </c>
      <c r="D162" s="1231">
        <f t="shared" si="44"/>
        <v>0</v>
      </c>
      <c r="E162" s="36"/>
      <c r="F162" s="36"/>
      <c r="G162" s="36"/>
      <c r="H162" s="52"/>
    </row>
    <row r="163" spans="1:15" ht="12.75" hidden="1" customHeight="1" x14ac:dyDescent="0.2">
      <c r="A163" s="121" t="str">
        <f t="shared" si="44"/>
        <v>Interesa per kredi direkte ose bono</v>
      </c>
      <c r="B163" s="1229">
        <f t="shared" si="44"/>
        <v>650</v>
      </c>
      <c r="C163" s="1230">
        <f t="shared" si="44"/>
        <v>0</v>
      </c>
      <c r="D163" s="1231">
        <f t="shared" si="44"/>
        <v>0</v>
      </c>
      <c r="E163" s="36"/>
      <c r="F163" s="36"/>
      <c r="G163" s="36"/>
      <c r="H163" s="52"/>
    </row>
    <row r="164" spans="1:15" ht="12.75" hidden="1" customHeight="1" x14ac:dyDescent="0.2">
      <c r="A164" s="121" t="str">
        <f t="shared" si="44"/>
        <v>Të tjera</v>
      </c>
      <c r="B164" s="1229" t="str">
        <f t="shared" si="44"/>
        <v>69 / ?</v>
      </c>
      <c r="C164" s="1230">
        <f t="shared" si="44"/>
        <v>0</v>
      </c>
      <c r="D164" s="1231">
        <f t="shared" si="44"/>
        <v>0</v>
      </c>
      <c r="E164" s="36"/>
      <c r="F164" s="36"/>
      <c r="G164" s="36"/>
      <c r="H164" s="52"/>
      <c r="I164" s="1235" t="str">
        <f t="shared" ref="I164:O165" si="45">I86</f>
        <v>SHUMA E KËRKUAR NETO</v>
      </c>
      <c r="J164" s="1236">
        <f t="shared" si="45"/>
        <v>0</v>
      </c>
      <c r="K164" s="1236">
        <f t="shared" si="45"/>
        <v>0</v>
      </c>
      <c r="L164" s="1236">
        <f t="shared" si="45"/>
        <v>0</v>
      </c>
      <c r="M164" s="1236">
        <f t="shared" si="45"/>
        <v>0</v>
      </c>
      <c r="N164" s="1236">
        <f t="shared" si="45"/>
        <v>0</v>
      </c>
      <c r="O164" s="1237">
        <f t="shared" si="45"/>
        <v>0</v>
      </c>
    </row>
    <row r="165" spans="1:15" ht="12.75" hidden="1" customHeight="1" x14ac:dyDescent="0.2">
      <c r="A165" s="268" t="str">
        <f t="shared" si="44"/>
        <v>KOSTO DIREKTE PËR PROJEKTET DHE SHPENZIMET KAPITALE</v>
      </c>
      <c r="B165" s="1229">
        <f t="shared" si="44"/>
        <v>0</v>
      </c>
      <c r="C165" s="1230">
        <f t="shared" si="44"/>
        <v>0</v>
      </c>
      <c r="D165" s="1231">
        <f t="shared" si="44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5"/>
        <v>0</v>
      </c>
      <c r="J165" s="1239">
        <f t="shared" si="45"/>
        <v>0</v>
      </c>
      <c r="K165" s="1239">
        <f t="shared" si="45"/>
        <v>0</v>
      </c>
      <c r="L165" s="1239">
        <f t="shared" si="45"/>
        <v>0</v>
      </c>
      <c r="M165" s="1239">
        <f t="shared" si="45"/>
        <v>0</v>
      </c>
      <c r="N165" s="1239">
        <f t="shared" si="45"/>
        <v>0</v>
      </c>
      <c r="O165" s="1240">
        <f t="shared" si="45"/>
        <v>0</v>
      </c>
    </row>
    <row r="166" spans="1:15" ht="12.75" hidden="1" customHeight="1" x14ac:dyDescent="0.2">
      <c r="A166" s="1226" t="str">
        <f t="shared" si="44"/>
        <v>SHPENZIME KORRENTE</v>
      </c>
      <c r="B166" s="1227">
        <f t="shared" si="44"/>
        <v>0</v>
      </c>
      <c r="C166" s="1227">
        <f t="shared" si="44"/>
        <v>0</v>
      </c>
      <c r="D166" s="1227">
        <f t="shared" si="44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6">B150-J160</f>
        <v>0</v>
      </c>
      <c r="K166" s="18">
        <f t="shared" si="46"/>
        <v>0</v>
      </c>
      <c r="L166" s="18">
        <f t="shared" si="46"/>
        <v>0</v>
      </c>
      <c r="M166" s="18">
        <f t="shared" si="46"/>
        <v>0</v>
      </c>
      <c r="N166" s="18">
        <f t="shared" si="46"/>
        <v>0</v>
      </c>
      <c r="O166" s="18">
        <f t="shared" si="46"/>
        <v>0</v>
      </c>
    </row>
    <row r="167" spans="1:15" ht="12.75" hidden="1" customHeight="1" x14ac:dyDescent="0.2">
      <c r="A167" s="121" t="str">
        <f t="shared" si="44"/>
        <v>Pagat</v>
      </c>
      <c r="B167" s="1229">
        <f t="shared" si="44"/>
        <v>600</v>
      </c>
      <c r="C167" s="1230">
        <f t="shared" si="44"/>
        <v>0</v>
      </c>
      <c r="D167" s="1231">
        <f t="shared" si="44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hidden="1" customHeight="1" x14ac:dyDescent="0.2">
      <c r="A168" s="121" t="str">
        <f t="shared" si="44"/>
        <v>Sigurimet Shoqërore</v>
      </c>
      <c r="B168" s="1229">
        <f t="shared" si="44"/>
        <v>601</v>
      </c>
      <c r="C168" s="1230">
        <f t="shared" si="44"/>
        <v>0</v>
      </c>
      <c r="D168" s="1231">
        <f t="shared" si="44"/>
        <v>0</v>
      </c>
      <c r="E168" s="36"/>
      <c r="F168" s="36"/>
      <c r="G168" s="36"/>
      <c r="H168" s="52"/>
    </row>
    <row r="169" spans="1:15" ht="12.75" hidden="1" customHeight="1" x14ac:dyDescent="0.2">
      <c r="A169" s="121" t="str">
        <f t="shared" si="44"/>
        <v>Mallra dhe shërbime</v>
      </c>
      <c r="B169" s="1229">
        <f t="shared" si="44"/>
        <v>602</v>
      </c>
      <c r="C169" s="1230">
        <f t="shared" si="44"/>
        <v>0</v>
      </c>
      <c r="D169" s="1231">
        <f t="shared" si="44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hidden="1" customHeight="1" x14ac:dyDescent="0.2">
      <c r="A170" s="121" t="str">
        <f t="shared" si="44"/>
        <v>Subvencione</v>
      </c>
      <c r="B170" s="1229">
        <f t="shared" si="44"/>
        <v>603</v>
      </c>
      <c r="C170" s="1230">
        <f t="shared" si="44"/>
        <v>0</v>
      </c>
      <c r="D170" s="1231">
        <f t="shared" si="44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hidden="1" customHeight="1" x14ac:dyDescent="0.2">
      <c r="A171" s="121" t="str">
        <f t="shared" si="44"/>
        <v>Të tjera transferta korrente të brendshme</v>
      </c>
      <c r="B171" s="1229">
        <f t="shared" si="44"/>
        <v>604</v>
      </c>
      <c r="C171" s="1230">
        <f t="shared" si="44"/>
        <v>0</v>
      </c>
      <c r="D171" s="1231">
        <f t="shared" si="44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hidden="1" customHeight="1" x14ac:dyDescent="0.2">
      <c r="A172" s="121" t="str">
        <f t="shared" si="44"/>
        <v>Transferta korrente të huaja</v>
      </c>
      <c r="B172" s="1229">
        <f t="shared" si="44"/>
        <v>605</v>
      </c>
      <c r="C172" s="1230">
        <f t="shared" si="44"/>
        <v>0</v>
      </c>
      <c r="D172" s="1231">
        <f t="shared" si="44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hidden="1" customHeight="1" x14ac:dyDescent="0.2">
      <c r="A173" s="121" t="str">
        <f t="shared" si="44"/>
        <v>Transferta për Buxhetet Familiare dhe Individët</v>
      </c>
      <c r="B173" s="1229">
        <f t="shared" si="44"/>
        <v>606</v>
      </c>
      <c r="C173" s="1230">
        <f t="shared" si="44"/>
        <v>0</v>
      </c>
      <c r="D173" s="1231">
        <f t="shared" si="44"/>
        <v>0</v>
      </c>
      <c r="E173" s="36"/>
      <c r="F173" s="36"/>
      <c r="G173" s="36"/>
      <c r="H173" s="52"/>
      <c r="I173" s="276"/>
      <c r="J173" s="1286"/>
      <c r="K173" s="1286"/>
      <c r="L173" s="1286"/>
      <c r="M173" s="299" t="str">
        <f>IF(SUM(M170:M172)=M169,"OK","STOP")</f>
        <v>OK</v>
      </c>
      <c r="N173" s="299" t="str">
        <f>IF(SUM(N170:N172)=N169,"OK","STOP")</f>
        <v>OK</v>
      </c>
      <c r="O173" s="299" t="str">
        <f>IF(SUM(O170:O172)=O169,"OK","STOP")</f>
        <v>OK</v>
      </c>
    </row>
    <row r="174" spans="1:15" ht="12.75" hidden="1" customHeight="1" x14ac:dyDescent="0.2">
      <c r="A174" s="564" t="str">
        <f t="shared" si="44"/>
        <v>Shpenzimet kapitale</v>
      </c>
      <c r="B174" s="1256" t="str">
        <f t="shared" si="44"/>
        <v>230 / 231</v>
      </c>
      <c r="C174" s="1257">
        <f t="shared" si="44"/>
        <v>0</v>
      </c>
      <c r="D174" s="1258">
        <f t="shared" si="44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hidden="1" customHeight="1" x14ac:dyDescent="0.2">
      <c r="A175" s="121" t="str">
        <f t="shared" si="44"/>
        <v>Rezerva</v>
      </c>
      <c r="B175" s="1229">
        <f t="shared" si="44"/>
        <v>609</v>
      </c>
      <c r="C175" s="1230">
        <f t="shared" si="44"/>
        <v>0</v>
      </c>
      <c r="D175" s="1231">
        <f t="shared" si="44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hidden="1" customHeight="1" x14ac:dyDescent="0.2">
      <c r="A176" s="121" t="str">
        <f t="shared" si="44"/>
        <v>Interesa per kredi direkte ose bono</v>
      </c>
      <c r="B176" s="1259">
        <f t="shared" si="44"/>
        <v>650</v>
      </c>
      <c r="C176" s="1260">
        <f t="shared" si="44"/>
        <v>0</v>
      </c>
      <c r="D176" s="1261">
        <f t="shared" si="44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hidden="1" customHeight="1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270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hidden="1" customHeight="1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hidden="1" customHeight="1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hidden="1" customHeight="1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hidden="1" customHeight="1" x14ac:dyDescent="0.2"/>
    <row r="182" spans="1:15" ht="15.75" customHeight="1" x14ac:dyDescent="0.2"/>
    <row r="183" spans="1:15" ht="18.75" x14ac:dyDescent="0.2">
      <c r="A183" s="204" t="str">
        <f t="shared" ref="A183:O183" si="47">A66</f>
        <v>Nënfunksioni 1</v>
      </c>
      <c r="B183" s="1225" t="str">
        <f t="shared" si="47"/>
        <v>011 Organet ekzekutive dhe legjislative, për çështjet financiare dhe fiskale, çështjet e brendshme</v>
      </c>
      <c r="C183" s="1225">
        <f t="shared" si="47"/>
        <v>0</v>
      </c>
      <c r="D183" s="1225">
        <f t="shared" si="47"/>
        <v>0</v>
      </c>
      <c r="E183" s="1225">
        <f t="shared" si="47"/>
        <v>0</v>
      </c>
      <c r="F183" s="1225">
        <f t="shared" si="47"/>
        <v>0</v>
      </c>
      <c r="G183" s="1225">
        <f t="shared" si="47"/>
        <v>0</v>
      </c>
      <c r="H183" s="1225">
        <f t="shared" si="47"/>
        <v>0</v>
      </c>
      <c r="I183" s="1225">
        <f t="shared" si="47"/>
        <v>0</v>
      </c>
      <c r="J183" s="1225">
        <f t="shared" si="47"/>
        <v>0</v>
      </c>
      <c r="K183" s="1225">
        <f t="shared" si="47"/>
        <v>0</v>
      </c>
      <c r="L183" s="1225">
        <f t="shared" si="47"/>
        <v>0</v>
      </c>
      <c r="M183" s="1225">
        <f t="shared" si="47"/>
        <v>0</v>
      </c>
      <c r="N183" s="1225">
        <f t="shared" si="47"/>
        <v>0</v>
      </c>
      <c r="O183" s="1225">
        <f t="shared" si="47"/>
        <v>0</v>
      </c>
    </row>
    <row r="184" spans="1:15" ht="18.75" x14ac:dyDescent="0.2">
      <c r="A184" s="262" t="str">
        <f>A9</f>
        <v>Programi 1d</v>
      </c>
      <c r="B184" s="1225" t="str">
        <f>C9</f>
        <v>Gjendja civile</v>
      </c>
      <c r="C184" s="1225" t="e">
        <f>#REF!</f>
        <v>#REF!</v>
      </c>
      <c r="D184" s="1225" t="e">
        <f>#REF!</f>
        <v>#REF!</v>
      </c>
      <c r="E184" s="1225" t="e">
        <f>#REF!</f>
        <v>#REF!</v>
      </c>
      <c r="F184" s="1225" t="e">
        <f>#REF!</f>
        <v>#REF!</v>
      </c>
      <c r="G184" s="1225" t="e">
        <f>#REF!</f>
        <v>#REF!</v>
      </c>
      <c r="H184" s="1225" t="e">
        <f>#REF!</f>
        <v>#REF!</v>
      </c>
      <c r="I184" s="1225" t="e">
        <f>#REF!</f>
        <v>#REF!</v>
      </c>
      <c r="J184" s="1225" t="e">
        <f>#REF!</f>
        <v>#REF!</v>
      </c>
      <c r="K184" s="1225" t="e">
        <f>#REF!</f>
        <v>#REF!</v>
      </c>
      <c r="L184" s="1225" t="e">
        <f>#REF!</f>
        <v>#REF!</v>
      </c>
      <c r="M184" s="1225" t="e">
        <f>#REF!</f>
        <v>#REF!</v>
      </c>
      <c r="N184" s="1225" t="e">
        <f>#REF!</f>
        <v>#REF!</v>
      </c>
      <c r="O184" s="1225" t="e">
        <f>#REF!</f>
        <v>#REF!</v>
      </c>
    </row>
    <row r="185" spans="1:15" ht="18.75" x14ac:dyDescent="0.2">
      <c r="A185" s="262" t="str">
        <f>'(B3) Struktura Funksionale'!B11</f>
        <v>01170</v>
      </c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6"/>
    </row>
    <row r="186" spans="1:15" ht="22.5" customHeight="1" x14ac:dyDescent="0.2">
      <c r="A186" s="1221" t="str">
        <f t="shared" ref="A186:G186" si="48">A69</f>
        <v>SHPENZIME TË PRITSHME</v>
      </c>
      <c r="B186" s="1222">
        <f t="shared" si="48"/>
        <v>0</v>
      </c>
      <c r="C186" s="1222">
        <f t="shared" si="48"/>
        <v>0</v>
      </c>
      <c r="D186" s="1222">
        <f t="shared" si="48"/>
        <v>0</v>
      </c>
      <c r="E186" s="1222">
        <f t="shared" si="48"/>
        <v>0</v>
      </c>
      <c r="F186" s="1222">
        <f t="shared" si="48"/>
        <v>0</v>
      </c>
      <c r="G186" s="1242">
        <f t="shared" si="48"/>
        <v>0</v>
      </c>
      <c r="H186" s="128"/>
      <c r="I186" s="1255" t="str">
        <f t="shared" ref="I186:O186" si="49">I69</f>
        <v xml:space="preserve">TË ARDHURAT E PRITSHME </v>
      </c>
      <c r="J186" s="1253">
        <f t="shared" si="49"/>
        <v>0</v>
      </c>
      <c r="K186" s="1253">
        <f t="shared" si="49"/>
        <v>0</v>
      </c>
      <c r="L186" s="1253">
        <f t="shared" si="49"/>
        <v>0</v>
      </c>
      <c r="M186" s="1253">
        <f t="shared" si="49"/>
        <v>0</v>
      </c>
      <c r="N186" s="1253">
        <f t="shared" si="49"/>
        <v>0</v>
      </c>
      <c r="O186" s="1254">
        <f t="shared" si="49"/>
        <v>0</v>
      </c>
    </row>
    <row r="187" spans="1:15" ht="21.75" customHeight="1" x14ac:dyDescent="0.2">
      <c r="A187" s="202"/>
      <c r="B187" s="363">
        <f t="shared" ref="B187:G187" si="50">B70</f>
        <v>2019</v>
      </c>
      <c r="C187" s="363">
        <f t="shared" si="50"/>
        <v>2020</v>
      </c>
      <c r="D187" s="363">
        <f t="shared" si="50"/>
        <v>2021</v>
      </c>
      <c r="E187" s="238">
        <f t="shared" si="50"/>
        <v>2022</v>
      </c>
      <c r="F187" s="238">
        <f t="shared" si="50"/>
        <v>2023</v>
      </c>
      <c r="G187" s="238">
        <f t="shared" si="50"/>
        <v>2024</v>
      </c>
      <c r="H187" s="203"/>
      <c r="I187" s="360"/>
      <c r="J187" s="363">
        <f t="shared" ref="J187:O187" si="51">J70</f>
        <v>2019</v>
      </c>
      <c r="K187" s="363">
        <f t="shared" si="51"/>
        <v>2020</v>
      </c>
      <c r="L187" s="363">
        <f t="shared" si="51"/>
        <v>2021</v>
      </c>
      <c r="M187" s="238">
        <f t="shared" si="51"/>
        <v>2022</v>
      </c>
      <c r="N187" s="238">
        <f t="shared" si="51"/>
        <v>2023</v>
      </c>
      <c r="O187" s="238">
        <f t="shared" si="51"/>
        <v>2024</v>
      </c>
    </row>
    <row r="188" spans="1:15" ht="12.75" x14ac:dyDescent="0.2">
      <c r="A188" s="377"/>
      <c r="B188" s="370"/>
      <c r="C188" s="303"/>
      <c r="D188" s="304"/>
      <c r="E188" s="596"/>
      <c r="F188" s="596"/>
      <c r="G188" s="597"/>
      <c r="H188" s="128"/>
      <c r="I188" s="302"/>
      <c r="J188" s="1250"/>
      <c r="K188" s="1250"/>
      <c r="L188" s="375"/>
      <c r="M188" s="375"/>
      <c r="N188" s="375"/>
      <c r="O188" s="376"/>
    </row>
    <row r="189" spans="1:15" ht="12.75" x14ac:dyDescent="0.2">
      <c r="A189" s="134" t="str">
        <f>A72</f>
        <v>SHPENZIME TË PRITSHME</v>
      </c>
      <c r="B189" s="33">
        <f>VLOOKUP(A184,'(C1) Shpenzimet vitet e kaluara'!A$9:O$177,5,FALSE)</f>
        <v>7819958</v>
      </c>
      <c r="C189" s="33">
        <f>VLOOKUP(A184,'(C1) Shpenzimet vitet e kaluara'!A$9:O$177,9,FALSE)</f>
        <v>10459216</v>
      </c>
      <c r="D189" s="33">
        <f>VLOOKUP(A184,'(C1) Shpenzimet vitet e kaluara'!A$9:O$177,13,FALSE)</f>
        <v>8084000</v>
      </c>
      <c r="E189" s="36">
        <v>8084000</v>
      </c>
      <c r="F189" s="36">
        <v>8084000</v>
      </c>
      <c r="G189" s="36">
        <v>8084000</v>
      </c>
      <c r="H189" s="128"/>
      <c r="I189" s="1226" t="str">
        <f t="shared" ref="I189:O189" si="52">I72</f>
        <v>VLERËSIM I ARDHURAVE NGA TARIFAT</v>
      </c>
      <c r="J189" s="1227">
        <f t="shared" si="52"/>
        <v>0</v>
      </c>
      <c r="K189" s="1227">
        <f t="shared" si="52"/>
        <v>0</v>
      </c>
      <c r="L189" s="1227">
        <f t="shared" si="52"/>
        <v>0</v>
      </c>
      <c r="M189" s="1227">
        <f t="shared" si="52"/>
        <v>0</v>
      </c>
      <c r="N189" s="1227">
        <f t="shared" si="52"/>
        <v>0</v>
      </c>
      <c r="O189" s="1228">
        <f t="shared" si="52"/>
        <v>0</v>
      </c>
    </row>
    <row r="190" spans="1:15" ht="12.75" x14ac:dyDescent="0.2">
      <c r="A190" s="122"/>
      <c r="B190" s="201"/>
      <c r="C190" s="123"/>
      <c r="D190" s="123"/>
      <c r="E190" s="595"/>
      <c r="F190" s="595"/>
      <c r="G190" s="598"/>
      <c r="H190" s="10"/>
      <c r="I190" s="134" t="str">
        <f>I73</f>
        <v>VLERËSIM I ARDHURAVE NGA TARIFAT</v>
      </c>
      <c r="J190" s="34">
        <f>VLOOKUP($A184,'(C1) Shpenzimet vitet e kaluara'!$A$9:$O$177,6,FALSE)</f>
        <v>0</v>
      </c>
      <c r="K190" s="34">
        <f>VLOOKUP($A184,'(C1) Shpenzimet vitet e kaluara'!$A$9:$O$177,10,FALSE)</f>
        <v>0</v>
      </c>
      <c r="L190" s="34">
        <f>VLOOKUP($A184,'(C1) Shpenzimet vitet e kaluara'!$A$9:$O$177,14,FALSE)</f>
        <v>0</v>
      </c>
      <c r="M190" s="36"/>
      <c r="N190" s="36"/>
      <c r="O190" s="36"/>
    </row>
    <row r="191" spans="1:15" ht="12.75" x14ac:dyDescent="0.2">
      <c r="A191" s="1293" t="str">
        <f t="shared" ref="A191:G192" si="53">A74</f>
        <v>SHPENZIME TË PRITSHME</v>
      </c>
      <c r="B191" s="1294">
        <f t="shared" si="53"/>
        <v>0</v>
      </c>
      <c r="C191" s="1294">
        <f t="shared" si="53"/>
        <v>0</v>
      </c>
      <c r="D191" s="1294">
        <f t="shared" si="53"/>
        <v>0</v>
      </c>
      <c r="E191" s="1294">
        <f t="shared" si="53"/>
        <v>0</v>
      </c>
      <c r="F191" s="1294">
        <f t="shared" si="53"/>
        <v>0</v>
      </c>
      <c r="G191" s="1295">
        <f t="shared" si="53"/>
        <v>0</v>
      </c>
      <c r="H191" s="10"/>
    </row>
    <row r="192" spans="1:15" ht="12.75" x14ac:dyDescent="0.2">
      <c r="A192" s="1226" t="str">
        <f t="shared" si="53"/>
        <v>KOSTO DIREKTE PËR PROJEKTET DHE SHPENZIMET KAPITALE</v>
      </c>
      <c r="B192" s="1227">
        <f t="shared" si="53"/>
        <v>0</v>
      </c>
      <c r="C192" s="1227">
        <f t="shared" si="53"/>
        <v>0</v>
      </c>
      <c r="D192" s="1227">
        <f t="shared" si="53"/>
        <v>0</v>
      </c>
      <c r="E192" s="1227">
        <f t="shared" si="53"/>
        <v>0</v>
      </c>
      <c r="F192" s="1227">
        <f t="shared" si="53"/>
        <v>0</v>
      </c>
      <c r="G192" s="1228">
        <f t="shared" si="53"/>
        <v>0</v>
      </c>
      <c r="H192" s="30"/>
      <c r="I192" s="1226" t="str">
        <f t="shared" ref="I192:I197" si="54">I75</f>
        <v>VLERËSIMI I TË ARDHURAVE ME DESTINACION</v>
      </c>
      <c r="J192" s="1227"/>
      <c r="K192" s="1227"/>
      <c r="L192" s="1227"/>
      <c r="M192" s="1227"/>
      <c r="N192" s="1227"/>
      <c r="O192" s="1228"/>
    </row>
    <row r="193" spans="1:15" ht="12.75" x14ac:dyDescent="0.2">
      <c r="A193" s="121" t="str">
        <f t="shared" ref="A193:D215" si="55">A76</f>
        <v>Pagat</v>
      </c>
      <c r="B193" s="1229">
        <f t="shared" si="55"/>
        <v>600</v>
      </c>
      <c r="C193" s="1230">
        <f t="shared" si="55"/>
        <v>0</v>
      </c>
      <c r="D193" s="1231">
        <f t="shared" si="55"/>
        <v>0</v>
      </c>
      <c r="E193" s="126"/>
      <c r="F193" s="126"/>
      <c r="G193" s="126"/>
      <c r="H193" s="30"/>
      <c r="I193" s="339" t="str">
        <f t="shared" si="54"/>
        <v>Transferta e kushtëzuar</v>
      </c>
      <c r="J193" s="336"/>
      <c r="K193" s="338"/>
      <c r="L193" s="337"/>
      <c r="M193" s="36"/>
      <c r="N193" s="36"/>
      <c r="O193" s="36"/>
    </row>
    <row r="194" spans="1:15" ht="12.75" x14ac:dyDescent="0.2">
      <c r="A194" s="121" t="str">
        <f t="shared" si="55"/>
        <v>Sigurimet Shoqërore</v>
      </c>
      <c r="B194" s="1229">
        <f t="shared" si="55"/>
        <v>601</v>
      </c>
      <c r="C194" s="1230">
        <f t="shared" si="55"/>
        <v>0</v>
      </c>
      <c r="D194" s="1231">
        <f t="shared" si="55"/>
        <v>0</v>
      </c>
      <c r="E194" s="126"/>
      <c r="F194" s="126"/>
      <c r="G194" s="126"/>
      <c r="H194" s="30"/>
      <c r="I194" s="339" t="str">
        <f t="shared" si="54"/>
        <v>Trasferta Specifike</v>
      </c>
      <c r="J194" s="336"/>
      <c r="K194" s="338"/>
      <c r="L194" s="337"/>
      <c r="M194" s="36">
        <v>8004000</v>
      </c>
      <c r="N194" s="36">
        <v>8004000</v>
      </c>
      <c r="O194" s="36">
        <v>8004000</v>
      </c>
    </row>
    <row r="195" spans="1:15" ht="12.75" x14ac:dyDescent="0.2">
      <c r="A195" s="121" t="str">
        <f t="shared" si="55"/>
        <v>Mallra dhe shërbime</v>
      </c>
      <c r="B195" s="1229">
        <f t="shared" si="55"/>
        <v>602</v>
      </c>
      <c r="C195" s="1230">
        <f t="shared" si="55"/>
        <v>0</v>
      </c>
      <c r="D195" s="1231">
        <f t="shared" si="55"/>
        <v>0</v>
      </c>
      <c r="E195" s="126"/>
      <c r="F195" s="126"/>
      <c r="G195" s="126"/>
      <c r="H195" s="52"/>
      <c r="I195" s="339" t="str">
        <f t="shared" si="54"/>
        <v>Trashëgimi me destinacion</v>
      </c>
      <c r="J195" s="336"/>
      <c r="K195" s="338"/>
      <c r="L195" s="337"/>
      <c r="M195" s="264">
        <f>VLOOKUP($A184,'(C4) Trashëgimi me destinacion'!$A$8:$F$168,4,FALSE)</f>
        <v>0</v>
      </c>
      <c r="N195" s="479">
        <f>VLOOKUP($A184,'(C4) Trashëgimi me destinacion'!$A$8:$F$168,5,FALSE)</f>
        <v>0</v>
      </c>
      <c r="O195" s="479">
        <f>VLOOKUP($A184,'(C4) Trashëgimi me destinacion'!$A$8:$F$168,6,FALSE)</f>
        <v>0</v>
      </c>
    </row>
    <row r="196" spans="1:15" ht="12.75" x14ac:dyDescent="0.2">
      <c r="A196" s="121" t="str">
        <f t="shared" si="55"/>
        <v>Subvencione</v>
      </c>
      <c r="B196" s="1229">
        <f t="shared" si="55"/>
        <v>603</v>
      </c>
      <c r="C196" s="1230">
        <f t="shared" si="55"/>
        <v>0</v>
      </c>
      <c r="D196" s="1231">
        <f t="shared" si="55"/>
        <v>0</v>
      </c>
      <c r="E196" s="126"/>
      <c r="F196" s="126"/>
      <c r="G196" s="126"/>
      <c r="H196" s="8"/>
      <c r="I196" s="339" t="str">
        <f t="shared" si="54"/>
        <v>Burime të tjera (përfshirë gjobat)</v>
      </c>
      <c r="J196" s="336"/>
      <c r="K196" s="338"/>
      <c r="L196" s="337"/>
      <c r="M196" s="36"/>
      <c r="N196" s="36"/>
      <c r="O196" s="36"/>
    </row>
    <row r="197" spans="1:15" ht="12.75" x14ac:dyDescent="0.2">
      <c r="A197" s="121" t="str">
        <f t="shared" si="55"/>
        <v>Të tjera transferta korrente të brendshme</v>
      </c>
      <c r="B197" s="1229">
        <f t="shared" si="55"/>
        <v>604</v>
      </c>
      <c r="C197" s="1230">
        <f t="shared" si="55"/>
        <v>0</v>
      </c>
      <c r="D197" s="1231">
        <f t="shared" si="55"/>
        <v>0</v>
      </c>
      <c r="E197" s="126"/>
      <c r="F197" s="126"/>
      <c r="G197" s="126"/>
      <c r="H197" s="52"/>
      <c r="I197" s="339" t="str">
        <f t="shared" si="54"/>
        <v>VLERËSIMI I TË ARDHURAVE ME DESTINACION</v>
      </c>
      <c r="J197" s="34">
        <f>VLOOKUP($A184,'(C1) Shpenzimet vitet e kaluara'!$A$9:$O$177,7,FALSE)</f>
        <v>7903000</v>
      </c>
      <c r="K197" s="34">
        <f>VLOOKUP($A184,'(C1) Shpenzimet vitet e kaluara'!$A$9:$O$177,11,FALSE)</f>
        <v>11596216</v>
      </c>
      <c r="L197" s="34">
        <f>VLOOKUP($A184,'(C1) Shpenzimet vitet e kaluara'!$A$9:$O$177,15,FALSE)</f>
        <v>8084000</v>
      </c>
      <c r="M197" s="126">
        <f>SUM(M193:M196)</f>
        <v>8004000</v>
      </c>
      <c r="N197" s="126">
        <f>SUM(N193:N196)</f>
        <v>8004000</v>
      </c>
      <c r="O197" s="126">
        <f>SUM(O193:O196)</f>
        <v>8004000</v>
      </c>
    </row>
    <row r="198" spans="1:15" ht="12.75" x14ac:dyDescent="0.2">
      <c r="A198" s="121" t="str">
        <f t="shared" si="55"/>
        <v>Transferta korrente të huaja</v>
      </c>
      <c r="B198" s="1229">
        <f t="shared" si="55"/>
        <v>605</v>
      </c>
      <c r="C198" s="1230">
        <f t="shared" si="55"/>
        <v>0</v>
      </c>
      <c r="D198" s="1231">
        <f t="shared" si="55"/>
        <v>0</v>
      </c>
      <c r="E198" s="126"/>
      <c r="F198" s="126"/>
      <c r="G198" s="126"/>
      <c r="H198" s="52"/>
    </row>
    <row r="199" spans="1:15" ht="12.75" x14ac:dyDescent="0.2">
      <c r="A199" s="121" t="str">
        <f t="shared" si="55"/>
        <v>Transferta për Buxhetet Familiare dhe Individët</v>
      </c>
      <c r="B199" s="1229">
        <f t="shared" si="55"/>
        <v>606</v>
      </c>
      <c r="C199" s="1230">
        <f t="shared" si="55"/>
        <v>0</v>
      </c>
      <c r="D199" s="1231">
        <f t="shared" si="55"/>
        <v>0</v>
      </c>
      <c r="E199" s="126"/>
      <c r="F199" s="126"/>
      <c r="G199" s="126"/>
      <c r="H199" s="52"/>
      <c r="I199" s="134" t="str">
        <f>I82</f>
        <v xml:space="preserve">TË ARDHURAT E PRITSHME </v>
      </c>
      <c r="J199" s="33">
        <f>J190+J197</f>
        <v>7903000</v>
      </c>
      <c r="K199" s="33">
        <f>K190+K197</f>
        <v>11596216</v>
      </c>
      <c r="L199" s="33">
        <f>L190+L197</f>
        <v>8084000</v>
      </c>
      <c r="M199" s="126">
        <f>M197+M190</f>
        <v>8004000</v>
      </c>
      <c r="N199" s="126">
        <f>N197+N190</f>
        <v>8004000</v>
      </c>
      <c r="O199" s="126">
        <f>O197+O190</f>
        <v>8004000</v>
      </c>
    </row>
    <row r="200" spans="1:15" ht="12.75" x14ac:dyDescent="0.2">
      <c r="A200" s="121" t="str">
        <f t="shared" si="55"/>
        <v>Shpenzimet kapitale</v>
      </c>
      <c r="B200" s="1229" t="str">
        <f t="shared" si="55"/>
        <v>230 / 231</v>
      </c>
      <c r="C200" s="1230">
        <f t="shared" si="55"/>
        <v>0</v>
      </c>
      <c r="D200" s="1231">
        <f t="shared" si="55"/>
        <v>0</v>
      </c>
      <c r="E200" s="36"/>
      <c r="F200" s="36"/>
      <c r="G200" s="36"/>
      <c r="H200" s="52"/>
    </row>
    <row r="201" spans="1:15" ht="12.75" x14ac:dyDescent="0.2">
      <c r="A201" s="121" t="str">
        <f t="shared" si="55"/>
        <v>Rezerva</v>
      </c>
      <c r="B201" s="1229">
        <f t="shared" si="55"/>
        <v>609</v>
      </c>
      <c r="C201" s="1230">
        <f t="shared" si="55"/>
        <v>0</v>
      </c>
      <c r="D201" s="1231">
        <f t="shared" si="55"/>
        <v>0</v>
      </c>
      <c r="E201" s="126"/>
      <c r="F201" s="126"/>
      <c r="G201" s="126"/>
      <c r="H201" s="52"/>
    </row>
    <row r="202" spans="1:15" ht="12.75" x14ac:dyDescent="0.2">
      <c r="A202" s="121" t="str">
        <f t="shared" si="55"/>
        <v>Interesa per kredi direkte ose bono</v>
      </c>
      <c r="B202" s="1229">
        <f t="shared" si="55"/>
        <v>650</v>
      </c>
      <c r="C202" s="1230">
        <f t="shared" si="55"/>
        <v>0</v>
      </c>
      <c r="D202" s="1231">
        <f t="shared" si="55"/>
        <v>0</v>
      </c>
      <c r="E202" s="126"/>
      <c r="F202" s="126"/>
      <c r="G202" s="126"/>
      <c r="H202" s="52"/>
    </row>
    <row r="203" spans="1:15" ht="12.75" x14ac:dyDescent="0.2">
      <c r="A203" s="121" t="str">
        <f t="shared" si="55"/>
        <v>Të tjera</v>
      </c>
      <c r="B203" s="1229" t="str">
        <f t="shared" si="55"/>
        <v>69 / ?</v>
      </c>
      <c r="C203" s="1230">
        <f t="shared" si="55"/>
        <v>0</v>
      </c>
      <c r="D203" s="1231">
        <f t="shared" si="55"/>
        <v>0</v>
      </c>
      <c r="E203" s="126"/>
      <c r="F203" s="126"/>
      <c r="G203" s="126"/>
      <c r="H203" s="52"/>
      <c r="I203" s="1235" t="str">
        <f t="shared" ref="I203:O204" si="56">I86</f>
        <v>SHUMA E KËRKUAR NETO</v>
      </c>
      <c r="J203" s="1236">
        <f t="shared" si="56"/>
        <v>0</v>
      </c>
      <c r="K203" s="1236">
        <f t="shared" si="56"/>
        <v>0</v>
      </c>
      <c r="L203" s="1236">
        <f t="shared" si="56"/>
        <v>0</v>
      </c>
      <c r="M203" s="1236">
        <f t="shared" si="56"/>
        <v>0</v>
      </c>
      <c r="N203" s="1236">
        <f t="shared" si="56"/>
        <v>0</v>
      </c>
      <c r="O203" s="1237">
        <f t="shared" si="56"/>
        <v>0</v>
      </c>
    </row>
    <row r="204" spans="1:15" ht="12.75" customHeight="1" x14ac:dyDescent="0.2">
      <c r="A204" s="268" t="str">
        <f t="shared" si="55"/>
        <v>KOSTO DIREKTE PËR PROJEKTET DHE SHPENZIMET KAPITALE</v>
      </c>
      <c r="B204" s="1229">
        <f t="shared" si="55"/>
        <v>0</v>
      </c>
      <c r="C204" s="1230">
        <f t="shared" si="55"/>
        <v>0</v>
      </c>
      <c r="D204" s="1231">
        <f t="shared" si="55"/>
        <v>0</v>
      </c>
      <c r="E204" s="126">
        <f>SUM(E193:E203)</f>
        <v>0</v>
      </c>
      <c r="F204" s="126">
        <f>SUM(F193:F203)</f>
        <v>0</v>
      </c>
      <c r="G204" s="126">
        <f>SUM(G193:G203)</f>
        <v>0</v>
      </c>
      <c r="H204" s="52"/>
      <c r="I204" s="1238">
        <f t="shared" si="56"/>
        <v>0</v>
      </c>
      <c r="J204" s="1239">
        <f t="shared" si="56"/>
        <v>0</v>
      </c>
      <c r="K204" s="1239">
        <f t="shared" si="56"/>
        <v>0</v>
      </c>
      <c r="L204" s="1239">
        <f t="shared" si="56"/>
        <v>0</v>
      </c>
      <c r="M204" s="1239">
        <f t="shared" si="56"/>
        <v>0</v>
      </c>
      <c r="N204" s="1239">
        <f t="shared" si="56"/>
        <v>0</v>
      </c>
      <c r="O204" s="1240">
        <f t="shared" si="56"/>
        <v>0</v>
      </c>
    </row>
    <row r="205" spans="1:15" ht="12.75" x14ac:dyDescent="0.2">
      <c r="A205" s="1226" t="str">
        <f t="shared" si="55"/>
        <v>SHPENZIME KORRENTE</v>
      </c>
      <c r="B205" s="1227">
        <f t="shared" si="55"/>
        <v>0</v>
      </c>
      <c r="C205" s="1227">
        <f t="shared" si="55"/>
        <v>0</v>
      </c>
      <c r="D205" s="1227">
        <f t="shared" si="55"/>
        <v>0</v>
      </c>
      <c r="E205" s="1227">
        <f>E88</f>
        <v>0</v>
      </c>
      <c r="F205" s="1227">
        <f>F88</f>
        <v>0</v>
      </c>
      <c r="G205" s="1228">
        <f>G88</f>
        <v>0</v>
      </c>
      <c r="H205" s="52"/>
      <c r="I205" s="17" t="str">
        <f>I88</f>
        <v>SHUMA E KËRKUAR NETO</v>
      </c>
      <c r="J205" s="18">
        <f t="shared" ref="J205:O205" si="57">B189-J199</f>
        <v>-83042</v>
      </c>
      <c r="K205" s="18">
        <f t="shared" si="57"/>
        <v>-1137000</v>
      </c>
      <c r="L205" s="18">
        <f t="shared" si="57"/>
        <v>0</v>
      </c>
      <c r="M205" s="18">
        <f t="shared" si="57"/>
        <v>80000</v>
      </c>
      <c r="N205" s="18">
        <f t="shared" si="57"/>
        <v>80000</v>
      </c>
      <c r="O205" s="18">
        <f t="shared" si="57"/>
        <v>80000</v>
      </c>
    </row>
    <row r="206" spans="1:15" ht="12.75" x14ac:dyDescent="0.2">
      <c r="A206" s="121" t="str">
        <f t="shared" si="55"/>
        <v>Pagat</v>
      </c>
      <c r="B206" s="1229">
        <f t="shared" si="55"/>
        <v>600</v>
      </c>
      <c r="C206" s="1230">
        <f t="shared" si="55"/>
        <v>0</v>
      </c>
      <c r="D206" s="1231">
        <f t="shared" si="55"/>
        <v>0</v>
      </c>
      <c r="E206" s="773">
        <v>6230840</v>
      </c>
      <c r="F206" s="773">
        <v>6230840</v>
      </c>
      <c r="G206" s="773">
        <v>6230840</v>
      </c>
      <c r="H206" s="52"/>
      <c r="I206" s="52"/>
      <c r="J206" s="52"/>
      <c r="K206" s="52"/>
      <c r="L206" s="14"/>
      <c r="M206" s="53"/>
    </row>
    <row r="207" spans="1:15" ht="12.75" x14ac:dyDescent="0.2">
      <c r="A207" s="121" t="str">
        <f t="shared" si="55"/>
        <v>Sigurimet Shoqërore</v>
      </c>
      <c r="B207" s="1229">
        <f t="shared" si="55"/>
        <v>601</v>
      </c>
      <c r="C207" s="1230">
        <f t="shared" si="55"/>
        <v>0</v>
      </c>
      <c r="D207" s="1231">
        <f t="shared" si="55"/>
        <v>0</v>
      </c>
      <c r="E207" s="773">
        <v>1249160</v>
      </c>
      <c r="F207" s="773">
        <v>1249160</v>
      </c>
      <c r="G207" s="773">
        <v>1249160</v>
      </c>
      <c r="H207" s="52"/>
    </row>
    <row r="208" spans="1:15" ht="12.75" x14ac:dyDescent="0.2">
      <c r="A208" s="121" t="str">
        <f t="shared" si="55"/>
        <v>Mallra dhe shërbime</v>
      </c>
      <c r="B208" s="1229">
        <f t="shared" si="55"/>
        <v>602</v>
      </c>
      <c r="C208" s="1230">
        <f t="shared" si="55"/>
        <v>0</v>
      </c>
      <c r="D208" s="1231">
        <f t="shared" si="55"/>
        <v>0</v>
      </c>
      <c r="E208" s="36">
        <v>604000</v>
      </c>
      <c r="F208" s="36">
        <v>604000</v>
      </c>
      <c r="G208" s="36">
        <v>604000</v>
      </c>
      <c r="H208" s="52"/>
      <c r="I208" s="239" t="str">
        <f>I37</f>
        <v>Angazhimet</v>
      </c>
      <c r="J208" s="1290" t="str">
        <f>J37</f>
        <v>Vlera Totale për Aktivitet</v>
      </c>
      <c r="K208" s="1291"/>
      <c r="L208" s="1292"/>
      <c r="M208" s="126">
        <f>VLOOKUP($A184,'(C5) Angazhimet'!$A$8:$F$168,4,FALSE)</f>
        <v>0</v>
      </c>
      <c r="N208" s="126">
        <f>VLOOKUP($A184,'(C5) Angazhimet'!$A$8:$F$168,5,FALSE)</f>
        <v>0</v>
      </c>
      <c r="O208" s="126">
        <f>VLOOKUP($A184,'(C5) Angazhimet'!$A$8:$F$168,6,FALSE)</f>
        <v>0</v>
      </c>
    </row>
    <row r="209" spans="1:15" ht="12.75" customHeight="1" x14ac:dyDescent="0.2">
      <c r="A209" s="121" t="str">
        <f t="shared" si="55"/>
        <v>Subvencione</v>
      </c>
      <c r="B209" s="1229">
        <f t="shared" si="55"/>
        <v>603</v>
      </c>
      <c r="C209" s="1230">
        <f t="shared" si="55"/>
        <v>0</v>
      </c>
      <c r="D209" s="1231">
        <f t="shared" si="55"/>
        <v>0</v>
      </c>
      <c r="E209" s="36"/>
      <c r="F209" s="36"/>
      <c r="G209" s="36"/>
      <c r="H209" s="52"/>
      <c r="I209" s="629" t="str">
        <f>I38</f>
        <v>Qëllime</v>
      </c>
      <c r="J209" s="1290" t="str">
        <f>J38</f>
        <v>Shpenzimet kapitale</v>
      </c>
      <c r="K209" s="1291"/>
      <c r="L209" s="1292"/>
      <c r="M209" s="36"/>
      <c r="N209" s="36"/>
      <c r="O209" s="36"/>
    </row>
    <row r="210" spans="1:15" ht="12.75" x14ac:dyDescent="0.2">
      <c r="A210" s="121" t="str">
        <f t="shared" si="55"/>
        <v>Të tjera transferta korrente të brendshme</v>
      </c>
      <c r="B210" s="1229">
        <f t="shared" si="55"/>
        <v>604</v>
      </c>
      <c r="C210" s="1230">
        <f t="shared" si="55"/>
        <v>0</v>
      </c>
      <c r="D210" s="1231">
        <f t="shared" si="55"/>
        <v>0</v>
      </c>
      <c r="E210" s="36"/>
      <c r="F210" s="36"/>
      <c r="G210" s="36"/>
      <c r="H210" s="52"/>
      <c r="I210" s="276"/>
      <c r="J210" s="1290" t="str">
        <f>J39</f>
        <v>Mallra dhe shërbime</v>
      </c>
      <c r="K210" s="1291"/>
      <c r="L210" s="1292"/>
      <c r="M210" s="36"/>
      <c r="N210" s="36"/>
      <c r="O210" s="36"/>
    </row>
    <row r="211" spans="1:15" ht="12.75" x14ac:dyDescent="0.2">
      <c r="A211" s="121" t="str">
        <f t="shared" si="55"/>
        <v>Transferta korrente të huaja</v>
      </c>
      <c r="B211" s="1229">
        <f t="shared" si="55"/>
        <v>605</v>
      </c>
      <c r="C211" s="1230">
        <f t="shared" si="55"/>
        <v>0</v>
      </c>
      <c r="D211" s="1231">
        <f t="shared" si="55"/>
        <v>0</v>
      </c>
      <c r="E211" s="36"/>
      <c r="F211" s="36"/>
      <c r="G211" s="36"/>
      <c r="H211" s="52"/>
      <c r="I211" s="276"/>
      <c r="J211" s="1290" t="str">
        <f>J40</f>
        <v>Qëllime të mëtejshme</v>
      </c>
      <c r="K211" s="1291"/>
      <c r="L211" s="1292"/>
      <c r="M211" s="36"/>
      <c r="N211" s="36"/>
      <c r="O211" s="36"/>
    </row>
    <row r="212" spans="1:15" ht="12.75" x14ac:dyDescent="0.2">
      <c r="A212" s="121" t="str">
        <f t="shared" si="55"/>
        <v>Transferta për Buxhetet Familiare dhe Individët</v>
      </c>
      <c r="B212" s="1229">
        <f t="shared" si="55"/>
        <v>606</v>
      </c>
      <c r="C212" s="1230">
        <f t="shared" si="55"/>
        <v>0</v>
      </c>
      <c r="D212" s="1231">
        <f t="shared" si="55"/>
        <v>0</v>
      </c>
      <c r="E212" s="36"/>
      <c r="F212" s="36"/>
      <c r="G212" s="36"/>
      <c r="H212" s="52"/>
      <c r="I212" s="276"/>
      <c r="J212" s="1286"/>
      <c r="K212" s="1286"/>
      <c r="L212" s="1286"/>
      <c r="M212" s="299" t="str">
        <f>IF(SUM(M209:M211)=M208,"OK","STOP")</f>
        <v>OK</v>
      </c>
      <c r="N212" s="299" t="str">
        <f>IF(SUM(N209:N211)=N208,"OK","STOP")</f>
        <v>OK</v>
      </c>
      <c r="O212" s="299" t="str">
        <f>IF(SUM(O209:O211)=O208,"OK","STOP")</f>
        <v>OK</v>
      </c>
    </row>
    <row r="213" spans="1:15" ht="12.75" x14ac:dyDescent="0.2">
      <c r="A213" s="564" t="str">
        <f t="shared" si="55"/>
        <v>Shpenzimet kapitale</v>
      </c>
      <c r="B213" s="1256" t="str">
        <f t="shared" si="55"/>
        <v>230 / 231</v>
      </c>
      <c r="C213" s="1257">
        <f t="shared" si="55"/>
        <v>0</v>
      </c>
      <c r="D213" s="1258">
        <f t="shared" si="55"/>
        <v>0</v>
      </c>
      <c r="E213" s="126"/>
      <c r="F213" s="126"/>
      <c r="G213" s="126"/>
      <c r="H213" s="52"/>
      <c r="I213" s="367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2.75" x14ac:dyDescent="0.2">
      <c r="A214" s="121" t="str">
        <f t="shared" si="55"/>
        <v>Rezerva</v>
      </c>
      <c r="B214" s="1229">
        <f t="shared" si="55"/>
        <v>609</v>
      </c>
      <c r="C214" s="1230">
        <f t="shared" si="55"/>
        <v>0</v>
      </c>
      <c r="D214" s="1231">
        <f t="shared" si="55"/>
        <v>0</v>
      </c>
      <c r="E214" s="36"/>
      <c r="F214" s="36"/>
      <c r="G214" s="36"/>
      <c r="H214" s="52"/>
      <c r="I214" s="365">
        <f>I97</f>
        <v>2022</v>
      </c>
      <c r="J214" s="1271"/>
      <c r="K214" s="1272"/>
      <c r="L214" s="1272"/>
      <c r="M214" s="1272"/>
      <c r="N214" s="1272"/>
      <c r="O214" s="1273"/>
    </row>
    <row r="215" spans="1:15" ht="12.75" x14ac:dyDescent="0.2">
      <c r="A215" s="121" t="str">
        <f t="shared" si="55"/>
        <v>Interesa per kredi direkte ose bono</v>
      </c>
      <c r="B215" s="1259">
        <f t="shared" si="55"/>
        <v>650</v>
      </c>
      <c r="C215" s="1260">
        <f t="shared" si="55"/>
        <v>0</v>
      </c>
      <c r="D215" s="1261">
        <f t="shared" si="55"/>
        <v>0</v>
      </c>
      <c r="E215" s="36"/>
      <c r="F215" s="36"/>
      <c r="G215" s="36"/>
      <c r="H215" s="52"/>
      <c r="I215" s="366"/>
      <c r="J215" s="1274"/>
      <c r="K215" s="1275"/>
      <c r="L215" s="1275"/>
      <c r="M215" s="1275"/>
      <c r="N215" s="1275"/>
      <c r="O215" s="1276"/>
    </row>
    <row r="216" spans="1:15" ht="12.75" x14ac:dyDescent="0.2">
      <c r="A216" s="239" t="str">
        <f>A99</f>
        <v>Të tjera</v>
      </c>
      <c r="B216" s="1229" t="str">
        <f>B99</f>
        <v>69 / ?</v>
      </c>
      <c r="C216" s="1230">
        <f>C99</f>
        <v>0</v>
      </c>
      <c r="D216" s="273" t="str">
        <f>IF(OR(E216&lt;0,F216&lt;0,G216&lt;0),"STOP","OK!")</f>
        <v>OK!</v>
      </c>
      <c r="E216" s="127">
        <f>-E204+E189-(SUM(E206:E215))</f>
        <v>0</v>
      </c>
      <c r="F216" s="270">
        <f>-F204+F189-(SUM(F206:F215))</f>
        <v>0</v>
      </c>
      <c r="G216" s="270">
        <f>-G204+G189-(SUM(G206:G215))</f>
        <v>0</v>
      </c>
      <c r="H216" s="52"/>
      <c r="I216" s="365">
        <f>I99</f>
        <v>2023</v>
      </c>
      <c r="J216" s="1271"/>
      <c r="K216" s="1272"/>
      <c r="L216" s="1272"/>
      <c r="M216" s="1272"/>
      <c r="N216" s="1272"/>
      <c r="O216" s="1273"/>
    </row>
    <row r="217" spans="1:15" ht="12.75" x14ac:dyDescent="0.2">
      <c r="A217" s="121" t="str">
        <f>A100</f>
        <v>SHPENZIME KORRENTE</v>
      </c>
      <c r="B217" s="1262"/>
      <c r="C217" s="1263"/>
      <c r="D217" s="1264"/>
      <c r="E217" s="126">
        <f>SUM(E206:E216)</f>
        <v>8084000</v>
      </c>
      <c r="F217" s="126">
        <f>SUM(F206:F216)</f>
        <v>8084000</v>
      </c>
      <c r="G217" s="126">
        <f>SUM(G206:G216)</f>
        <v>8084000</v>
      </c>
      <c r="H217" s="52"/>
      <c r="I217" s="366"/>
      <c r="J217" s="1277"/>
      <c r="K217" s="1278"/>
      <c r="L217" s="1278"/>
      <c r="M217" s="1278"/>
      <c r="N217" s="1278"/>
      <c r="O217" s="1279"/>
    </row>
    <row r="218" spans="1:15" ht="12.75" x14ac:dyDescent="0.2">
      <c r="A218" s="122"/>
      <c r="B218" s="201"/>
      <c r="C218" s="123"/>
      <c r="D218" s="123"/>
      <c r="E218" s="10"/>
      <c r="F218" s="10"/>
      <c r="G218" s="130"/>
      <c r="H218" s="52"/>
      <c r="I218" s="365">
        <f>I101</f>
        <v>2024</v>
      </c>
      <c r="J218" s="1271"/>
      <c r="K218" s="1272"/>
      <c r="L218" s="1272"/>
      <c r="M218" s="1272"/>
      <c r="N218" s="1272"/>
      <c r="O218" s="1273"/>
    </row>
    <row r="219" spans="1:15" ht="12.75" x14ac:dyDescent="0.2">
      <c r="A219" s="134" t="str">
        <f>A102</f>
        <v>SHPENZIME TË PRITSHME</v>
      </c>
      <c r="B219" s="33">
        <f>B189</f>
        <v>7819958</v>
      </c>
      <c r="C219" s="33">
        <f>C189</f>
        <v>10459216</v>
      </c>
      <c r="D219" s="33">
        <f>D189</f>
        <v>8084000</v>
      </c>
      <c r="E219" s="126">
        <f>E204+E217</f>
        <v>8084000</v>
      </c>
      <c r="F219" s="126">
        <f>F204+F217</f>
        <v>8084000</v>
      </c>
      <c r="G219" s="126">
        <f>G204+G217</f>
        <v>8084000</v>
      </c>
      <c r="H219" s="52"/>
      <c r="I219" s="366"/>
      <c r="J219" s="1277"/>
      <c r="K219" s="1278"/>
      <c r="L219" s="1278"/>
      <c r="M219" s="1278"/>
      <c r="N219" s="1278"/>
      <c r="O219" s="1279"/>
    </row>
    <row r="222" spans="1:15" ht="17.25" customHeight="1" x14ac:dyDescent="0.2">
      <c r="A222" s="204" t="str">
        <f t="shared" ref="A222:O222" si="58">A66</f>
        <v>Nënfunksioni 1</v>
      </c>
      <c r="B222" s="1225" t="str">
        <f t="shared" si="58"/>
        <v>011 Organet ekzekutive dhe legjislative, për çështjet financiare dhe fiskale, çështjet e brendshme</v>
      </c>
      <c r="C222" s="1225">
        <f t="shared" si="58"/>
        <v>0</v>
      </c>
      <c r="D222" s="1225">
        <f t="shared" si="58"/>
        <v>0</v>
      </c>
      <c r="E222" s="1225">
        <f t="shared" si="58"/>
        <v>0</v>
      </c>
      <c r="F222" s="1225">
        <f t="shared" si="58"/>
        <v>0</v>
      </c>
      <c r="G222" s="1225">
        <f t="shared" si="58"/>
        <v>0</v>
      </c>
      <c r="H222" s="1225">
        <f t="shared" si="58"/>
        <v>0</v>
      </c>
      <c r="I222" s="1225">
        <f t="shared" si="58"/>
        <v>0</v>
      </c>
      <c r="J222" s="1225">
        <f t="shared" si="58"/>
        <v>0</v>
      </c>
      <c r="K222" s="1225">
        <f t="shared" si="58"/>
        <v>0</v>
      </c>
      <c r="L222" s="1225">
        <f t="shared" si="58"/>
        <v>0</v>
      </c>
      <c r="M222" s="1225">
        <f t="shared" si="58"/>
        <v>0</v>
      </c>
      <c r="N222" s="1225">
        <f t="shared" si="58"/>
        <v>0</v>
      </c>
      <c r="O222" s="1225">
        <f t="shared" si="58"/>
        <v>0</v>
      </c>
    </row>
    <row r="223" spans="1:15" ht="17.25" customHeight="1" x14ac:dyDescent="0.2">
      <c r="A223" s="262" t="str">
        <f>A10</f>
        <v>Programi 1e</v>
      </c>
      <c r="B223" s="1225">
        <f>C10</f>
        <v>0</v>
      </c>
      <c r="C223" s="1225" t="e">
        <f>#REF!</f>
        <v>#REF!</v>
      </c>
      <c r="D223" s="1225" t="e">
        <f>#REF!</f>
        <v>#REF!</v>
      </c>
      <c r="E223" s="1225" t="e">
        <f>#REF!</f>
        <v>#REF!</v>
      </c>
      <c r="F223" s="1225" t="e">
        <f>#REF!</f>
        <v>#REF!</v>
      </c>
      <c r="G223" s="1225" t="e">
        <f>#REF!</f>
        <v>#REF!</v>
      </c>
      <c r="H223" s="1225" t="e">
        <f>#REF!</f>
        <v>#REF!</v>
      </c>
      <c r="I223" s="1225" t="e">
        <f>#REF!</f>
        <v>#REF!</v>
      </c>
      <c r="J223" s="1225" t="e">
        <f>#REF!</f>
        <v>#REF!</v>
      </c>
      <c r="K223" s="1225" t="e">
        <f>#REF!</f>
        <v>#REF!</v>
      </c>
      <c r="L223" s="1225" t="e">
        <f>#REF!</f>
        <v>#REF!</v>
      </c>
      <c r="M223" s="1225" t="e">
        <f>#REF!</f>
        <v>#REF!</v>
      </c>
      <c r="N223" s="1225" t="e">
        <f>#REF!</f>
        <v>#REF!</v>
      </c>
      <c r="O223" s="1225" t="e">
        <f>#REF!</f>
        <v>#REF!</v>
      </c>
    </row>
    <row r="224" spans="1:15" ht="17.25" customHeight="1" x14ac:dyDescent="0.2">
      <c r="A224" s="262">
        <f>'(B3) Struktura Funksionale'!B12</f>
        <v>0</v>
      </c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  <c r="L224" s="485"/>
      <c r="M224" s="485"/>
      <c r="N224" s="485"/>
      <c r="O224" s="486"/>
    </row>
    <row r="225" spans="1:15" ht="21.75" customHeight="1" x14ac:dyDescent="0.2">
      <c r="A225" s="1252" t="str">
        <f t="shared" ref="A225:G225" si="59">A69</f>
        <v>SHPENZIME TË PRITSHME</v>
      </c>
      <c r="B225" s="1253">
        <f t="shared" si="59"/>
        <v>0</v>
      </c>
      <c r="C225" s="1253">
        <f t="shared" si="59"/>
        <v>0</v>
      </c>
      <c r="D225" s="1253">
        <f t="shared" si="59"/>
        <v>0</v>
      </c>
      <c r="E225" s="1253">
        <f t="shared" si="59"/>
        <v>0</v>
      </c>
      <c r="F225" s="1253">
        <f t="shared" si="59"/>
        <v>0</v>
      </c>
      <c r="G225" s="1254">
        <f t="shared" si="59"/>
        <v>0</v>
      </c>
      <c r="H225" s="128"/>
      <c r="I225" s="1255" t="str">
        <f t="shared" ref="I225:O225" si="60">I69</f>
        <v xml:space="preserve">TË ARDHURAT E PRITSHME </v>
      </c>
      <c r="J225" s="1253">
        <f t="shared" si="60"/>
        <v>0</v>
      </c>
      <c r="K225" s="1253">
        <f t="shared" si="60"/>
        <v>0</v>
      </c>
      <c r="L225" s="1253">
        <f t="shared" si="60"/>
        <v>0</v>
      </c>
      <c r="M225" s="1253">
        <f t="shared" si="60"/>
        <v>0</v>
      </c>
      <c r="N225" s="1253">
        <f t="shared" si="60"/>
        <v>0</v>
      </c>
      <c r="O225" s="1254">
        <f t="shared" si="60"/>
        <v>0</v>
      </c>
    </row>
    <row r="226" spans="1:15" ht="18.75" customHeight="1" x14ac:dyDescent="0.2">
      <c r="A226" s="202"/>
      <c r="B226" s="363">
        <f t="shared" ref="B226:G226" si="61">B70</f>
        <v>2019</v>
      </c>
      <c r="C226" s="363">
        <f t="shared" si="61"/>
        <v>2020</v>
      </c>
      <c r="D226" s="363">
        <f t="shared" si="61"/>
        <v>2021</v>
      </c>
      <c r="E226" s="238">
        <f t="shared" si="61"/>
        <v>2022</v>
      </c>
      <c r="F226" s="238">
        <f t="shared" si="61"/>
        <v>2023</v>
      </c>
      <c r="G226" s="238">
        <f t="shared" si="61"/>
        <v>2024</v>
      </c>
      <c r="H226" s="203"/>
      <c r="I226" s="360"/>
      <c r="J226" s="363">
        <f t="shared" ref="J226:O226" si="62">J70</f>
        <v>2019</v>
      </c>
      <c r="K226" s="363">
        <f t="shared" si="62"/>
        <v>2020</v>
      </c>
      <c r="L226" s="363">
        <f t="shared" si="62"/>
        <v>2021</v>
      </c>
      <c r="M226" s="238">
        <f t="shared" si="62"/>
        <v>2022</v>
      </c>
      <c r="N226" s="238">
        <f t="shared" si="62"/>
        <v>2023</v>
      </c>
      <c r="O226" s="238">
        <f t="shared" si="62"/>
        <v>2024</v>
      </c>
    </row>
    <row r="227" spans="1:15" ht="12.75" x14ac:dyDescent="0.2">
      <c r="A227" s="380"/>
      <c r="B227" s="200"/>
      <c r="C227" s="368"/>
      <c r="D227" s="281"/>
      <c r="E227" s="8"/>
      <c r="F227" s="8"/>
      <c r="G227" s="381"/>
      <c r="H227" s="128"/>
      <c r="I227" s="369"/>
      <c r="J227" s="305"/>
      <c r="K227" s="305"/>
      <c r="L227" s="305"/>
      <c r="M227" s="305"/>
      <c r="N227" s="305"/>
      <c r="O227" s="306"/>
    </row>
    <row r="228" spans="1:15" ht="12.75" x14ac:dyDescent="0.2">
      <c r="A228" s="134" t="str">
        <f>A72</f>
        <v>SHPENZIME TË PRITSHME</v>
      </c>
      <c r="B228" s="33">
        <f>VLOOKUP(A223,'(C1) Shpenzimet vitet e kaluara'!A$9:O$177,5,FALSE)</f>
        <v>0</v>
      </c>
      <c r="C228" s="33">
        <f>VLOOKUP(A223,'(C1) Shpenzimet vitet e kaluara'!A$9:O$177,9,FALSE)</f>
        <v>0</v>
      </c>
      <c r="D228" s="33">
        <f>VLOOKUP(A223,'(C1) Shpenzimet vitet e kaluara'!A$9:O$177,13,FALSE)</f>
        <v>0</v>
      </c>
      <c r="E228" s="36"/>
      <c r="F228" s="36"/>
      <c r="G228" s="36"/>
      <c r="H228" s="128"/>
      <c r="I228" s="1226" t="str">
        <f t="shared" ref="I228:O228" si="63">I72</f>
        <v>VLERËSIM I ARDHURAVE NGA TARIFAT</v>
      </c>
      <c r="J228" s="1227">
        <f t="shared" si="63"/>
        <v>0</v>
      </c>
      <c r="K228" s="1227">
        <f t="shared" si="63"/>
        <v>0</v>
      </c>
      <c r="L228" s="1227">
        <f t="shared" si="63"/>
        <v>0</v>
      </c>
      <c r="M228" s="1227">
        <f t="shared" si="63"/>
        <v>0</v>
      </c>
      <c r="N228" s="1227">
        <f t="shared" si="63"/>
        <v>0</v>
      </c>
      <c r="O228" s="1228">
        <f t="shared" si="63"/>
        <v>0</v>
      </c>
    </row>
    <row r="229" spans="1:15" ht="12.75" x14ac:dyDescent="0.2">
      <c r="A229" s="122"/>
      <c r="B229" s="201"/>
      <c r="C229" s="123"/>
      <c r="D229" s="123"/>
      <c r="E229" s="10"/>
      <c r="F229" s="10"/>
      <c r="G229" s="130"/>
      <c r="H229" s="10"/>
      <c r="I229" s="134" t="str">
        <f>I73</f>
        <v>VLERËSIM I ARDHURAVE NGA TARIFAT</v>
      </c>
      <c r="J229" s="34">
        <f>VLOOKUP($A223,'(C1) Shpenzimet vitet e kaluara'!$A$9:$O$177,6,FALSE)</f>
        <v>0</v>
      </c>
      <c r="K229" s="34">
        <f>VLOOKUP($A223,'(C1) Shpenzimet vitet e kaluara'!$A$9:$O$177,10,FALSE)</f>
        <v>0</v>
      </c>
      <c r="L229" s="34">
        <f>VLOOKUP($A223,'(C1) Shpenzimet vitet e kaluara'!$A$9:$O$177,14,FALSE)</f>
        <v>0</v>
      </c>
      <c r="M229" s="36"/>
      <c r="N229" s="36"/>
      <c r="O229" s="36"/>
    </row>
    <row r="230" spans="1:15" ht="12.75" x14ac:dyDescent="0.2">
      <c r="A230" s="1232" t="str">
        <f t="shared" ref="A230:G231" si="64">A74</f>
        <v>SHPENZIME TË PRITSHME</v>
      </c>
      <c r="B230" s="1233">
        <f t="shared" si="64"/>
        <v>0</v>
      </c>
      <c r="C230" s="1233">
        <f t="shared" si="64"/>
        <v>0</v>
      </c>
      <c r="D230" s="1233">
        <f t="shared" si="64"/>
        <v>0</v>
      </c>
      <c r="E230" s="1233">
        <f t="shared" si="64"/>
        <v>0</v>
      </c>
      <c r="F230" s="1233">
        <f t="shared" si="64"/>
        <v>0</v>
      </c>
      <c r="G230" s="1234">
        <f t="shared" si="64"/>
        <v>0</v>
      </c>
      <c r="H230" s="10"/>
    </row>
    <row r="231" spans="1:15" ht="12.75" x14ac:dyDescent="0.2">
      <c r="A231" s="1226" t="str">
        <f t="shared" si="64"/>
        <v>KOSTO DIREKTE PËR PROJEKTET DHE SHPENZIMET KAPITALE</v>
      </c>
      <c r="B231" s="1227">
        <f t="shared" si="64"/>
        <v>0</v>
      </c>
      <c r="C231" s="1227">
        <f t="shared" si="64"/>
        <v>0</v>
      </c>
      <c r="D231" s="1227">
        <f t="shared" si="64"/>
        <v>0</v>
      </c>
      <c r="E231" s="1227">
        <f t="shared" si="64"/>
        <v>0</v>
      </c>
      <c r="F231" s="1227">
        <f t="shared" si="64"/>
        <v>0</v>
      </c>
      <c r="G231" s="1228">
        <f t="shared" si="64"/>
        <v>0</v>
      </c>
      <c r="H231" s="30"/>
      <c r="I231" s="1226" t="str">
        <f t="shared" ref="I231:I236" si="65">I75</f>
        <v>VLERËSIMI I TË ARDHURAVE ME DESTINACION</v>
      </c>
      <c r="J231" s="1227"/>
      <c r="K231" s="1227"/>
      <c r="L231" s="1227"/>
      <c r="M231" s="1227"/>
      <c r="N231" s="1227"/>
      <c r="O231" s="1228"/>
    </row>
    <row r="232" spans="1:15" ht="12.75" x14ac:dyDescent="0.2">
      <c r="A232" s="121" t="str">
        <f t="shared" ref="A232:D254" si="66">A76</f>
        <v>Pagat</v>
      </c>
      <c r="B232" s="1229">
        <f t="shared" si="66"/>
        <v>600</v>
      </c>
      <c r="C232" s="1230">
        <f t="shared" si="66"/>
        <v>0</v>
      </c>
      <c r="D232" s="1231">
        <f t="shared" si="66"/>
        <v>0</v>
      </c>
      <c r="E232" s="126"/>
      <c r="F232" s="126"/>
      <c r="G232" s="126"/>
      <c r="H232" s="30"/>
      <c r="I232" s="339" t="str">
        <f t="shared" si="65"/>
        <v>Transferta e kushtëzuar</v>
      </c>
      <c r="J232" s="336"/>
      <c r="K232" s="338"/>
      <c r="L232" s="337"/>
      <c r="M232" s="125"/>
      <c r="N232" s="125"/>
      <c r="O232" s="129"/>
    </row>
    <row r="233" spans="1:15" ht="12.75" x14ac:dyDescent="0.2">
      <c r="A233" s="121" t="str">
        <f t="shared" si="66"/>
        <v>Sigurimet Shoqërore</v>
      </c>
      <c r="B233" s="1229">
        <f t="shared" si="66"/>
        <v>601</v>
      </c>
      <c r="C233" s="1230">
        <f t="shared" si="66"/>
        <v>0</v>
      </c>
      <c r="D233" s="1231">
        <f t="shared" si="66"/>
        <v>0</v>
      </c>
      <c r="E233" s="126"/>
      <c r="F233" s="126"/>
      <c r="G233" s="126"/>
      <c r="H233" s="30"/>
      <c r="I233" s="339" t="str">
        <f t="shared" si="65"/>
        <v>Trasferta Specifike</v>
      </c>
      <c r="J233" s="336"/>
      <c r="K233" s="338"/>
      <c r="L233" s="337"/>
      <c r="M233" s="125"/>
      <c r="N233" s="125"/>
      <c r="O233" s="129"/>
    </row>
    <row r="234" spans="1:15" ht="12.75" x14ac:dyDescent="0.2">
      <c r="A234" s="121" t="str">
        <f t="shared" si="66"/>
        <v>Mallra dhe shërbime</v>
      </c>
      <c r="B234" s="1229">
        <f t="shared" si="66"/>
        <v>602</v>
      </c>
      <c r="C234" s="1230">
        <f t="shared" si="66"/>
        <v>0</v>
      </c>
      <c r="D234" s="1231">
        <f t="shared" si="66"/>
        <v>0</v>
      </c>
      <c r="E234" s="126"/>
      <c r="F234" s="126"/>
      <c r="G234" s="126"/>
      <c r="H234" s="52"/>
      <c r="I234" s="339" t="str">
        <f t="shared" si="65"/>
        <v>Trashëgimi me destinacion</v>
      </c>
      <c r="J234" s="336"/>
      <c r="K234" s="338"/>
      <c r="L234" s="337"/>
      <c r="M234" s="264">
        <f>VLOOKUP($A223,'(C4) Trashëgimi me destinacion'!$A$8:$F$168,4,FALSE)</f>
        <v>0</v>
      </c>
      <c r="N234" s="479">
        <f>VLOOKUP($A223,'(C4) Trashëgimi me destinacion'!$A$8:$F$168,5,FALSE)</f>
        <v>0</v>
      </c>
      <c r="O234" s="481">
        <f>VLOOKUP($A223,'(C4) Trashëgimi me destinacion'!$A$8:$F$168,6,FALSE)</f>
        <v>0</v>
      </c>
    </row>
    <row r="235" spans="1:15" ht="12.75" x14ac:dyDescent="0.2">
      <c r="A235" s="121" t="str">
        <f t="shared" si="66"/>
        <v>Subvencione</v>
      </c>
      <c r="B235" s="1229">
        <f t="shared" si="66"/>
        <v>603</v>
      </c>
      <c r="C235" s="1230">
        <f t="shared" si="66"/>
        <v>0</v>
      </c>
      <c r="D235" s="1231">
        <f t="shared" si="66"/>
        <v>0</v>
      </c>
      <c r="E235" s="126"/>
      <c r="F235" s="126"/>
      <c r="G235" s="126"/>
      <c r="H235" s="8"/>
      <c r="I235" s="339" t="str">
        <f t="shared" si="65"/>
        <v>Burime të tjera (përfshirë gjobat)</v>
      </c>
      <c r="J235" s="336"/>
      <c r="K235" s="338"/>
      <c r="L235" s="337"/>
      <c r="M235" s="125"/>
      <c r="N235" s="125"/>
      <c r="O235" s="129"/>
    </row>
    <row r="236" spans="1:15" ht="12.75" x14ac:dyDescent="0.2">
      <c r="A236" s="121" t="str">
        <f t="shared" si="66"/>
        <v>Të tjera transferta korrente të brendshme</v>
      </c>
      <c r="B236" s="1229">
        <f t="shared" si="66"/>
        <v>604</v>
      </c>
      <c r="C236" s="1230">
        <f t="shared" si="66"/>
        <v>0</v>
      </c>
      <c r="D236" s="1231">
        <f t="shared" si="66"/>
        <v>0</v>
      </c>
      <c r="E236" s="126"/>
      <c r="F236" s="126"/>
      <c r="G236" s="126"/>
      <c r="H236" s="52"/>
      <c r="I236" s="339" t="str">
        <f t="shared" si="65"/>
        <v>VLERËSIMI I TË ARDHURAVE ME DESTINACION</v>
      </c>
      <c r="J236" s="34">
        <f>VLOOKUP($A223,'(C1) Shpenzimet vitet e kaluara'!$A$9:$O$177,7,FALSE)</f>
        <v>0</v>
      </c>
      <c r="K236" s="34">
        <f>VLOOKUP($A223,'(C1) Shpenzimet vitet e kaluara'!$A$9:$O$177,11,FALSE)</f>
        <v>0</v>
      </c>
      <c r="L236" s="34">
        <f>VLOOKUP($A223,'(C1) Shpenzimet vitet e kaluara'!$A$9:$O$177,15,FALSE)</f>
        <v>0</v>
      </c>
      <c r="M236" s="126">
        <f>SUM(M232:M235)</f>
        <v>0</v>
      </c>
      <c r="N236" s="126">
        <f>SUM(N232:N235)</f>
        <v>0</v>
      </c>
      <c r="O236" s="126">
        <f>SUM(O232:O235)</f>
        <v>0</v>
      </c>
    </row>
    <row r="237" spans="1:15" ht="12.75" x14ac:dyDescent="0.2">
      <c r="A237" s="121" t="str">
        <f t="shared" si="66"/>
        <v>Transferta korrente të huaja</v>
      </c>
      <c r="B237" s="1229">
        <f t="shared" si="66"/>
        <v>605</v>
      </c>
      <c r="C237" s="1230">
        <f t="shared" si="66"/>
        <v>0</v>
      </c>
      <c r="D237" s="1231">
        <f t="shared" si="66"/>
        <v>0</v>
      </c>
      <c r="E237" s="126"/>
      <c r="F237" s="126"/>
      <c r="G237" s="126"/>
      <c r="H237" s="52"/>
    </row>
    <row r="238" spans="1:15" ht="12.75" x14ac:dyDescent="0.2">
      <c r="A238" s="121" t="str">
        <f t="shared" si="66"/>
        <v>Transferta për Buxhetet Familiare dhe Individët</v>
      </c>
      <c r="B238" s="1229">
        <f t="shared" si="66"/>
        <v>606</v>
      </c>
      <c r="C238" s="1230">
        <f t="shared" si="66"/>
        <v>0</v>
      </c>
      <c r="D238" s="1231">
        <f t="shared" si="66"/>
        <v>0</v>
      </c>
      <c r="E238" s="126"/>
      <c r="F238" s="126"/>
      <c r="G238" s="126"/>
      <c r="H238" s="52"/>
      <c r="I238" s="134" t="str">
        <f>I82</f>
        <v xml:space="preserve">TË ARDHURAT E PRITSHME </v>
      </c>
      <c r="J238" s="33">
        <f>J229+J236</f>
        <v>0</v>
      </c>
      <c r="K238" s="33">
        <f>K229+K236</f>
        <v>0</v>
      </c>
      <c r="L238" s="33">
        <f>L229+L236</f>
        <v>0</v>
      </c>
      <c r="M238" s="126">
        <f>M236+M229</f>
        <v>0</v>
      </c>
      <c r="N238" s="126">
        <f>N236+N229</f>
        <v>0</v>
      </c>
      <c r="O238" s="126">
        <f>O236+O229</f>
        <v>0</v>
      </c>
    </row>
    <row r="239" spans="1:15" ht="12.75" x14ac:dyDescent="0.2">
      <c r="A239" s="121" t="str">
        <f t="shared" si="66"/>
        <v>Shpenzimet kapitale</v>
      </c>
      <c r="B239" s="1229" t="str">
        <f t="shared" si="66"/>
        <v>230 / 231</v>
      </c>
      <c r="C239" s="1230">
        <f t="shared" si="66"/>
        <v>0</v>
      </c>
      <c r="D239" s="1231">
        <f t="shared" si="66"/>
        <v>0</v>
      </c>
      <c r="E239" s="36"/>
      <c r="F239" s="36"/>
      <c r="G239" s="36"/>
      <c r="H239" s="52"/>
    </row>
    <row r="240" spans="1:15" ht="12.75" x14ac:dyDescent="0.2">
      <c r="A240" s="121" t="str">
        <f t="shared" si="66"/>
        <v>Rezerva</v>
      </c>
      <c r="B240" s="1229">
        <f t="shared" si="66"/>
        <v>609</v>
      </c>
      <c r="C240" s="1230">
        <f t="shared" si="66"/>
        <v>0</v>
      </c>
      <c r="D240" s="1231">
        <f t="shared" si="66"/>
        <v>0</v>
      </c>
      <c r="E240" s="126"/>
      <c r="F240" s="126"/>
      <c r="G240" s="126"/>
      <c r="H240" s="52"/>
    </row>
    <row r="241" spans="1:15" ht="12.75" x14ac:dyDescent="0.2">
      <c r="A241" s="121" t="str">
        <f t="shared" si="66"/>
        <v>Interesa per kredi direkte ose bono</v>
      </c>
      <c r="B241" s="1229">
        <f t="shared" si="66"/>
        <v>650</v>
      </c>
      <c r="C241" s="1230">
        <f t="shared" si="66"/>
        <v>0</v>
      </c>
      <c r="D241" s="1231">
        <f t="shared" si="66"/>
        <v>0</v>
      </c>
      <c r="E241" s="126"/>
      <c r="F241" s="126"/>
      <c r="G241" s="126"/>
      <c r="H241" s="52"/>
    </row>
    <row r="242" spans="1:15" ht="12.75" x14ac:dyDescent="0.2">
      <c r="A242" s="121" t="str">
        <f t="shared" si="66"/>
        <v>Të tjera</v>
      </c>
      <c r="B242" s="1229" t="str">
        <f t="shared" si="66"/>
        <v>69 / ?</v>
      </c>
      <c r="C242" s="1230">
        <f t="shared" si="66"/>
        <v>0</v>
      </c>
      <c r="D242" s="1231">
        <f t="shared" si="66"/>
        <v>0</v>
      </c>
      <c r="E242" s="126"/>
      <c r="F242" s="126"/>
      <c r="G242" s="126"/>
      <c r="H242" s="52"/>
      <c r="I242" s="1235" t="str">
        <f t="shared" ref="I242:O243" si="67">I86</f>
        <v>SHUMA E KËRKUAR NETO</v>
      </c>
      <c r="J242" s="1236">
        <f t="shared" si="67"/>
        <v>0</v>
      </c>
      <c r="K242" s="1236">
        <f t="shared" si="67"/>
        <v>0</v>
      </c>
      <c r="L242" s="1236">
        <f t="shared" si="67"/>
        <v>0</v>
      </c>
      <c r="M242" s="1236">
        <f t="shared" si="67"/>
        <v>0</v>
      </c>
      <c r="N242" s="1236">
        <f t="shared" si="67"/>
        <v>0</v>
      </c>
      <c r="O242" s="1237">
        <f t="shared" si="67"/>
        <v>0</v>
      </c>
    </row>
    <row r="243" spans="1:15" ht="12.75" customHeight="1" x14ac:dyDescent="0.2">
      <c r="A243" s="268" t="str">
        <f t="shared" si="66"/>
        <v>KOSTO DIREKTE PËR PROJEKTET DHE SHPENZIMET KAPITALE</v>
      </c>
      <c r="B243" s="1229">
        <f t="shared" si="66"/>
        <v>0</v>
      </c>
      <c r="C243" s="1230">
        <f t="shared" si="66"/>
        <v>0</v>
      </c>
      <c r="D243" s="1231">
        <f t="shared" si="66"/>
        <v>0</v>
      </c>
      <c r="E243" s="126">
        <f>SUM(E232:E242)</f>
        <v>0</v>
      </c>
      <c r="F243" s="126">
        <f>SUM(F232:F242)</f>
        <v>0</v>
      </c>
      <c r="G243" s="126">
        <f>SUM(G232:G242)</f>
        <v>0</v>
      </c>
      <c r="H243" s="52"/>
      <c r="I243" s="1238">
        <f t="shared" si="67"/>
        <v>0</v>
      </c>
      <c r="J243" s="1239">
        <f t="shared" si="67"/>
        <v>0</v>
      </c>
      <c r="K243" s="1239">
        <f t="shared" si="67"/>
        <v>0</v>
      </c>
      <c r="L243" s="1239">
        <f t="shared" si="67"/>
        <v>0</v>
      </c>
      <c r="M243" s="1239">
        <f t="shared" si="67"/>
        <v>0</v>
      </c>
      <c r="N243" s="1239">
        <f t="shared" si="67"/>
        <v>0</v>
      </c>
      <c r="O243" s="1240">
        <f t="shared" si="67"/>
        <v>0</v>
      </c>
    </row>
    <row r="244" spans="1:15" ht="12.75" x14ac:dyDescent="0.2">
      <c r="A244" s="1226" t="str">
        <f t="shared" si="66"/>
        <v>SHPENZIME KORRENTE</v>
      </c>
      <c r="B244" s="1227">
        <f t="shared" si="66"/>
        <v>0</v>
      </c>
      <c r="C244" s="1227">
        <f t="shared" si="66"/>
        <v>0</v>
      </c>
      <c r="D244" s="1227">
        <f t="shared" si="66"/>
        <v>0</v>
      </c>
      <c r="E244" s="1227">
        <f>E88</f>
        <v>0</v>
      </c>
      <c r="F244" s="1227">
        <f>F88</f>
        <v>0</v>
      </c>
      <c r="G244" s="1228">
        <f>G88</f>
        <v>0</v>
      </c>
      <c r="H244" s="52"/>
      <c r="I244" s="17" t="str">
        <f>I88</f>
        <v>SHUMA E KËRKUAR NETO</v>
      </c>
      <c r="J244" s="18">
        <f t="shared" ref="J244:O244" si="68">B228-J238</f>
        <v>0</v>
      </c>
      <c r="K244" s="18">
        <f t="shared" si="68"/>
        <v>0</v>
      </c>
      <c r="L244" s="18">
        <f t="shared" si="68"/>
        <v>0</v>
      </c>
      <c r="M244" s="18">
        <f t="shared" si="68"/>
        <v>0</v>
      </c>
      <c r="N244" s="18">
        <f t="shared" si="68"/>
        <v>0</v>
      </c>
      <c r="O244" s="18">
        <f t="shared" si="68"/>
        <v>0</v>
      </c>
    </row>
    <row r="245" spans="1:15" ht="12.75" x14ac:dyDescent="0.2">
      <c r="A245" s="121" t="str">
        <f t="shared" si="66"/>
        <v>Pagat</v>
      </c>
      <c r="B245" s="1229">
        <f t="shared" si="66"/>
        <v>600</v>
      </c>
      <c r="C245" s="1230">
        <f t="shared" si="66"/>
        <v>0</v>
      </c>
      <c r="D245" s="1231">
        <f t="shared" si="66"/>
        <v>0</v>
      </c>
      <c r="E245" s="36"/>
      <c r="F245" s="36"/>
      <c r="G245" s="36"/>
      <c r="H245" s="52"/>
      <c r="I245" s="52"/>
      <c r="J245" s="52"/>
      <c r="K245" s="52"/>
      <c r="L245" s="14"/>
      <c r="M245" s="53"/>
    </row>
    <row r="246" spans="1:15" ht="12.75" x14ac:dyDescent="0.2">
      <c r="A246" s="121" t="str">
        <f t="shared" si="66"/>
        <v>Sigurimet Shoqërore</v>
      </c>
      <c r="B246" s="1229">
        <f t="shared" si="66"/>
        <v>601</v>
      </c>
      <c r="C246" s="1230">
        <f t="shared" si="66"/>
        <v>0</v>
      </c>
      <c r="D246" s="1231">
        <f t="shared" si="66"/>
        <v>0</v>
      </c>
      <c r="E246" s="36"/>
      <c r="F246" s="36"/>
      <c r="G246" s="36"/>
      <c r="H246" s="52"/>
    </row>
    <row r="247" spans="1:15" ht="12.75" x14ac:dyDescent="0.2">
      <c r="A247" s="121" t="str">
        <f t="shared" si="66"/>
        <v>Mallra dhe shërbime</v>
      </c>
      <c r="B247" s="1229">
        <f t="shared" si="66"/>
        <v>602</v>
      </c>
      <c r="C247" s="1230">
        <f t="shared" si="66"/>
        <v>0</v>
      </c>
      <c r="D247" s="1231">
        <f t="shared" si="66"/>
        <v>0</v>
      </c>
      <c r="E247" s="36"/>
      <c r="F247" s="36"/>
      <c r="G247" s="36"/>
      <c r="H247" s="52"/>
      <c r="I247" s="239" t="str">
        <f>I208</f>
        <v>Angazhimet</v>
      </c>
      <c r="J247" s="1290" t="str">
        <f>J208</f>
        <v>Vlera Totale për Aktivitet</v>
      </c>
      <c r="K247" s="1291"/>
      <c r="L247" s="1292"/>
      <c r="M247" s="126">
        <f>VLOOKUP($A223,'(C5) Angazhimet'!$A$8:$F$168,4,FALSE)</f>
        <v>0</v>
      </c>
      <c r="N247" s="126">
        <f>VLOOKUP($A223,'(C5) Angazhimet'!$A$8:$F$168,5,FALSE)</f>
        <v>0</v>
      </c>
      <c r="O247" s="126">
        <f>VLOOKUP($A223,'(C5) Angazhimet'!$A$8:$F$168,6,FALSE)</f>
        <v>0</v>
      </c>
    </row>
    <row r="248" spans="1:15" ht="12.75" x14ac:dyDescent="0.2">
      <c r="A248" s="121" t="str">
        <f t="shared" si="66"/>
        <v>Subvencione</v>
      </c>
      <c r="B248" s="1229">
        <f t="shared" si="66"/>
        <v>603</v>
      </c>
      <c r="C248" s="1230">
        <f t="shared" si="66"/>
        <v>0</v>
      </c>
      <c r="D248" s="1231">
        <f t="shared" si="66"/>
        <v>0</v>
      </c>
      <c r="E248" s="36"/>
      <c r="F248" s="36"/>
      <c r="G248" s="36"/>
      <c r="H248" s="52"/>
      <c r="I248" s="279" t="str">
        <f>I209</f>
        <v>Qëllime</v>
      </c>
      <c r="J248" s="1290" t="str">
        <f>J209</f>
        <v>Shpenzimet kapitale</v>
      </c>
      <c r="K248" s="1291"/>
      <c r="L248" s="1292"/>
      <c r="M248" s="125"/>
      <c r="N248" s="125"/>
      <c r="O248" s="129"/>
    </row>
    <row r="249" spans="1:15" ht="12.75" x14ac:dyDescent="0.2">
      <c r="A249" s="121" t="str">
        <f t="shared" si="66"/>
        <v>Të tjera transferta korrente të brendshme</v>
      </c>
      <c r="B249" s="1229">
        <f t="shared" si="66"/>
        <v>604</v>
      </c>
      <c r="C249" s="1230">
        <f t="shared" si="66"/>
        <v>0</v>
      </c>
      <c r="D249" s="1231">
        <f t="shared" si="66"/>
        <v>0</v>
      </c>
      <c r="E249" s="36"/>
      <c r="F249" s="36"/>
      <c r="G249" s="36"/>
      <c r="H249" s="52"/>
      <c r="I249" s="276"/>
      <c r="J249" s="1290" t="str">
        <f>J210</f>
        <v>Mallra dhe shërbime</v>
      </c>
      <c r="K249" s="1291"/>
      <c r="L249" s="1292"/>
      <c r="M249" s="125"/>
      <c r="N249" s="125"/>
      <c r="O249" s="129"/>
    </row>
    <row r="250" spans="1:15" ht="12.75" x14ac:dyDescent="0.2">
      <c r="A250" s="121" t="str">
        <f t="shared" si="66"/>
        <v>Transferta korrente të huaja</v>
      </c>
      <c r="B250" s="1229">
        <f t="shared" si="66"/>
        <v>605</v>
      </c>
      <c r="C250" s="1230">
        <f t="shared" si="66"/>
        <v>0</v>
      </c>
      <c r="D250" s="1231">
        <f t="shared" si="66"/>
        <v>0</v>
      </c>
      <c r="E250" s="36"/>
      <c r="F250" s="36"/>
      <c r="G250" s="36"/>
      <c r="H250" s="52"/>
      <c r="I250" s="276"/>
      <c r="J250" s="1290" t="str">
        <f>J211</f>
        <v>Qëllime të mëtejshme</v>
      </c>
      <c r="K250" s="1291"/>
      <c r="L250" s="1292"/>
      <c r="M250" s="125"/>
      <c r="N250" s="125"/>
      <c r="O250" s="129"/>
    </row>
    <row r="251" spans="1:15" ht="12.75" x14ac:dyDescent="0.2">
      <c r="A251" s="121" t="str">
        <f t="shared" si="66"/>
        <v>Transferta për Buxhetet Familiare dhe Individët</v>
      </c>
      <c r="B251" s="1229">
        <f t="shared" si="66"/>
        <v>606</v>
      </c>
      <c r="C251" s="1230">
        <f t="shared" si="66"/>
        <v>0</v>
      </c>
      <c r="D251" s="1231">
        <f t="shared" si="66"/>
        <v>0</v>
      </c>
      <c r="E251" s="36"/>
      <c r="F251" s="36"/>
      <c r="G251" s="36"/>
      <c r="H251" s="52"/>
      <c r="I251" s="276"/>
      <c r="J251" s="1286"/>
      <c r="K251" s="1286"/>
      <c r="L251" s="1286"/>
      <c r="M251" s="299" t="str">
        <f>IF(SUM(M248:M250)=M247,"OK","STOP")</f>
        <v>OK</v>
      </c>
      <c r="N251" s="299" t="str">
        <f>IF(SUM(N248:N250)=N247,"OK","STOP")</f>
        <v>OK</v>
      </c>
      <c r="O251" s="299" t="str">
        <f>IF(SUM(O248:O250)=O247,"OK","STOP")</f>
        <v>OK</v>
      </c>
    </row>
    <row r="252" spans="1:15" ht="12.75" x14ac:dyDescent="0.2">
      <c r="A252" s="564" t="str">
        <f t="shared" si="66"/>
        <v>Shpenzimet kapitale</v>
      </c>
      <c r="B252" s="1256" t="str">
        <f t="shared" si="66"/>
        <v>230 / 231</v>
      </c>
      <c r="C252" s="1257">
        <f t="shared" si="66"/>
        <v>0</v>
      </c>
      <c r="D252" s="1258">
        <f t="shared" si="66"/>
        <v>0</v>
      </c>
      <c r="E252" s="126"/>
      <c r="F252" s="126"/>
      <c r="G252" s="126"/>
      <c r="H252" s="52"/>
      <c r="I252" s="367" t="str">
        <f>I213</f>
        <v>Shpjegimet teknike</v>
      </c>
      <c r="J252" s="10"/>
      <c r="K252" s="10"/>
      <c r="L252" s="10"/>
      <c r="M252" s="10"/>
      <c r="N252" s="10"/>
      <c r="O252" s="10"/>
    </row>
    <row r="253" spans="1:15" ht="12.75" x14ac:dyDescent="0.2">
      <c r="A253" s="121" t="str">
        <f t="shared" si="66"/>
        <v>Rezerva</v>
      </c>
      <c r="B253" s="1229">
        <f t="shared" si="66"/>
        <v>609</v>
      </c>
      <c r="C253" s="1230">
        <f t="shared" si="66"/>
        <v>0</v>
      </c>
      <c r="D253" s="1231">
        <f t="shared" si="66"/>
        <v>0</v>
      </c>
      <c r="E253" s="36"/>
      <c r="F253" s="36"/>
      <c r="G253" s="36"/>
      <c r="H253" s="52"/>
      <c r="I253" s="365">
        <f>M226</f>
        <v>2022</v>
      </c>
      <c r="J253" s="1271"/>
      <c r="K253" s="1272"/>
      <c r="L253" s="1272"/>
      <c r="M253" s="1272"/>
      <c r="N253" s="1272"/>
      <c r="O253" s="1273"/>
    </row>
    <row r="254" spans="1:15" ht="12.75" x14ac:dyDescent="0.2">
      <c r="A254" s="121" t="str">
        <f t="shared" si="66"/>
        <v>Interesa per kredi direkte ose bono</v>
      </c>
      <c r="B254" s="1259">
        <f t="shared" si="66"/>
        <v>650</v>
      </c>
      <c r="C254" s="1260">
        <f t="shared" si="66"/>
        <v>0</v>
      </c>
      <c r="D254" s="1261">
        <f t="shared" si="66"/>
        <v>0</v>
      </c>
      <c r="E254" s="36"/>
      <c r="F254" s="36"/>
      <c r="G254" s="36"/>
      <c r="H254" s="52"/>
      <c r="I254" s="366"/>
      <c r="J254" s="1274"/>
      <c r="K254" s="1275"/>
      <c r="L254" s="1275"/>
      <c r="M254" s="1275"/>
      <c r="N254" s="1275"/>
      <c r="O254" s="1276"/>
    </row>
    <row r="255" spans="1:15" ht="12.75" x14ac:dyDescent="0.2">
      <c r="A255" s="239" t="str">
        <f>A99</f>
        <v>Të tjera</v>
      </c>
      <c r="B255" s="1229" t="str">
        <f>B99</f>
        <v>69 / ?</v>
      </c>
      <c r="C255" s="1230">
        <f>C99</f>
        <v>0</v>
      </c>
      <c r="D255" s="273" t="str">
        <f>IF(OR(E255&lt;0,F255&lt;0,G255&lt;0),"STOP","OK!")</f>
        <v>OK!</v>
      </c>
      <c r="E255" s="127">
        <f>-E243+E228-(SUM(E245:E254))</f>
        <v>0</v>
      </c>
      <c r="F255" s="270">
        <f>-F243+F228-(SUM(F245:F254))</f>
        <v>0</v>
      </c>
      <c r="G255" s="270">
        <f>-G243+G228-(SUM(G245:G254))</f>
        <v>0</v>
      </c>
      <c r="H255" s="52"/>
      <c r="I255" s="365">
        <f>N226</f>
        <v>2023</v>
      </c>
      <c r="J255" s="1271"/>
      <c r="K255" s="1272"/>
      <c r="L255" s="1272"/>
      <c r="M255" s="1272"/>
      <c r="N255" s="1272"/>
      <c r="O255" s="1273"/>
    </row>
    <row r="256" spans="1:15" ht="12.75" x14ac:dyDescent="0.2">
      <c r="A256" s="121" t="str">
        <f>A100</f>
        <v>SHPENZIME KORRENTE</v>
      </c>
      <c r="B256" s="1262"/>
      <c r="C256" s="1263"/>
      <c r="D256" s="1264"/>
      <c r="E256" s="126">
        <f>SUM(E245:E255)</f>
        <v>0</v>
      </c>
      <c r="F256" s="126">
        <f>SUM(F245:F255)</f>
        <v>0</v>
      </c>
      <c r="G256" s="126">
        <f>SUM(G245:G255)</f>
        <v>0</v>
      </c>
      <c r="H256" s="52"/>
      <c r="I256" s="366"/>
      <c r="J256" s="1277"/>
      <c r="K256" s="1278"/>
      <c r="L256" s="1278"/>
      <c r="M256" s="1278"/>
      <c r="N256" s="1278"/>
      <c r="O256" s="1279"/>
    </row>
    <row r="257" spans="1:15" ht="12.75" x14ac:dyDescent="0.2">
      <c r="A257" s="122"/>
      <c r="B257" s="201"/>
      <c r="C257" s="123"/>
      <c r="D257" s="123"/>
      <c r="E257" s="10"/>
      <c r="F257" s="10"/>
      <c r="G257" s="130"/>
      <c r="H257" s="52"/>
      <c r="I257" s="365">
        <f>O226</f>
        <v>2024</v>
      </c>
      <c r="J257" s="1271"/>
      <c r="K257" s="1272"/>
      <c r="L257" s="1272"/>
      <c r="M257" s="1272"/>
      <c r="N257" s="1272"/>
      <c r="O257" s="1273"/>
    </row>
    <row r="258" spans="1:15" ht="12.75" x14ac:dyDescent="0.2">
      <c r="A258" s="134" t="str">
        <f>A102</f>
        <v>SHPENZIME TË PRITSHME</v>
      </c>
      <c r="B258" s="33">
        <f>B228</f>
        <v>0</v>
      </c>
      <c r="C258" s="33">
        <f>C228</f>
        <v>0</v>
      </c>
      <c r="D258" s="33">
        <f>D228</f>
        <v>0</v>
      </c>
      <c r="E258" s="126">
        <f>E243+E256</f>
        <v>0</v>
      </c>
      <c r="F258" s="126">
        <f>F243+F256</f>
        <v>0</v>
      </c>
      <c r="G258" s="126">
        <f>G243+G256</f>
        <v>0</v>
      </c>
      <c r="H258" s="52"/>
      <c r="I258" s="366"/>
      <c r="J258" s="1277"/>
      <c r="K258" s="1278"/>
      <c r="L258" s="1278"/>
      <c r="M258" s="1278"/>
      <c r="N258" s="1278"/>
      <c r="O258" s="1279"/>
    </row>
    <row r="261" spans="1:15" ht="17.25" customHeight="1" x14ac:dyDescent="0.2">
      <c r="A261" s="204" t="str">
        <f t="shared" ref="A261:O261" si="69">A105</f>
        <v>Nënfunksioni 1</v>
      </c>
      <c r="B261" s="1225" t="str">
        <f t="shared" si="69"/>
        <v>011 Organet ekzekutive dhe legjislative, për çështjet financiare dhe fiskale, çështjet e brendshme</v>
      </c>
      <c r="C261" s="1225">
        <f t="shared" si="69"/>
        <v>0</v>
      </c>
      <c r="D261" s="1225">
        <f t="shared" si="69"/>
        <v>0</v>
      </c>
      <c r="E261" s="1225">
        <f t="shared" si="69"/>
        <v>0</v>
      </c>
      <c r="F261" s="1225">
        <f t="shared" si="69"/>
        <v>0</v>
      </c>
      <c r="G261" s="1225">
        <f t="shared" si="69"/>
        <v>0</v>
      </c>
      <c r="H261" s="1225">
        <f t="shared" si="69"/>
        <v>0</v>
      </c>
      <c r="I261" s="1225">
        <f t="shared" si="69"/>
        <v>0</v>
      </c>
      <c r="J261" s="1225">
        <f t="shared" si="69"/>
        <v>0</v>
      </c>
      <c r="K261" s="1225">
        <f t="shared" si="69"/>
        <v>0</v>
      </c>
      <c r="L261" s="1225">
        <f t="shared" si="69"/>
        <v>0</v>
      </c>
      <c r="M261" s="1225">
        <f t="shared" si="69"/>
        <v>0</v>
      </c>
      <c r="N261" s="1225">
        <f t="shared" si="69"/>
        <v>0</v>
      </c>
      <c r="O261" s="1225">
        <f t="shared" si="69"/>
        <v>0</v>
      </c>
    </row>
    <row r="262" spans="1:15" ht="17.25" customHeight="1" x14ac:dyDescent="0.2">
      <c r="A262" s="262" t="str">
        <f>A11</f>
        <v>Programi 1f</v>
      </c>
      <c r="B262" s="1225">
        <f>C11</f>
        <v>0</v>
      </c>
      <c r="C262" s="1225" t="e">
        <f>#REF!</f>
        <v>#REF!</v>
      </c>
      <c r="D262" s="1225" t="e">
        <f>#REF!</f>
        <v>#REF!</v>
      </c>
      <c r="E262" s="1225" t="e">
        <f>#REF!</f>
        <v>#REF!</v>
      </c>
      <c r="F262" s="1225" t="e">
        <f>#REF!</f>
        <v>#REF!</v>
      </c>
      <c r="G262" s="1225" t="e">
        <f>#REF!</f>
        <v>#REF!</v>
      </c>
      <c r="H262" s="1225" t="e">
        <f>#REF!</f>
        <v>#REF!</v>
      </c>
      <c r="I262" s="1225" t="e">
        <f>#REF!</f>
        <v>#REF!</v>
      </c>
      <c r="J262" s="1225" t="e">
        <f>#REF!</f>
        <v>#REF!</v>
      </c>
      <c r="K262" s="1225" t="e">
        <f>#REF!</f>
        <v>#REF!</v>
      </c>
      <c r="L262" s="1225" t="e">
        <f>#REF!</f>
        <v>#REF!</v>
      </c>
      <c r="M262" s="1225" t="e">
        <f>#REF!</f>
        <v>#REF!</v>
      </c>
      <c r="N262" s="1225" t="e">
        <f>#REF!</f>
        <v>#REF!</v>
      </c>
      <c r="O262" s="1225" t="e">
        <f>#REF!</f>
        <v>#REF!</v>
      </c>
    </row>
    <row r="263" spans="1:15" ht="17.25" customHeight="1" x14ac:dyDescent="0.2">
      <c r="A263" s="262">
        <f>'(B3) Struktura Funksionale'!B13</f>
        <v>0</v>
      </c>
      <c r="B263" s="485"/>
      <c r="C263" s="485"/>
      <c r="D263" s="485"/>
      <c r="E263" s="485"/>
      <c r="F263" s="485"/>
      <c r="G263" s="485"/>
      <c r="H263" s="485"/>
      <c r="I263" s="485"/>
      <c r="J263" s="485"/>
      <c r="K263" s="485"/>
      <c r="L263" s="485"/>
      <c r="M263" s="485"/>
      <c r="N263" s="485"/>
      <c r="O263" s="486"/>
    </row>
    <row r="264" spans="1:15" ht="22.5" customHeight="1" x14ac:dyDescent="0.2">
      <c r="A264" s="1252" t="str">
        <f t="shared" ref="A264:G264" si="70">A108</f>
        <v>SHPENZIME TË PRITSHME</v>
      </c>
      <c r="B264" s="1253">
        <f t="shared" si="70"/>
        <v>0</v>
      </c>
      <c r="C264" s="1253">
        <f t="shared" si="70"/>
        <v>0</v>
      </c>
      <c r="D264" s="1253">
        <f t="shared" si="70"/>
        <v>0</v>
      </c>
      <c r="E264" s="1253">
        <f t="shared" si="70"/>
        <v>0</v>
      </c>
      <c r="F264" s="1253">
        <f t="shared" si="70"/>
        <v>0</v>
      </c>
      <c r="G264" s="1254">
        <f t="shared" si="70"/>
        <v>0</v>
      </c>
      <c r="H264" s="128"/>
      <c r="I264" s="1255" t="str">
        <f t="shared" ref="I264:O264" si="71">I108</f>
        <v xml:space="preserve">TË ARDHURAT E PRITSHME </v>
      </c>
      <c r="J264" s="1253">
        <f t="shared" si="71"/>
        <v>0</v>
      </c>
      <c r="K264" s="1253">
        <f t="shared" si="71"/>
        <v>0</v>
      </c>
      <c r="L264" s="1253">
        <f t="shared" si="71"/>
        <v>0</v>
      </c>
      <c r="M264" s="1253">
        <f t="shared" si="71"/>
        <v>0</v>
      </c>
      <c r="N264" s="1253">
        <f t="shared" si="71"/>
        <v>0</v>
      </c>
      <c r="O264" s="1254">
        <f t="shared" si="71"/>
        <v>0</v>
      </c>
    </row>
    <row r="265" spans="1:15" ht="20.25" customHeight="1" x14ac:dyDescent="0.2">
      <c r="A265" s="202"/>
      <c r="B265" s="363">
        <f t="shared" ref="B265:G265" si="72">B109</f>
        <v>2019</v>
      </c>
      <c r="C265" s="363">
        <f t="shared" si="72"/>
        <v>2020</v>
      </c>
      <c r="D265" s="363">
        <f t="shared" si="72"/>
        <v>2021</v>
      </c>
      <c r="E265" s="238">
        <f t="shared" si="72"/>
        <v>2022</v>
      </c>
      <c r="F265" s="238">
        <f t="shared" si="72"/>
        <v>2023</v>
      </c>
      <c r="G265" s="238">
        <f t="shared" si="72"/>
        <v>2024</v>
      </c>
      <c r="H265" s="203"/>
      <c r="I265" s="360"/>
      <c r="J265" s="363">
        <f t="shared" ref="J265:O265" si="73">J109</f>
        <v>2019</v>
      </c>
      <c r="K265" s="363">
        <f t="shared" si="73"/>
        <v>2020</v>
      </c>
      <c r="L265" s="363">
        <f t="shared" si="73"/>
        <v>2021</v>
      </c>
      <c r="M265" s="238">
        <f t="shared" si="73"/>
        <v>2022</v>
      </c>
      <c r="N265" s="238">
        <f t="shared" si="73"/>
        <v>2023</v>
      </c>
      <c r="O265" s="238">
        <f t="shared" si="73"/>
        <v>2024</v>
      </c>
    </row>
    <row r="266" spans="1:15" ht="12.75" x14ac:dyDescent="0.2">
      <c r="A266" s="380"/>
      <c r="B266" s="200"/>
      <c r="C266" s="368"/>
      <c r="D266" s="281"/>
      <c r="E266" s="8"/>
      <c r="F266" s="8"/>
      <c r="G266" s="381"/>
      <c r="H266" s="128"/>
      <c r="I266" s="369"/>
      <c r="J266" s="305"/>
      <c r="K266" s="305"/>
      <c r="L266" s="305"/>
      <c r="M266" s="305"/>
      <c r="N266" s="305"/>
      <c r="O266" s="306"/>
    </row>
    <row r="267" spans="1:15" ht="12.75" x14ac:dyDescent="0.2">
      <c r="A267" s="134" t="str">
        <f>A111</f>
        <v>SHPENZIME TË PRITSHME</v>
      </c>
      <c r="B267" s="33">
        <f>VLOOKUP(A262,'(C1) Shpenzimet vitet e kaluara'!A$9:O$177,5,FALSE)</f>
        <v>0</v>
      </c>
      <c r="C267" s="33">
        <f>VLOOKUP(A262,'(C1) Shpenzimet vitet e kaluara'!A$9:O$177,9,FALSE)</f>
        <v>0</v>
      </c>
      <c r="D267" s="33">
        <f>VLOOKUP(A262,'(C1) Shpenzimet vitet e kaluara'!A$9:O$177,13,FALSE)</f>
        <v>0</v>
      </c>
      <c r="E267" s="36"/>
      <c r="F267" s="36"/>
      <c r="G267" s="36"/>
      <c r="H267" s="128"/>
      <c r="I267" s="1226" t="str">
        <f t="shared" ref="I267:O267" si="74">I111</f>
        <v>VLERËSIM I ARDHURAVE NGA TARIFAT</v>
      </c>
      <c r="J267" s="1227">
        <f t="shared" si="74"/>
        <v>0</v>
      </c>
      <c r="K267" s="1227">
        <f t="shared" si="74"/>
        <v>0</v>
      </c>
      <c r="L267" s="1227">
        <f t="shared" si="74"/>
        <v>0</v>
      </c>
      <c r="M267" s="1227">
        <f t="shared" si="74"/>
        <v>0</v>
      </c>
      <c r="N267" s="1227">
        <f t="shared" si="74"/>
        <v>0</v>
      </c>
      <c r="O267" s="1228">
        <f t="shared" si="74"/>
        <v>0</v>
      </c>
    </row>
    <row r="268" spans="1:15" ht="12.75" x14ac:dyDescent="0.2">
      <c r="A268" s="122"/>
      <c r="B268" s="201"/>
      <c r="C268" s="123"/>
      <c r="D268" s="123"/>
      <c r="E268" s="10"/>
      <c r="F268" s="10"/>
      <c r="G268" s="130"/>
      <c r="H268" s="10"/>
      <c r="I268" s="134" t="str">
        <f>I112</f>
        <v>VLERËSIM I ARDHURAVE NGA TARIFAT</v>
      </c>
      <c r="J268" s="34">
        <f>VLOOKUP($A262,'(C1) Shpenzimet vitet e kaluara'!$A$9:$O$177,6,FALSE)</f>
        <v>0</v>
      </c>
      <c r="K268" s="34">
        <f>VLOOKUP($A262,'(C1) Shpenzimet vitet e kaluara'!$A$9:$O$177,10,FALSE)</f>
        <v>0</v>
      </c>
      <c r="L268" s="34">
        <f>VLOOKUP($A262,'(C1) Shpenzimet vitet e kaluara'!$A$9:$O$177,14,FALSE)</f>
        <v>0</v>
      </c>
      <c r="M268" s="36"/>
      <c r="N268" s="36"/>
      <c r="O268" s="36"/>
    </row>
    <row r="269" spans="1:15" ht="12.75" x14ac:dyDescent="0.2">
      <c r="A269" s="1232" t="str">
        <f t="shared" ref="A269:G269" si="75">A113</f>
        <v>SHPENZIME TË PRITSHME</v>
      </c>
      <c r="B269" s="1233">
        <f t="shared" si="75"/>
        <v>0</v>
      </c>
      <c r="C269" s="1233">
        <f t="shared" si="75"/>
        <v>0</v>
      </c>
      <c r="D269" s="1233">
        <f t="shared" si="75"/>
        <v>0</v>
      </c>
      <c r="E269" s="1233">
        <f t="shared" si="75"/>
        <v>0</v>
      </c>
      <c r="F269" s="1233">
        <f t="shared" si="75"/>
        <v>0</v>
      </c>
      <c r="G269" s="1234">
        <f t="shared" si="75"/>
        <v>0</v>
      </c>
      <c r="H269" s="10"/>
    </row>
    <row r="270" spans="1:15" ht="12.75" x14ac:dyDescent="0.2">
      <c r="A270" s="1226" t="str">
        <f t="shared" ref="A270:G270" si="76">A114</f>
        <v>KOSTO DIREKTE PËR PROJEKTET DHE SHPENZIMET KAPITALE</v>
      </c>
      <c r="B270" s="1227">
        <f t="shared" si="76"/>
        <v>0</v>
      </c>
      <c r="C270" s="1227">
        <f t="shared" si="76"/>
        <v>0</v>
      </c>
      <c r="D270" s="1227">
        <f t="shared" si="76"/>
        <v>0</v>
      </c>
      <c r="E270" s="1227">
        <f t="shared" si="76"/>
        <v>0</v>
      </c>
      <c r="F270" s="1227">
        <f t="shared" si="76"/>
        <v>0</v>
      </c>
      <c r="G270" s="1228">
        <f t="shared" si="76"/>
        <v>0</v>
      </c>
      <c r="H270" s="30"/>
      <c r="I270" s="1226" t="str">
        <f t="shared" ref="I270:I275" si="77">I114</f>
        <v>VLERËSIMI I TË ARDHURAVE ME DESTINACION</v>
      </c>
      <c r="J270" s="1227"/>
      <c r="K270" s="1227"/>
      <c r="L270" s="1227"/>
      <c r="M270" s="1227"/>
      <c r="N270" s="1227"/>
      <c r="O270" s="1228"/>
    </row>
    <row r="271" spans="1:15" ht="12.75" x14ac:dyDescent="0.2">
      <c r="A271" s="121" t="str">
        <f t="shared" ref="A271:D293" si="78">A115</f>
        <v>Pagat</v>
      </c>
      <c r="B271" s="1229">
        <f t="shared" si="78"/>
        <v>600</v>
      </c>
      <c r="C271" s="1230">
        <f t="shared" si="78"/>
        <v>0</v>
      </c>
      <c r="D271" s="1231">
        <f t="shared" si="78"/>
        <v>0</v>
      </c>
      <c r="E271" s="126"/>
      <c r="F271" s="126"/>
      <c r="G271" s="126"/>
      <c r="H271" s="30"/>
      <c r="I271" s="477" t="str">
        <f t="shared" si="77"/>
        <v>Transferta e kushtëzuar</v>
      </c>
      <c r="J271" s="336"/>
      <c r="K271" s="338"/>
      <c r="L271" s="337"/>
      <c r="M271" s="125"/>
      <c r="N271" s="125"/>
      <c r="O271" s="129"/>
    </row>
    <row r="272" spans="1:15" ht="12.75" x14ac:dyDescent="0.2">
      <c r="A272" s="121" t="str">
        <f t="shared" si="78"/>
        <v>Sigurimet Shoqërore</v>
      </c>
      <c r="B272" s="1229">
        <f t="shared" si="78"/>
        <v>601</v>
      </c>
      <c r="C272" s="1230">
        <f t="shared" si="78"/>
        <v>0</v>
      </c>
      <c r="D272" s="1231">
        <f t="shared" si="78"/>
        <v>0</v>
      </c>
      <c r="E272" s="126"/>
      <c r="F272" s="126"/>
      <c r="G272" s="126"/>
      <c r="H272" s="30"/>
      <c r="I272" s="477" t="str">
        <f t="shared" si="77"/>
        <v>Trasferta Specifike</v>
      </c>
      <c r="J272" s="336"/>
      <c r="K272" s="338"/>
      <c r="L272" s="337"/>
      <c r="M272" s="125"/>
      <c r="N272" s="125"/>
      <c r="O272" s="129"/>
    </row>
    <row r="273" spans="1:15" ht="12.75" x14ac:dyDescent="0.2">
      <c r="A273" s="121" t="str">
        <f t="shared" si="78"/>
        <v>Mallra dhe shërbime</v>
      </c>
      <c r="B273" s="1229">
        <f t="shared" si="78"/>
        <v>602</v>
      </c>
      <c r="C273" s="1230">
        <f t="shared" si="78"/>
        <v>0</v>
      </c>
      <c r="D273" s="1231">
        <f t="shared" si="78"/>
        <v>0</v>
      </c>
      <c r="E273" s="126"/>
      <c r="F273" s="126"/>
      <c r="G273" s="126"/>
      <c r="H273" s="52"/>
      <c r="I273" s="477" t="str">
        <f t="shared" si="77"/>
        <v>Trashëgimi me destinacion</v>
      </c>
      <c r="J273" s="336"/>
      <c r="K273" s="338"/>
      <c r="L273" s="337"/>
      <c r="M273" s="264">
        <f>VLOOKUP($A262,'(C4) Trashëgimi me destinacion'!$A$8:$F$168,4,FALSE)</f>
        <v>0</v>
      </c>
      <c r="N273" s="479">
        <f>VLOOKUP($A262,'(C4) Trashëgimi me destinacion'!$A$8:$F$168,5,FALSE)</f>
        <v>0</v>
      </c>
      <c r="O273" s="481">
        <f>VLOOKUP($A262,'(C4) Trashëgimi me destinacion'!$A$8:$F$168,6,FALSE)</f>
        <v>0</v>
      </c>
    </row>
    <row r="274" spans="1:15" ht="12.75" x14ac:dyDescent="0.2">
      <c r="A274" s="121" t="str">
        <f t="shared" si="78"/>
        <v>Subvencione</v>
      </c>
      <c r="B274" s="1229">
        <f t="shared" si="78"/>
        <v>603</v>
      </c>
      <c r="C274" s="1230">
        <f t="shared" si="78"/>
        <v>0</v>
      </c>
      <c r="D274" s="1231">
        <f t="shared" si="78"/>
        <v>0</v>
      </c>
      <c r="E274" s="126"/>
      <c r="F274" s="126"/>
      <c r="G274" s="126"/>
      <c r="H274" s="8"/>
      <c r="I274" s="477" t="str">
        <f t="shared" si="77"/>
        <v>Burime të tjera (përfshirë gjobat)</v>
      </c>
      <c r="J274" s="336"/>
      <c r="K274" s="338"/>
      <c r="L274" s="337"/>
      <c r="M274" s="125"/>
      <c r="N274" s="125"/>
      <c r="O274" s="129"/>
    </row>
    <row r="275" spans="1:15" ht="12.75" x14ac:dyDescent="0.2">
      <c r="A275" s="121" t="str">
        <f t="shared" si="78"/>
        <v>Të tjera transferta korrente të brendshme</v>
      </c>
      <c r="B275" s="1229">
        <f t="shared" si="78"/>
        <v>604</v>
      </c>
      <c r="C275" s="1230">
        <f t="shared" si="78"/>
        <v>0</v>
      </c>
      <c r="D275" s="1231">
        <f t="shared" si="78"/>
        <v>0</v>
      </c>
      <c r="E275" s="126"/>
      <c r="F275" s="126"/>
      <c r="G275" s="126"/>
      <c r="H275" s="52"/>
      <c r="I275" s="477" t="str">
        <f t="shared" si="77"/>
        <v>VLERËSIMI I TË ARDHURAVE ME DESTINACION</v>
      </c>
      <c r="J275" s="34">
        <f>VLOOKUP($A262,'(C1) Shpenzimet vitet e kaluara'!$A$9:$O$177,7,FALSE)</f>
        <v>0</v>
      </c>
      <c r="K275" s="34">
        <f>VLOOKUP($A262,'(C1) Shpenzimet vitet e kaluara'!$A$9:$O$177,11,FALSE)</f>
        <v>0</v>
      </c>
      <c r="L275" s="34">
        <f>VLOOKUP($A262,'(C1) Shpenzimet vitet e kaluara'!$A$9:$O$177,15,FALSE)</f>
        <v>0</v>
      </c>
      <c r="M275" s="126">
        <f>SUM(M271:M274)</f>
        <v>0</v>
      </c>
      <c r="N275" s="126">
        <f>SUM(N271:N274)</f>
        <v>0</v>
      </c>
      <c r="O275" s="126">
        <f>SUM(O271:O274)</f>
        <v>0</v>
      </c>
    </row>
    <row r="276" spans="1:15" ht="12.75" x14ac:dyDescent="0.2">
      <c r="A276" s="121" t="str">
        <f t="shared" si="78"/>
        <v>Transferta korrente të huaja</v>
      </c>
      <c r="B276" s="1229">
        <f t="shared" si="78"/>
        <v>605</v>
      </c>
      <c r="C276" s="1230">
        <f t="shared" si="78"/>
        <v>0</v>
      </c>
      <c r="D276" s="1231">
        <f t="shared" si="78"/>
        <v>0</v>
      </c>
      <c r="E276" s="126"/>
      <c r="F276" s="126"/>
      <c r="G276" s="126"/>
      <c r="H276" s="52"/>
    </row>
    <row r="277" spans="1:15" ht="12.75" x14ac:dyDescent="0.2">
      <c r="A277" s="121" t="str">
        <f t="shared" si="78"/>
        <v>Transferta për Buxhetet Familiare dhe Individët</v>
      </c>
      <c r="B277" s="1229">
        <f t="shared" si="78"/>
        <v>606</v>
      </c>
      <c r="C277" s="1230">
        <f t="shared" si="78"/>
        <v>0</v>
      </c>
      <c r="D277" s="1231">
        <f t="shared" si="78"/>
        <v>0</v>
      </c>
      <c r="E277" s="126"/>
      <c r="F277" s="126"/>
      <c r="G277" s="126"/>
      <c r="H277" s="52"/>
      <c r="I277" s="134" t="str">
        <f>I121</f>
        <v xml:space="preserve">TË ARDHURAT E PRITSHME </v>
      </c>
      <c r="J277" s="33">
        <f>J268+J275</f>
        <v>0</v>
      </c>
      <c r="K277" s="33">
        <f>K268+K275</f>
        <v>0</v>
      </c>
      <c r="L277" s="33">
        <f>L268+L275</f>
        <v>0</v>
      </c>
      <c r="M277" s="126">
        <f>M275+M268</f>
        <v>0</v>
      </c>
      <c r="N277" s="126">
        <f>N275+N268</f>
        <v>0</v>
      </c>
      <c r="O277" s="126">
        <f>O275+O268</f>
        <v>0</v>
      </c>
    </row>
    <row r="278" spans="1:15" ht="12.75" x14ac:dyDescent="0.2">
      <c r="A278" s="121" t="str">
        <f t="shared" si="78"/>
        <v>Shpenzimet kapitale</v>
      </c>
      <c r="B278" s="1229" t="str">
        <f t="shared" si="78"/>
        <v>230 / 231</v>
      </c>
      <c r="C278" s="1230">
        <f t="shared" si="78"/>
        <v>0</v>
      </c>
      <c r="D278" s="1231">
        <f t="shared" si="78"/>
        <v>0</v>
      </c>
      <c r="E278" s="36"/>
      <c r="F278" s="36"/>
      <c r="G278" s="36"/>
      <c r="H278" s="52"/>
    </row>
    <row r="279" spans="1:15" ht="12.75" x14ac:dyDescent="0.2">
      <c r="A279" s="121" t="str">
        <f t="shared" si="78"/>
        <v>Rezerva</v>
      </c>
      <c r="B279" s="1229">
        <f t="shared" si="78"/>
        <v>609</v>
      </c>
      <c r="C279" s="1230">
        <f t="shared" si="78"/>
        <v>0</v>
      </c>
      <c r="D279" s="1231">
        <f t="shared" si="78"/>
        <v>0</v>
      </c>
      <c r="E279" s="126"/>
      <c r="F279" s="126"/>
      <c r="G279" s="126"/>
      <c r="H279" s="52"/>
    </row>
    <row r="280" spans="1:15" ht="12.75" x14ac:dyDescent="0.2">
      <c r="A280" s="121" t="str">
        <f t="shared" si="78"/>
        <v>Interesa per kredi direkte ose bono</v>
      </c>
      <c r="B280" s="1229">
        <f t="shared" si="78"/>
        <v>650</v>
      </c>
      <c r="C280" s="1230">
        <f t="shared" si="78"/>
        <v>0</v>
      </c>
      <c r="D280" s="1231">
        <f t="shared" si="78"/>
        <v>0</v>
      </c>
      <c r="E280" s="126"/>
      <c r="F280" s="126"/>
      <c r="G280" s="126"/>
      <c r="H280" s="52"/>
    </row>
    <row r="281" spans="1:15" ht="12.75" customHeight="1" x14ac:dyDescent="0.2">
      <c r="A281" s="121" t="str">
        <f t="shared" si="78"/>
        <v>Të tjera</v>
      </c>
      <c r="B281" s="1229" t="str">
        <f t="shared" si="78"/>
        <v>69 / ?</v>
      </c>
      <c r="C281" s="1230">
        <f t="shared" si="78"/>
        <v>0</v>
      </c>
      <c r="D281" s="1231">
        <f t="shared" si="78"/>
        <v>0</v>
      </c>
      <c r="E281" s="126"/>
      <c r="F281" s="126"/>
      <c r="G281" s="126"/>
      <c r="H281" s="52"/>
      <c r="I281" s="1235" t="str">
        <f t="shared" ref="I281:O281" si="79">I125</f>
        <v>SHUMA E KËRKUAR NETO</v>
      </c>
      <c r="J281" s="1236">
        <f t="shared" si="79"/>
        <v>0</v>
      </c>
      <c r="K281" s="1236">
        <f t="shared" si="79"/>
        <v>0</v>
      </c>
      <c r="L281" s="1236">
        <f t="shared" si="79"/>
        <v>0</v>
      </c>
      <c r="M281" s="1236">
        <f t="shared" si="79"/>
        <v>0</v>
      </c>
      <c r="N281" s="1236">
        <f t="shared" si="79"/>
        <v>0</v>
      </c>
      <c r="O281" s="1237">
        <f t="shared" si="79"/>
        <v>0</v>
      </c>
    </row>
    <row r="282" spans="1:15" ht="12.75" customHeight="1" x14ac:dyDescent="0.2">
      <c r="A282" s="268" t="str">
        <f t="shared" si="78"/>
        <v>KOSTO DIREKTE PËR PROJEKTET DHE SHPENZIMET KAPITALE</v>
      </c>
      <c r="B282" s="1229">
        <f t="shared" si="78"/>
        <v>0</v>
      </c>
      <c r="C282" s="1230">
        <f t="shared" si="78"/>
        <v>0</v>
      </c>
      <c r="D282" s="1231">
        <f t="shared" si="78"/>
        <v>0</v>
      </c>
      <c r="E282" s="126">
        <f>SUM(E271:E281)</f>
        <v>0</v>
      </c>
      <c r="F282" s="126">
        <f>SUM(F271:F281)</f>
        <v>0</v>
      </c>
      <c r="G282" s="126">
        <f>SUM(G271:G281)</f>
        <v>0</v>
      </c>
      <c r="H282" s="52"/>
      <c r="I282" s="1238">
        <f t="shared" ref="I282:O282" si="80">I126</f>
        <v>0</v>
      </c>
      <c r="J282" s="1239">
        <f t="shared" si="80"/>
        <v>0</v>
      </c>
      <c r="K282" s="1239">
        <f t="shared" si="80"/>
        <v>0</v>
      </c>
      <c r="L282" s="1239">
        <f t="shared" si="80"/>
        <v>0</v>
      </c>
      <c r="M282" s="1239">
        <f t="shared" si="80"/>
        <v>0</v>
      </c>
      <c r="N282" s="1239">
        <f t="shared" si="80"/>
        <v>0</v>
      </c>
      <c r="O282" s="1240">
        <f t="shared" si="80"/>
        <v>0</v>
      </c>
    </row>
    <row r="283" spans="1:15" ht="12.75" x14ac:dyDescent="0.2">
      <c r="A283" s="1226" t="str">
        <f t="shared" si="78"/>
        <v>SHPENZIME KORRENTE</v>
      </c>
      <c r="B283" s="1227">
        <f t="shared" si="78"/>
        <v>0</v>
      </c>
      <c r="C283" s="1227">
        <f t="shared" si="78"/>
        <v>0</v>
      </c>
      <c r="D283" s="1227">
        <f t="shared" si="78"/>
        <v>0</v>
      </c>
      <c r="E283" s="1227">
        <f>E127</f>
        <v>0</v>
      </c>
      <c r="F283" s="1227">
        <f>F127</f>
        <v>0</v>
      </c>
      <c r="G283" s="1228">
        <f>G127</f>
        <v>0</v>
      </c>
      <c r="H283" s="52"/>
      <c r="I283" s="17" t="str">
        <f>I127</f>
        <v>SHUMA E KËRKUAR NETO</v>
      </c>
      <c r="J283" s="18">
        <f t="shared" ref="J283:O283" si="81">B267-J277</f>
        <v>0</v>
      </c>
      <c r="K283" s="18">
        <f t="shared" si="81"/>
        <v>0</v>
      </c>
      <c r="L283" s="18">
        <f t="shared" si="81"/>
        <v>0</v>
      </c>
      <c r="M283" s="18">
        <f t="shared" si="81"/>
        <v>0</v>
      </c>
      <c r="N283" s="18">
        <f t="shared" si="81"/>
        <v>0</v>
      </c>
      <c r="O283" s="18">
        <f t="shared" si="81"/>
        <v>0</v>
      </c>
    </row>
    <row r="284" spans="1:15" ht="12.75" x14ac:dyDescent="0.2">
      <c r="A284" s="121" t="str">
        <f t="shared" si="78"/>
        <v>Pagat</v>
      </c>
      <c r="B284" s="1229">
        <f t="shared" si="78"/>
        <v>600</v>
      </c>
      <c r="C284" s="1230">
        <f t="shared" si="78"/>
        <v>0</v>
      </c>
      <c r="D284" s="1231">
        <f t="shared" si="78"/>
        <v>0</v>
      </c>
      <c r="E284" s="36"/>
      <c r="F284" s="36"/>
      <c r="G284" s="36"/>
      <c r="H284" s="52"/>
      <c r="I284" s="52"/>
      <c r="J284" s="52"/>
      <c r="K284" s="52"/>
      <c r="L284" s="14"/>
      <c r="M284" s="53"/>
    </row>
    <row r="285" spans="1:15" ht="12.75" x14ac:dyDescent="0.2">
      <c r="A285" s="121" t="str">
        <f t="shared" si="78"/>
        <v>Sigurimet Shoqërore</v>
      </c>
      <c r="B285" s="1229">
        <f t="shared" si="78"/>
        <v>601</v>
      </c>
      <c r="C285" s="1230">
        <f t="shared" si="78"/>
        <v>0</v>
      </c>
      <c r="D285" s="1231">
        <f t="shared" si="78"/>
        <v>0</v>
      </c>
      <c r="E285" s="36"/>
      <c r="F285" s="36"/>
      <c r="G285" s="36"/>
      <c r="H285" s="52"/>
    </row>
    <row r="286" spans="1:15" ht="12.75" x14ac:dyDescent="0.2">
      <c r="A286" s="121" t="str">
        <f t="shared" si="78"/>
        <v>Mallra dhe shërbime</v>
      </c>
      <c r="B286" s="1229">
        <f t="shared" si="78"/>
        <v>602</v>
      </c>
      <c r="C286" s="1230">
        <f t="shared" si="78"/>
        <v>0</v>
      </c>
      <c r="D286" s="1231">
        <f t="shared" si="78"/>
        <v>0</v>
      </c>
      <c r="E286" s="36"/>
      <c r="F286" s="36"/>
      <c r="G286" s="36"/>
      <c r="H286" s="52"/>
      <c r="I286" s="477" t="str">
        <f>I247</f>
        <v>Angazhimet</v>
      </c>
      <c r="J286" s="1290" t="str">
        <f>J247</f>
        <v>Vlera Totale për Aktivitet</v>
      </c>
      <c r="K286" s="1291"/>
      <c r="L286" s="1292"/>
      <c r="M286" s="126">
        <f>VLOOKUP($A262,'(C5) Angazhimet'!$A$8:$F$168,4,FALSE)</f>
        <v>0</v>
      </c>
      <c r="N286" s="126">
        <f>VLOOKUP($A262,'(C5) Angazhimet'!$A$8:$F$168,5,FALSE)</f>
        <v>0</v>
      </c>
      <c r="O286" s="126">
        <f>VLOOKUP($A262,'(C5) Angazhimet'!$A$8:$F$168,6,FALSE)</f>
        <v>0</v>
      </c>
    </row>
    <row r="287" spans="1:15" ht="12.75" x14ac:dyDescent="0.2">
      <c r="A287" s="121" t="str">
        <f t="shared" si="78"/>
        <v>Subvencione</v>
      </c>
      <c r="B287" s="1229">
        <f t="shared" si="78"/>
        <v>603</v>
      </c>
      <c r="C287" s="1230">
        <f t="shared" si="78"/>
        <v>0</v>
      </c>
      <c r="D287" s="1231">
        <f t="shared" si="78"/>
        <v>0</v>
      </c>
      <c r="E287" s="36"/>
      <c r="F287" s="36"/>
      <c r="G287" s="36"/>
      <c r="H287" s="52"/>
      <c r="I287" s="279" t="str">
        <f>I248</f>
        <v>Qëllime</v>
      </c>
      <c r="J287" s="1290" t="str">
        <f>J248</f>
        <v>Shpenzimet kapitale</v>
      </c>
      <c r="K287" s="1291"/>
      <c r="L287" s="1292"/>
      <c r="M287" s="125"/>
      <c r="N287" s="125"/>
      <c r="O287" s="129"/>
    </row>
    <row r="288" spans="1:15" ht="12.75" x14ac:dyDescent="0.2">
      <c r="A288" s="121" t="str">
        <f t="shared" si="78"/>
        <v>Të tjera transferta korrente të brendshme</v>
      </c>
      <c r="B288" s="1229">
        <f t="shared" si="78"/>
        <v>604</v>
      </c>
      <c r="C288" s="1230">
        <f t="shared" si="78"/>
        <v>0</v>
      </c>
      <c r="D288" s="1231">
        <f t="shared" si="78"/>
        <v>0</v>
      </c>
      <c r="E288" s="36"/>
      <c r="F288" s="36"/>
      <c r="G288" s="36"/>
      <c r="H288" s="52"/>
      <c r="I288" s="276"/>
      <c r="J288" s="1290" t="str">
        <f>J249</f>
        <v>Mallra dhe shërbime</v>
      </c>
      <c r="K288" s="1291"/>
      <c r="L288" s="1292"/>
      <c r="M288" s="125"/>
      <c r="N288" s="125"/>
      <c r="O288" s="129"/>
    </row>
    <row r="289" spans="1:15" ht="12.75" x14ac:dyDescent="0.2">
      <c r="A289" s="121" t="str">
        <f t="shared" si="78"/>
        <v>Transferta korrente të huaja</v>
      </c>
      <c r="B289" s="1229">
        <f t="shared" si="78"/>
        <v>605</v>
      </c>
      <c r="C289" s="1230">
        <f t="shared" si="78"/>
        <v>0</v>
      </c>
      <c r="D289" s="1231">
        <f t="shared" si="78"/>
        <v>0</v>
      </c>
      <c r="E289" s="36"/>
      <c r="F289" s="36"/>
      <c r="G289" s="36"/>
      <c r="H289" s="52"/>
      <c r="I289" s="276"/>
      <c r="J289" s="1290" t="str">
        <f>J250</f>
        <v>Qëllime të mëtejshme</v>
      </c>
      <c r="K289" s="1291"/>
      <c r="L289" s="1292"/>
      <c r="M289" s="125"/>
      <c r="N289" s="125"/>
      <c r="O289" s="129"/>
    </row>
    <row r="290" spans="1:15" ht="12.75" x14ac:dyDescent="0.2">
      <c r="A290" s="121" t="str">
        <f t="shared" si="78"/>
        <v>Transferta për Buxhetet Familiare dhe Individët</v>
      </c>
      <c r="B290" s="1229">
        <f t="shared" si="78"/>
        <v>606</v>
      </c>
      <c r="C290" s="1230">
        <f t="shared" si="78"/>
        <v>0</v>
      </c>
      <c r="D290" s="1231">
        <f t="shared" si="78"/>
        <v>0</v>
      </c>
      <c r="E290" s="36"/>
      <c r="F290" s="36"/>
      <c r="G290" s="36"/>
      <c r="H290" s="52"/>
      <c r="I290" s="276"/>
      <c r="J290" s="1286"/>
      <c r="K290" s="1286"/>
      <c r="L290" s="1286"/>
      <c r="M290" s="299" t="str">
        <f>IF(SUM(M287:M289)=M286,"OK","STOP")</f>
        <v>OK</v>
      </c>
      <c r="N290" s="299" t="str">
        <f>IF(SUM(N287:N289)=N286,"OK","STOP")</f>
        <v>OK</v>
      </c>
      <c r="O290" s="299" t="str">
        <f>IF(SUM(O287:O289)=O286,"OK","STOP")</f>
        <v>OK</v>
      </c>
    </row>
    <row r="291" spans="1:15" ht="12.75" x14ac:dyDescent="0.2">
      <c r="A291" s="564" t="str">
        <f t="shared" si="78"/>
        <v>Shpenzimet kapitale</v>
      </c>
      <c r="B291" s="1256" t="str">
        <f t="shared" si="78"/>
        <v>230 / 231</v>
      </c>
      <c r="C291" s="1257">
        <f t="shared" si="78"/>
        <v>0</v>
      </c>
      <c r="D291" s="1258">
        <f t="shared" si="78"/>
        <v>0</v>
      </c>
      <c r="E291" s="126"/>
      <c r="F291" s="126"/>
      <c r="G291" s="126"/>
      <c r="H291" s="52"/>
      <c r="I291" s="367" t="str">
        <f>I252</f>
        <v>Shpjegimet teknike</v>
      </c>
      <c r="J291" s="10"/>
      <c r="K291" s="10"/>
      <c r="L291" s="10"/>
      <c r="M291" s="10"/>
      <c r="N291" s="10"/>
      <c r="O291" s="10"/>
    </row>
    <row r="292" spans="1:15" ht="12.75" x14ac:dyDescent="0.2">
      <c r="A292" s="121" t="str">
        <f t="shared" si="78"/>
        <v>Rezerva</v>
      </c>
      <c r="B292" s="1229">
        <f t="shared" si="78"/>
        <v>609</v>
      </c>
      <c r="C292" s="1230">
        <f t="shared" si="78"/>
        <v>0</v>
      </c>
      <c r="D292" s="1231">
        <f t="shared" si="78"/>
        <v>0</v>
      </c>
      <c r="E292" s="36"/>
      <c r="F292" s="36"/>
      <c r="G292" s="36"/>
      <c r="H292" s="52"/>
      <c r="I292" s="365">
        <f>M265</f>
        <v>2022</v>
      </c>
      <c r="J292" s="1271"/>
      <c r="K292" s="1272"/>
      <c r="L292" s="1272"/>
      <c r="M292" s="1272"/>
      <c r="N292" s="1272"/>
      <c r="O292" s="1273"/>
    </row>
    <row r="293" spans="1:15" ht="12.75" x14ac:dyDescent="0.2">
      <c r="A293" s="121" t="str">
        <f t="shared" si="78"/>
        <v>Interesa per kredi direkte ose bono</v>
      </c>
      <c r="B293" s="1259">
        <f t="shared" si="78"/>
        <v>650</v>
      </c>
      <c r="C293" s="1260">
        <f t="shared" si="78"/>
        <v>0</v>
      </c>
      <c r="D293" s="1261">
        <f t="shared" si="78"/>
        <v>0</v>
      </c>
      <c r="E293" s="36"/>
      <c r="F293" s="36"/>
      <c r="G293" s="36"/>
      <c r="H293" s="52"/>
      <c r="I293" s="366"/>
      <c r="J293" s="1274"/>
      <c r="K293" s="1275"/>
      <c r="L293" s="1275"/>
      <c r="M293" s="1275"/>
      <c r="N293" s="1275"/>
      <c r="O293" s="1276"/>
    </row>
    <row r="294" spans="1:15" ht="12.75" x14ac:dyDescent="0.2">
      <c r="A294" s="477" t="str">
        <f>A138</f>
        <v>Të tjera</v>
      </c>
      <c r="B294" s="1229" t="str">
        <f>B138</f>
        <v>69 / ?</v>
      </c>
      <c r="C294" s="1230">
        <f>C138</f>
        <v>0</v>
      </c>
      <c r="D294" s="273" t="str">
        <f>IF(OR(E294&lt;0,F294&lt;0,G294&lt;0),"STOP","OK!")</f>
        <v>OK!</v>
      </c>
      <c r="E294" s="127">
        <f>-E282+E267-(SUM(E284:E293))</f>
        <v>0</v>
      </c>
      <c r="F294" s="270">
        <f>-F282+F267-(SUM(F284:F293))</f>
        <v>0</v>
      </c>
      <c r="G294" s="270">
        <f>-G282+G267-(SUM(G284:G293))</f>
        <v>0</v>
      </c>
      <c r="H294" s="52"/>
      <c r="I294" s="365">
        <f>N265</f>
        <v>2023</v>
      </c>
      <c r="J294" s="1271"/>
      <c r="K294" s="1272"/>
      <c r="L294" s="1272"/>
      <c r="M294" s="1272"/>
      <c r="N294" s="1272"/>
      <c r="O294" s="1273"/>
    </row>
    <row r="295" spans="1:15" ht="12.75" x14ac:dyDescent="0.2">
      <c r="A295" s="121" t="str">
        <f>A139</f>
        <v>SHPENZIME KORRENTE</v>
      </c>
      <c r="B295" s="1262"/>
      <c r="C295" s="1263"/>
      <c r="D295" s="1264"/>
      <c r="E295" s="126">
        <f>SUM(E284:E294)</f>
        <v>0</v>
      </c>
      <c r="F295" s="126">
        <f>SUM(F284:F294)</f>
        <v>0</v>
      </c>
      <c r="G295" s="126">
        <f>SUM(G284:G294)</f>
        <v>0</v>
      </c>
      <c r="H295" s="52"/>
      <c r="I295" s="366"/>
      <c r="J295" s="1277"/>
      <c r="K295" s="1278"/>
      <c r="L295" s="1278"/>
      <c r="M295" s="1278"/>
      <c r="N295" s="1278"/>
      <c r="O295" s="1279"/>
    </row>
    <row r="296" spans="1:15" ht="12.75" x14ac:dyDescent="0.2">
      <c r="A296" s="122"/>
      <c r="B296" s="201"/>
      <c r="C296" s="123"/>
      <c r="D296" s="123"/>
      <c r="E296" s="10"/>
      <c r="F296" s="10"/>
      <c r="G296" s="130"/>
      <c r="H296" s="52"/>
      <c r="I296" s="365">
        <f>O265</f>
        <v>2024</v>
      </c>
      <c r="J296" s="1271"/>
      <c r="K296" s="1272"/>
      <c r="L296" s="1272"/>
      <c r="M296" s="1272"/>
      <c r="N296" s="1272"/>
      <c r="O296" s="1273"/>
    </row>
    <row r="297" spans="1:15" ht="12.75" x14ac:dyDescent="0.2">
      <c r="A297" s="134" t="str">
        <f>A141</f>
        <v>SHPENZIME TË PRITSHME</v>
      </c>
      <c r="B297" s="33">
        <f>B267</f>
        <v>0</v>
      </c>
      <c r="C297" s="33">
        <f>C267</f>
        <v>0</v>
      </c>
      <c r="D297" s="33">
        <f>D267</f>
        <v>0</v>
      </c>
      <c r="E297" s="126">
        <f>E282+E295</f>
        <v>0</v>
      </c>
      <c r="F297" s="126">
        <f>F282+F295</f>
        <v>0</v>
      </c>
      <c r="G297" s="126">
        <f>G282+G295</f>
        <v>0</v>
      </c>
      <c r="H297" s="52"/>
      <c r="I297" s="366"/>
      <c r="J297" s="1277"/>
      <c r="K297" s="1278"/>
      <c r="L297" s="1278"/>
      <c r="M297" s="1278"/>
      <c r="N297" s="1278"/>
      <c r="O297" s="1279"/>
    </row>
  </sheetData>
  <sheetProtection selectLockedCells="1"/>
  <mergeCells count="340">
    <mergeCell ref="J296:O297"/>
    <mergeCell ref="I153:O153"/>
    <mergeCell ref="I192:O192"/>
    <mergeCell ref="I231:O231"/>
    <mergeCell ref="J97:O98"/>
    <mergeCell ref="J99:O100"/>
    <mergeCell ref="J101:O102"/>
    <mergeCell ref="I114:O114"/>
    <mergeCell ref="J175:O176"/>
    <mergeCell ref="J208:L208"/>
    <mergeCell ref="J209:L209"/>
    <mergeCell ref="J210:L210"/>
    <mergeCell ref="J211:L211"/>
    <mergeCell ref="J172:L172"/>
    <mergeCell ref="J173:L173"/>
    <mergeCell ref="J247:L247"/>
    <mergeCell ref="J248:L248"/>
    <mergeCell ref="J249:L249"/>
    <mergeCell ref="J250:L250"/>
    <mergeCell ref="J251:L251"/>
    <mergeCell ref="J214:O215"/>
    <mergeCell ref="J216:O217"/>
    <mergeCell ref="J218:O219"/>
    <mergeCell ref="J253:O254"/>
    <mergeCell ref="B237:D237"/>
    <mergeCell ref="B238:D238"/>
    <mergeCell ref="B239:D239"/>
    <mergeCell ref="B240:D240"/>
    <mergeCell ref="B233:D233"/>
    <mergeCell ref="B234:D234"/>
    <mergeCell ref="B235:D235"/>
    <mergeCell ref="A230:G230"/>
    <mergeCell ref="A231:G231"/>
    <mergeCell ref="B232:D232"/>
    <mergeCell ref="I150:O150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41:D241"/>
    <mergeCell ref="B242:D242"/>
    <mergeCell ref="B243:D243"/>
    <mergeCell ref="A244:G244"/>
    <mergeCell ref="B245:D245"/>
    <mergeCell ref="A152:G152"/>
    <mergeCell ref="A153:G153"/>
    <mergeCell ref="B154:D154"/>
    <mergeCell ref="B167:D167"/>
    <mergeCell ref="B168:D168"/>
    <mergeCell ref="B172:D172"/>
    <mergeCell ref="A166:G166"/>
    <mergeCell ref="B246:D246"/>
    <mergeCell ref="I242:O243"/>
    <mergeCell ref="B236:D236"/>
    <mergeCell ref="J169:L169"/>
    <mergeCell ref="J170:L170"/>
    <mergeCell ref="J171:L171"/>
    <mergeCell ref="B155:D155"/>
    <mergeCell ref="B156:D156"/>
    <mergeCell ref="B157:D157"/>
    <mergeCell ref="B171:D171"/>
    <mergeCell ref="B169:D169"/>
    <mergeCell ref="B170:D170"/>
    <mergeCell ref="B164:D164"/>
    <mergeCell ref="I164:O165"/>
    <mergeCell ref="B165:D165"/>
    <mergeCell ref="B158:D158"/>
    <mergeCell ref="B290:D290"/>
    <mergeCell ref="B291:D291"/>
    <mergeCell ref="B292:D292"/>
    <mergeCell ref="B293:D293"/>
    <mergeCell ref="B294:C294"/>
    <mergeCell ref="B295:D295"/>
    <mergeCell ref="I281:O282"/>
    <mergeCell ref="B282:D282"/>
    <mergeCell ref="A283:G283"/>
    <mergeCell ref="B284:D284"/>
    <mergeCell ref="B285:D285"/>
    <mergeCell ref="B286:D286"/>
    <mergeCell ref="B287:D287"/>
    <mergeCell ref="B288:D288"/>
    <mergeCell ref="B289:D289"/>
    <mergeCell ref="J292:O293"/>
    <mergeCell ref="J294:O295"/>
    <mergeCell ref="J286:L286"/>
    <mergeCell ref="J287:L287"/>
    <mergeCell ref="J288:L288"/>
    <mergeCell ref="J289:L289"/>
    <mergeCell ref="J290:L290"/>
    <mergeCell ref="B276:D276"/>
    <mergeCell ref="B277:D277"/>
    <mergeCell ref="B278:D278"/>
    <mergeCell ref="B279:D279"/>
    <mergeCell ref="B280:D280"/>
    <mergeCell ref="B281:D281"/>
    <mergeCell ref="B273:D273"/>
    <mergeCell ref="B274:D274"/>
    <mergeCell ref="B275:D275"/>
    <mergeCell ref="A269:G269"/>
    <mergeCell ref="A270:G270"/>
    <mergeCell ref="B271:D271"/>
    <mergeCell ref="B272:D272"/>
    <mergeCell ref="I267:O267"/>
    <mergeCell ref="B255:C255"/>
    <mergeCell ref="B256:D256"/>
    <mergeCell ref="B261:O261"/>
    <mergeCell ref="B262:O262"/>
    <mergeCell ref="A264:G264"/>
    <mergeCell ref="I264:O264"/>
    <mergeCell ref="J255:O256"/>
    <mergeCell ref="J257:O258"/>
    <mergeCell ref="I270:O270"/>
    <mergeCell ref="I228:O228"/>
    <mergeCell ref="B214:D214"/>
    <mergeCell ref="B215:D215"/>
    <mergeCell ref="B216:C216"/>
    <mergeCell ref="B217:D217"/>
    <mergeCell ref="B222:O222"/>
    <mergeCell ref="B223:O223"/>
    <mergeCell ref="J212:L212"/>
    <mergeCell ref="B199:D199"/>
    <mergeCell ref="B200:D200"/>
    <mergeCell ref="B201:D201"/>
    <mergeCell ref="B202:D202"/>
    <mergeCell ref="B203:D203"/>
    <mergeCell ref="I203:O204"/>
    <mergeCell ref="B204:D204"/>
    <mergeCell ref="B211:D211"/>
    <mergeCell ref="B212:D212"/>
    <mergeCell ref="B213:D213"/>
    <mergeCell ref="A225:G225"/>
    <mergeCell ref="I225:O225"/>
    <mergeCell ref="B196:D196"/>
    <mergeCell ref="B197:D197"/>
    <mergeCell ref="B198:D198"/>
    <mergeCell ref="A205:G205"/>
    <mergeCell ref="B206:D206"/>
    <mergeCell ref="B207:D207"/>
    <mergeCell ref="B208:D208"/>
    <mergeCell ref="B209:D209"/>
    <mergeCell ref="B210:D210"/>
    <mergeCell ref="B173:D173"/>
    <mergeCell ref="B174:D174"/>
    <mergeCell ref="B175:D175"/>
    <mergeCell ref="B176:D176"/>
    <mergeCell ref="B159:D159"/>
    <mergeCell ref="B160:D160"/>
    <mergeCell ref="B161:D161"/>
    <mergeCell ref="B162:D162"/>
    <mergeCell ref="B163:D163"/>
    <mergeCell ref="B195:D195"/>
    <mergeCell ref="A192:G192"/>
    <mergeCell ref="B193:D193"/>
    <mergeCell ref="B194:D194"/>
    <mergeCell ref="B178:D178"/>
    <mergeCell ref="B183:O183"/>
    <mergeCell ref="B184:O184"/>
    <mergeCell ref="A186:G186"/>
    <mergeCell ref="I186:O186"/>
    <mergeCell ref="I189:O189"/>
    <mergeCell ref="A191:G191"/>
    <mergeCell ref="J188:K188"/>
    <mergeCell ref="J177:O178"/>
    <mergeCell ref="J179:O180"/>
    <mergeCell ref="B177:C177"/>
    <mergeCell ref="B94:D94"/>
    <mergeCell ref="B95:D95"/>
    <mergeCell ref="B96:D96"/>
    <mergeCell ref="B97:D97"/>
    <mergeCell ref="B98:D98"/>
    <mergeCell ref="B100:D100"/>
    <mergeCell ref="J95:L95"/>
    <mergeCell ref="B123:D123"/>
    <mergeCell ref="B118:D118"/>
    <mergeCell ref="B122:D122"/>
    <mergeCell ref="A108:G108"/>
    <mergeCell ref="I108:O108"/>
    <mergeCell ref="I111:O111"/>
    <mergeCell ref="A113:G113"/>
    <mergeCell ref="B126:D126"/>
    <mergeCell ref="B128:D128"/>
    <mergeCell ref="J133:L133"/>
    <mergeCell ref="J130:L130"/>
    <mergeCell ref="J131:L131"/>
    <mergeCell ref="J132:L132"/>
    <mergeCell ref="A114:G114"/>
    <mergeCell ref="B115:D115"/>
    <mergeCell ref="B116:D116"/>
    <mergeCell ref="B117:D117"/>
    <mergeCell ref="B124:D124"/>
    <mergeCell ref="B125:D125"/>
    <mergeCell ref="B120:D120"/>
    <mergeCell ref="B121:D121"/>
    <mergeCell ref="B119:D119"/>
    <mergeCell ref="A147:G147"/>
    <mergeCell ref="I147:O147"/>
    <mergeCell ref="B135:D135"/>
    <mergeCell ref="B136:D136"/>
    <mergeCell ref="B137:D137"/>
    <mergeCell ref="B138:C138"/>
    <mergeCell ref="B139:D139"/>
    <mergeCell ref="J134:L134"/>
    <mergeCell ref="B144:O144"/>
    <mergeCell ref="J138:O139"/>
    <mergeCell ref="J140:O141"/>
    <mergeCell ref="J136:O137"/>
    <mergeCell ref="B145:O145"/>
    <mergeCell ref="B134:D134"/>
    <mergeCell ref="B85:D85"/>
    <mergeCell ref="B86:D86"/>
    <mergeCell ref="B129:D129"/>
    <mergeCell ref="B131:D131"/>
    <mergeCell ref="B132:D132"/>
    <mergeCell ref="B133:D133"/>
    <mergeCell ref="A127:G127"/>
    <mergeCell ref="B130:D130"/>
    <mergeCell ref="A88:G88"/>
    <mergeCell ref="B89:D89"/>
    <mergeCell ref="B99:C99"/>
    <mergeCell ref="B105:O105"/>
    <mergeCell ref="B90:D90"/>
    <mergeCell ref="B91:D91"/>
    <mergeCell ref="B92:D92"/>
    <mergeCell ref="B93:D93"/>
    <mergeCell ref="I86:O87"/>
    <mergeCell ref="B87:D87"/>
    <mergeCell ref="J91:L91"/>
    <mergeCell ref="J92:L92"/>
    <mergeCell ref="J93:L93"/>
    <mergeCell ref="J94:L94"/>
    <mergeCell ref="B106:O106"/>
    <mergeCell ref="I125:O126"/>
    <mergeCell ref="J41:L41"/>
    <mergeCell ref="A62:L62"/>
    <mergeCell ref="B82:D82"/>
    <mergeCell ref="B83:D83"/>
    <mergeCell ref="B84:D84"/>
    <mergeCell ref="A74:G74"/>
    <mergeCell ref="A75:G75"/>
    <mergeCell ref="B76:D76"/>
    <mergeCell ref="B79:D79"/>
    <mergeCell ref="B78:D78"/>
    <mergeCell ref="B77:D77"/>
    <mergeCell ref="B80:D80"/>
    <mergeCell ref="B81:D81"/>
    <mergeCell ref="A63:K63"/>
    <mergeCell ref="A54:K54"/>
    <mergeCell ref="A55:L55"/>
    <mergeCell ref="A56:L56"/>
    <mergeCell ref="A57:K57"/>
    <mergeCell ref="A58:L58"/>
    <mergeCell ref="A59:L59"/>
    <mergeCell ref="B68:O68"/>
    <mergeCell ref="J23:L26"/>
    <mergeCell ref="B26:D26"/>
    <mergeCell ref="I18:O18"/>
    <mergeCell ref="I75:O75"/>
    <mergeCell ref="A50:O50"/>
    <mergeCell ref="A69:G69"/>
    <mergeCell ref="I69:O69"/>
    <mergeCell ref="I72:O72"/>
    <mergeCell ref="B41:D41"/>
    <mergeCell ref="B42:D42"/>
    <mergeCell ref="B43:D43"/>
    <mergeCell ref="B44:D44"/>
    <mergeCell ref="B46:D46"/>
    <mergeCell ref="B45:C45"/>
    <mergeCell ref="A52:L52"/>
    <mergeCell ref="A53:L53"/>
    <mergeCell ref="B40:D40"/>
    <mergeCell ref="B39:D39"/>
    <mergeCell ref="J43:O48"/>
    <mergeCell ref="J37:L37"/>
    <mergeCell ref="B66:O66"/>
    <mergeCell ref="B67:O67"/>
    <mergeCell ref="A60:K60"/>
    <mergeCell ref="A61:L61"/>
    <mergeCell ref="B14:O14"/>
    <mergeCell ref="I22:O22"/>
    <mergeCell ref="B22:D22"/>
    <mergeCell ref="B23:D23"/>
    <mergeCell ref="B24:D24"/>
    <mergeCell ref="B25:D25"/>
    <mergeCell ref="A20:G20"/>
    <mergeCell ref="I32:O33"/>
    <mergeCell ref="B38:D38"/>
    <mergeCell ref="B29:D29"/>
    <mergeCell ref="B30:D30"/>
    <mergeCell ref="B31:D31"/>
    <mergeCell ref="B32:D32"/>
    <mergeCell ref="B33:D33"/>
    <mergeCell ref="B35:D35"/>
    <mergeCell ref="A17:G17"/>
    <mergeCell ref="A34:G34"/>
    <mergeCell ref="B36:D36"/>
    <mergeCell ref="B37:D37"/>
    <mergeCell ref="B27:D27"/>
    <mergeCell ref="B28:D28"/>
    <mergeCell ref="A21:G21"/>
    <mergeCell ref="A15:G15"/>
    <mergeCell ref="I15:O15"/>
    <mergeCell ref="A8:B8"/>
    <mergeCell ref="C8:H8"/>
    <mergeCell ref="I8:K8"/>
    <mergeCell ref="L8:O8"/>
    <mergeCell ref="A13:O13"/>
    <mergeCell ref="A11:B11"/>
    <mergeCell ref="C11:H11"/>
    <mergeCell ref="I11:K11"/>
    <mergeCell ref="L11:O11"/>
    <mergeCell ref="A9:B9"/>
    <mergeCell ref="C9:H9"/>
    <mergeCell ref="I9:K9"/>
    <mergeCell ref="L9:O9"/>
    <mergeCell ref="A10:B10"/>
    <mergeCell ref="C10:H10"/>
    <mergeCell ref="I10:K10"/>
    <mergeCell ref="L10:O10"/>
    <mergeCell ref="B2:O2"/>
    <mergeCell ref="B1:O1"/>
    <mergeCell ref="A7:B7"/>
    <mergeCell ref="C7:H7"/>
    <mergeCell ref="I7:K7"/>
    <mergeCell ref="L7:O7"/>
    <mergeCell ref="A5:B5"/>
    <mergeCell ref="C5:H5"/>
    <mergeCell ref="I5:K5"/>
    <mergeCell ref="L5:O5"/>
    <mergeCell ref="A6:B6"/>
    <mergeCell ref="C6:H6"/>
    <mergeCell ref="I6:K6"/>
    <mergeCell ref="L6:O6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7" bottom="0.78740157480314965" header="0.43307086614173229" footer="0.31496062992125984"/>
  <pageSetup paperSize="9" scale="6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6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rgb="FFFF0000"/>
    <pageSetUpPr fitToPage="1"/>
  </sheetPr>
  <dimension ref="A1:O296"/>
  <sheetViews>
    <sheetView showGridLines="0" workbookViewId="0">
      <selection activeCell="G228" sqref="G228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29.85546875" style="95" customWidth="1"/>
    <col min="10" max="12" width="9" style="95" customWidth="1"/>
    <col min="13" max="13" width="10.28515625" style="95" customWidth="1"/>
    <col min="14" max="15" width="9" style="95" customWidth="1"/>
    <col min="16" max="16384" width="9.140625" style="95"/>
  </cols>
  <sheetData>
    <row r="1" spans="1:15" ht="13.5" customHeight="1" x14ac:dyDescent="0.2">
      <c r="A1" s="577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Fjalori'!A65</f>
        <v>Nënfunksioni 2</v>
      </c>
      <c r="B2" s="1130" t="str">
        <f>+VLOOKUP($A2,'(B2) Struktura Organizative'!$A7:$E33,2,FALSE)</f>
        <v>017 Shërbime të  huamarrjes vendore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Funksionale'!A15</f>
        <v>Programi 2a</v>
      </c>
      <c r="B6" s="1203"/>
      <c r="C6" s="1204" t="str">
        <f>VLOOKUP($A6,'(B3) Struktura Funksionale'!$A$7:$E$146,3,FALSE)</f>
        <v>Planifikimi i përgjithshëm dhe Shërbimet Statistikore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hidden="1" customHeight="1" x14ac:dyDescent="0.2">
      <c r="A7" s="1202" t="str">
        <f>'(B3) Struktura Funksionale'!A16</f>
        <v>Programi 2b</v>
      </c>
      <c r="B7" s="1203"/>
      <c r="C7" s="1204" t="str">
        <f>VLOOKUP($A7,'(B3) Struktura Funksionale'!$A$7:$E$146,3,FALSE)</f>
        <v>Gjendja civile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customHeight="1" x14ac:dyDescent="0.2">
      <c r="A8" s="1202" t="str">
        <f>'(B3) Struktura Funksionale'!A17</f>
        <v>Programi 2c</v>
      </c>
      <c r="B8" s="1203"/>
      <c r="C8" s="1204" t="str">
        <f>VLOOKUP($A8,'(B3) Struktura Funksionale'!$A$7:$E$146,3,FALSE)</f>
        <v>Shërbime të tjera të përgjithshme</v>
      </c>
      <c r="D8" s="1205"/>
      <c r="E8" s="1205"/>
      <c r="F8" s="1205"/>
      <c r="G8" s="1205"/>
      <c r="H8" s="1206"/>
      <c r="I8" s="1204" t="str">
        <f>VLOOKUP($A8,'(B3) Struktura Funksionale'!$A$7:$E$146,4,FALSE)</f>
        <v>E detyrueshme</v>
      </c>
      <c r="J8" s="1205"/>
      <c r="K8" s="1206"/>
      <c r="L8" s="1204" t="str">
        <f>VLOOKUP($A8,'(B3) Struktura Funksionale'!$A$7:$E$146,5,FALSE)</f>
        <v>I veti</v>
      </c>
      <c r="M8" s="1205"/>
      <c r="N8" s="1205"/>
      <c r="O8" s="1206"/>
    </row>
    <row r="9" spans="1:15" ht="13.5" customHeight="1" x14ac:dyDescent="0.2">
      <c r="A9" s="1202" t="str">
        <f>'(B3) Struktura Funksionale'!A18</f>
        <v>Programi 2d</v>
      </c>
      <c r="B9" s="1203"/>
      <c r="C9" s="1204" t="str">
        <f>VLOOKUP($A9,'(B3) Struktura Funksionale'!$A$7:$E$146,3,FALSE)</f>
        <v>Pagesa për shërbimin e borxhit të brendshëm</v>
      </c>
      <c r="D9" s="1205"/>
      <c r="E9" s="1205"/>
      <c r="F9" s="1205"/>
      <c r="G9" s="1205"/>
      <c r="H9" s="1206"/>
      <c r="I9" s="1204" t="str">
        <f>VLOOKUP($A9,'(B3) Struktura Funksionale'!$A$7:$E$146,4,FALSE)</f>
        <v>E detyrueshme</v>
      </c>
      <c r="J9" s="1205"/>
      <c r="K9" s="1206"/>
      <c r="L9" s="1204" t="str">
        <f>VLOOKUP($A9,'(B3) Struktura Funksionale'!$A$7:$E$146,5,FALSE)</f>
        <v>I veti</v>
      </c>
      <c r="M9" s="1205"/>
      <c r="N9" s="1205"/>
      <c r="O9" s="1206"/>
    </row>
    <row r="10" spans="1:15" ht="13.5" customHeight="1" x14ac:dyDescent="0.2">
      <c r="A10" s="1202" t="str">
        <f>'(B3) Struktura Funksionale'!A19</f>
        <v>Programi 2e</v>
      </c>
      <c r="B10" s="1203"/>
      <c r="C10" s="1204">
        <f>VLOOKUP($A10,'(B3) Struktura Funksionale'!$A$7:$E$146,3,FALSE)</f>
        <v>0</v>
      </c>
      <c r="D10" s="1205"/>
      <c r="E10" s="1205"/>
      <c r="F10" s="1205"/>
      <c r="G10" s="1205"/>
      <c r="H10" s="1206"/>
      <c r="I10" s="1204">
        <f>VLOOKUP($A10,'(B3) Struktura Funksionale'!$A$7:$E$146,4,FALSE)</f>
        <v>0</v>
      </c>
      <c r="J10" s="1205"/>
      <c r="K10" s="1206"/>
      <c r="L10" s="1204">
        <f>VLOOKUP($A10,'(B3) Struktura Funksionale'!$A$7:$E$146,5,FALSE)</f>
        <v>0</v>
      </c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2</v>
      </c>
      <c r="B14" s="1225" t="str">
        <f>B$2</f>
        <v>017 Shërbime të  huamarrjes vendore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B72+B111+B150+B189+B228+B266</f>
        <v>4415703</v>
      </c>
      <c r="C18" s="33">
        <f t="shared" si="1"/>
        <v>5108041</v>
      </c>
      <c r="D18" s="33">
        <f t="shared" si="1"/>
        <v>900000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J73+J112+J151+J190+J229+J267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E76+E115+E154+E193+E232+E270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M76+M115+M154+M193+M232+M270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J80+J119+J158+J197+J236+J274</f>
        <v>0</v>
      </c>
      <c r="K27" s="33">
        <f>K80+K119+K158+K197+K236+K274</f>
        <v>0</v>
      </c>
      <c r="L27" s="33">
        <f>L80+L119+L158+L197+L236+L274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J82+J121+J160+J199+J238+J276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780">
        <f t="shared" ref="J34:O34" si="6">J88+J127+J166+J205+J244+J282</f>
        <v>4415703</v>
      </c>
      <c r="K34" s="780">
        <f t="shared" si="6"/>
        <v>5108041</v>
      </c>
      <c r="L34" s="780">
        <f t="shared" si="6"/>
        <v>900000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E89+E128+E167+E206+E245+E283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M91+M130+M169+M208+M247+M285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B102+B141+B180+B219+B258+B296</f>
        <v>4415703</v>
      </c>
      <c r="C48" s="33">
        <f t="shared" si="11"/>
        <v>5108041</v>
      </c>
      <c r="D48" s="33">
        <f t="shared" si="11"/>
        <v>900000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hidden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hidden="1" customHeight="1" x14ac:dyDescent="0.2">
      <c r="A66" s="204" t="str">
        <f t="shared" ref="A66:O66" si="12">A14</f>
        <v>Nënfunksioni 2</v>
      </c>
      <c r="B66" s="1225" t="str">
        <f t="shared" si="12"/>
        <v>017 Shërbime të  huamarrjes vendore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hidden="1" customHeight="1" x14ac:dyDescent="0.2">
      <c r="A67" s="262" t="str">
        <f>A6</f>
        <v>Programi 2a</v>
      </c>
      <c r="B67" s="1225" t="str">
        <f>C6</f>
        <v>Planifikimi i përgjithshëm dhe Shërbimet Statistikore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hidden="1" customHeight="1" x14ac:dyDescent="0.2">
      <c r="A68" s="562" t="str">
        <f>'(B3) Struktura Funksionale'!B15</f>
        <v>01310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hidden="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hidden="1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hidden="1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hidden="1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hidden="1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hidden="1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hidden="1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hidden="1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hidden="1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hidden="1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hidden="1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hidden="1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hidden="1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hidden="1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hidden="1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hidden="1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hidden="1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hidden="1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hidden="1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hidden="1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hidden="1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hidden="1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hidden="1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hidden="1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hidden="1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hidden="1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hidden="1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hidden="1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hidden="1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hidden="1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hidden="1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hidden="1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hidden="1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hidden="1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3" spans="1:15" ht="17.25" hidden="1" customHeight="1" x14ac:dyDescent="0.2"/>
    <row r="104" spans="1:15" ht="17.25" hidden="1" customHeight="1" x14ac:dyDescent="0.2"/>
    <row r="105" spans="1:15" ht="17.25" hidden="1" customHeight="1" x14ac:dyDescent="0.2">
      <c r="A105" s="204" t="str">
        <f t="shared" ref="A105:O105" si="22">A66</f>
        <v>Nënfunksioni 2</v>
      </c>
      <c r="B105" s="1225" t="str">
        <f t="shared" si="22"/>
        <v>017 Shërbime të  huamarrjes vendore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hidden="1" customHeight="1" x14ac:dyDescent="0.2">
      <c r="A106" s="262" t="str">
        <f>A7</f>
        <v>Programi 2b</v>
      </c>
      <c r="B106" s="1225" t="str">
        <f>C7</f>
        <v>Gjendja civile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hidden="1" customHeight="1" x14ac:dyDescent="0.2">
      <c r="A107" s="562" t="str">
        <f>'(B3) Struktura Funksionale'!B16</f>
        <v>01312</v>
      </c>
      <c r="B107" s="485"/>
      <c r="C107" s="485"/>
      <c r="D107" s="485"/>
      <c r="E107" s="485"/>
      <c r="F107" s="485"/>
      <c r="G107" s="486"/>
      <c r="H107" s="487"/>
      <c r="I107" s="488"/>
      <c r="J107" s="485"/>
      <c r="K107" s="485"/>
      <c r="L107" s="485"/>
      <c r="M107" s="485"/>
      <c r="N107" s="485"/>
      <c r="O107" s="486"/>
    </row>
    <row r="108" spans="1:15" ht="24.75" hidden="1" customHeight="1" x14ac:dyDescent="0.2">
      <c r="A108" s="1221" t="str">
        <f t="shared" ref="A108:G108" si="23">A69</f>
        <v>SHPENZIME TË PRITSHME</v>
      </c>
      <c r="B108" s="1222">
        <f t="shared" si="23"/>
        <v>0</v>
      </c>
      <c r="C108" s="1222">
        <f t="shared" si="23"/>
        <v>0</v>
      </c>
      <c r="D108" s="1222">
        <f t="shared" si="23"/>
        <v>0</v>
      </c>
      <c r="E108" s="1222">
        <f t="shared" si="23"/>
        <v>0</v>
      </c>
      <c r="F108" s="1222">
        <f t="shared" si="23"/>
        <v>0</v>
      </c>
      <c r="G108" s="1242">
        <f t="shared" si="23"/>
        <v>0</v>
      </c>
      <c r="H108" s="128"/>
      <c r="I108" s="1243" t="str">
        <f t="shared" ref="I108:O108" si="24">I69</f>
        <v xml:space="preserve">TË ARDHURAT E PRITSHME </v>
      </c>
      <c r="J108" s="1222">
        <f t="shared" si="24"/>
        <v>0</v>
      </c>
      <c r="K108" s="1222">
        <f t="shared" si="24"/>
        <v>0</v>
      </c>
      <c r="L108" s="1222">
        <f t="shared" si="24"/>
        <v>0</v>
      </c>
      <c r="M108" s="1222">
        <f t="shared" si="24"/>
        <v>0</v>
      </c>
      <c r="N108" s="1222">
        <f t="shared" si="24"/>
        <v>0</v>
      </c>
      <c r="O108" s="1242">
        <f t="shared" si="24"/>
        <v>0</v>
      </c>
    </row>
    <row r="109" spans="1:15" ht="21" hidden="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hidden="1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hidden="1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hidden="1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hidden="1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hidden="1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hidden="1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36"/>
      <c r="F115" s="36"/>
      <c r="G115" s="3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hidden="1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36"/>
      <c r="F116" s="36"/>
      <c r="G116" s="3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hidden="1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36"/>
      <c r="F117" s="36"/>
      <c r="G117" s="3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hidden="1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36"/>
      <c r="F118" s="36"/>
      <c r="G118" s="3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hidden="1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36"/>
      <c r="F119" s="36"/>
      <c r="G119" s="3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hidden="1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36"/>
      <c r="F120" s="36"/>
      <c r="G120" s="36"/>
      <c r="H120" s="52"/>
    </row>
    <row r="121" spans="1:15" ht="12.75" hidden="1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36"/>
      <c r="F121" s="36"/>
      <c r="G121" s="3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hidden="1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hidden="1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36"/>
      <c r="F123" s="36"/>
      <c r="G123" s="36"/>
      <c r="H123" s="52"/>
    </row>
    <row r="124" spans="1:15" ht="12.75" hidden="1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36"/>
      <c r="F124" s="36"/>
      <c r="G124" s="36"/>
      <c r="H124" s="52"/>
    </row>
    <row r="125" spans="1:15" ht="12.75" hidden="1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36"/>
      <c r="F125" s="36"/>
      <c r="G125" s="3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hidden="1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hidden="1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hidden="1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hidden="1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hidden="1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hidden="1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hidden="1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hidden="1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hidden="1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hidden="1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hidden="1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hidden="1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hidden="1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270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hidden="1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hidden="1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hidden="1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2" spans="1:15" ht="17.25" hidden="1" customHeight="1" x14ac:dyDescent="0.2"/>
    <row r="143" spans="1:15" ht="17.25" hidden="1" customHeight="1" x14ac:dyDescent="0.2"/>
    <row r="144" spans="1:15" ht="17.25" hidden="1" customHeight="1" x14ac:dyDescent="0.2">
      <c r="A144" s="204" t="str">
        <f t="shared" ref="A144:O144" si="33">A66</f>
        <v>Nënfunksioni 2</v>
      </c>
      <c r="B144" s="1225" t="str">
        <f t="shared" si="33"/>
        <v>017 Shërbime të  huamarrjes vendore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hidden="1" customHeight="1" x14ac:dyDescent="0.2">
      <c r="A145" s="262" t="str">
        <f>A8</f>
        <v>Programi 2c</v>
      </c>
      <c r="B145" s="1225" t="str">
        <f>C8</f>
        <v>Shërbime të tjera të përgjithshme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hidden="1" customHeight="1" x14ac:dyDescent="0.2">
      <c r="A146" s="562" t="str">
        <f>'(B3) Struktura Funksionale'!B17</f>
        <v>01320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hidden="1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hidden="1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hidden="1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hidden="1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hidden="1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hidden="1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hidden="1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hidden="1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hidden="1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hidden="1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hidden="1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hidden="1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hidden="1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hidden="1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hidden="1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hidden="1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hidden="1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hidden="1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hidden="1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hidden="1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hidden="1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hidden="1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hidden="1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hidden="1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hidden="1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hidden="1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hidden="1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hidden="1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hidden="1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hidden="1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hidden="1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hidden="1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hidden="1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hidden="1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hidden="1" x14ac:dyDescent="0.2"/>
    <row r="182" spans="1:15" ht="12.75" x14ac:dyDescent="0.2"/>
    <row r="183" spans="1:15" ht="18.75" x14ac:dyDescent="0.2">
      <c r="A183" s="204" t="str">
        <f t="shared" ref="A183:O183" si="44">A66</f>
        <v>Nënfunksioni 2</v>
      </c>
      <c r="B183" s="1225" t="str">
        <f t="shared" si="44"/>
        <v>017 Shërbime të  huamarrjes vendore</v>
      </c>
      <c r="C183" s="1225">
        <f t="shared" si="44"/>
        <v>0</v>
      </c>
      <c r="D183" s="1225">
        <f t="shared" si="44"/>
        <v>0</v>
      </c>
      <c r="E183" s="1225">
        <f t="shared" si="44"/>
        <v>0</v>
      </c>
      <c r="F183" s="1225">
        <f t="shared" si="44"/>
        <v>0</v>
      </c>
      <c r="G183" s="1225">
        <f t="shared" si="44"/>
        <v>0</v>
      </c>
      <c r="H183" s="1225">
        <f t="shared" si="44"/>
        <v>0</v>
      </c>
      <c r="I183" s="1225">
        <f t="shared" si="44"/>
        <v>0</v>
      </c>
      <c r="J183" s="1225">
        <f t="shared" si="44"/>
        <v>0</v>
      </c>
      <c r="K183" s="1225">
        <f t="shared" si="44"/>
        <v>0</v>
      </c>
      <c r="L183" s="1225">
        <f t="shared" si="44"/>
        <v>0</v>
      </c>
      <c r="M183" s="1225">
        <f t="shared" si="44"/>
        <v>0</v>
      </c>
      <c r="N183" s="1225">
        <f t="shared" si="44"/>
        <v>0</v>
      </c>
      <c r="O183" s="1225">
        <f t="shared" si="44"/>
        <v>0</v>
      </c>
    </row>
    <row r="184" spans="1:15" ht="18.75" x14ac:dyDescent="0.2">
      <c r="A184" s="262" t="str">
        <f>A9</f>
        <v>Programi 2d</v>
      </c>
      <c r="B184" s="1225" t="str">
        <f>C9</f>
        <v>Pagesa për shërbimin e borxhit të brendshëm</v>
      </c>
      <c r="C184" s="1225" t="e">
        <f>#REF!</f>
        <v>#REF!</v>
      </c>
      <c r="D184" s="1225" t="e">
        <f>#REF!</f>
        <v>#REF!</v>
      </c>
      <c r="E184" s="1225" t="e">
        <f>#REF!</f>
        <v>#REF!</v>
      </c>
      <c r="F184" s="1225" t="e">
        <f>#REF!</f>
        <v>#REF!</v>
      </c>
      <c r="G184" s="1225" t="e">
        <f>#REF!</f>
        <v>#REF!</v>
      </c>
      <c r="H184" s="1225" t="e">
        <f>#REF!</f>
        <v>#REF!</v>
      </c>
      <c r="I184" s="1225" t="e">
        <f>#REF!</f>
        <v>#REF!</v>
      </c>
      <c r="J184" s="1225" t="e">
        <f>#REF!</f>
        <v>#REF!</v>
      </c>
      <c r="K184" s="1225" t="e">
        <f>#REF!</f>
        <v>#REF!</v>
      </c>
      <c r="L184" s="1225" t="e">
        <f>#REF!</f>
        <v>#REF!</v>
      </c>
      <c r="M184" s="1225" t="e">
        <f>#REF!</f>
        <v>#REF!</v>
      </c>
      <c r="N184" s="1225" t="e">
        <f>#REF!</f>
        <v>#REF!</v>
      </c>
      <c r="O184" s="1225" t="e">
        <f>#REF!</f>
        <v>#REF!</v>
      </c>
    </row>
    <row r="185" spans="1:15" ht="18.75" x14ac:dyDescent="0.2">
      <c r="A185" s="562" t="str">
        <f>'(B3) Struktura Funksionale'!B18</f>
        <v>01710</v>
      </c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6"/>
    </row>
    <row r="186" spans="1:15" ht="22.5" customHeight="1" x14ac:dyDescent="0.2">
      <c r="A186" s="1252" t="str">
        <f t="shared" ref="A186:G186" si="45">A69</f>
        <v>SHPENZIME TË PRITSHME</v>
      </c>
      <c r="B186" s="1253">
        <f t="shared" si="45"/>
        <v>0</v>
      </c>
      <c r="C186" s="1253">
        <f t="shared" si="45"/>
        <v>0</v>
      </c>
      <c r="D186" s="1253">
        <f t="shared" si="45"/>
        <v>0</v>
      </c>
      <c r="E186" s="1253">
        <f t="shared" si="45"/>
        <v>0</v>
      </c>
      <c r="F186" s="1253">
        <f t="shared" si="45"/>
        <v>0</v>
      </c>
      <c r="G186" s="1254">
        <f t="shared" si="45"/>
        <v>0</v>
      </c>
      <c r="H186" s="128"/>
      <c r="I186" s="1255" t="str">
        <f t="shared" ref="I186:O186" si="46">I69</f>
        <v xml:space="preserve">TË ARDHURAT E PRITSHME </v>
      </c>
      <c r="J186" s="1253">
        <f t="shared" si="46"/>
        <v>0</v>
      </c>
      <c r="K186" s="1253">
        <f t="shared" si="46"/>
        <v>0</v>
      </c>
      <c r="L186" s="1253">
        <f t="shared" si="46"/>
        <v>0</v>
      </c>
      <c r="M186" s="1253">
        <f t="shared" si="46"/>
        <v>0</v>
      </c>
      <c r="N186" s="1253">
        <f t="shared" si="46"/>
        <v>0</v>
      </c>
      <c r="O186" s="1254">
        <f t="shared" si="46"/>
        <v>0</v>
      </c>
    </row>
    <row r="187" spans="1:15" ht="21.75" customHeight="1" x14ac:dyDescent="0.2">
      <c r="A187" s="202"/>
      <c r="B187" s="363">
        <f t="shared" ref="B187:G187" si="47">B70</f>
        <v>2019</v>
      </c>
      <c r="C187" s="363">
        <f t="shared" si="47"/>
        <v>2020</v>
      </c>
      <c r="D187" s="363">
        <f t="shared" si="47"/>
        <v>2021</v>
      </c>
      <c r="E187" s="238">
        <f t="shared" si="47"/>
        <v>2022</v>
      </c>
      <c r="F187" s="238">
        <f t="shared" si="47"/>
        <v>2023</v>
      </c>
      <c r="G187" s="238">
        <f t="shared" si="47"/>
        <v>2024</v>
      </c>
      <c r="H187" s="203"/>
      <c r="I187" s="360"/>
      <c r="J187" s="363">
        <f t="shared" ref="J187:O187" si="48">J70</f>
        <v>2019</v>
      </c>
      <c r="K187" s="363">
        <f t="shared" si="48"/>
        <v>2020</v>
      </c>
      <c r="L187" s="363">
        <f t="shared" si="48"/>
        <v>2021</v>
      </c>
      <c r="M187" s="238">
        <f t="shared" si="48"/>
        <v>2022</v>
      </c>
      <c r="N187" s="238">
        <f t="shared" si="48"/>
        <v>2023</v>
      </c>
      <c r="O187" s="238">
        <f t="shared" si="48"/>
        <v>2024</v>
      </c>
    </row>
    <row r="188" spans="1:15" ht="12.75" x14ac:dyDescent="0.2">
      <c r="A188" s="377"/>
      <c r="B188" s="370"/>
      <c r="C188" s="303"/>
      <c r="D188" s="304"/>
      <c r="E188" s="378"/>
      <c r="F188" s="378"/>
      <c r="G188" s="379"/>
      <c r="H188" s="128"/>
      <c r="I188" s="302"/>
      <c r="J188" s="1250"/>
      <c r="K188" s="1250"/>
      <c r="L188" s="375"/>
      <c r="M188" s="375"/>
      <c r="N188" s="375"/>
      <c r="O188" s="376"/>
    </row>
    <row r="189" spans="1:15" ht="12.75" x14ac:dyDescent="0.2">
      <c r="A189" s="134" t="str">
        <f>A72</f>
        <v>SHPENZIME TË PRITSHME</v>
      </c>
      <c r="B189" s="33">
        <f>VLOOKUP(A184,'(C1) Shpenzimet vitet e kaluara'!A$9:O$177,5,FALSE)</f>
        <v>4415703</v>
      </c>
      <c r="C189" s="33">
        <f>VLOOKUP(A184,'(C1) Shpenzimet vitet e kaluara'!A$9:O$177,9,FALSE)</f>
        <v>5108041</v>
      </c>
      <c r="D189" s="33">
        <f>VLOOKUP(A184,'(C1) Shpenzimet vitet e kaluara'!A$9:O$177,13,FALSE)</f>
        <v>900000</v>
      </c>
      <c r="E189" s="36">
        <v>0</v>
      </c>
      <c r="F189" s="36"/>
      <c r="G189" s="36"/>
      <c r="H189" s="128"/>
      <c r="I189" s="1226" t="str">
        <f t="shared" ref="I189:O189" si="49">I72</f>
        <v>VLERËSIM I ARDHURAVE NGA TARIFAT</v>
      </c>
      <c r="J189" s="1227">
        <f t="shared" si="49"/>
        <v>0</v>
      </c>
      <c r="K189" s="1227">
        <f t="shared" si="49"/>
        <v>0</v>
      </c>
      <c r="L189" s="1227">
        <f t="shared" si="49"/>
        <v>0</v>
      </c>
      <c r="M189" s="1227">
        <f t="shared" si="49"/>
        <v>0</v>
      </c>
      <c r="N189" s="1227">
        <f t="shared" si="49"/>
        <v>0</v>
      </c>
      <c r="O189" s="1228">
        <f t="shared" si="49"/>
        <v>0</v>
      </c>
    </row>
    <row r="190" spans="1:15" ht="12.75" x14ac:dyDescent="0.2">
      <c r="A190" s="122"/>
      <c r="B190" s="201"/>
      <c r="C190" s="123"/>
      <c r="D190" s="123"/>
      <c r="E190" s="10"/>
      <c r="F190" s="10"/>
      <c r="G190" s="130"/>
      <c r="H190" s="10"/>
      <c r="I190" s="134" t="str">
        <f>I73</f>
        <v>VLERËSIM I ARDHURAVE NGA TARIFAT</v>
      </c>
      <c r="J190" s="34">
        <f>VLOOKUP($A184,'(C1) Shpenzimet vitet e kaluara'!$A$9:$O$177,6,FALSE)</f>
        <v>0</v>
      </c>
      <c r="K190" s="34">
        <f>VLOOKUP($A184,'(C1) Shpenzimet vitet e kaluara'!$A$9:$O$177,10,FALSE)</f>
        <v>0</v>
      </c>
      <c r="L190" s="34">
        <f>VLOOKUP($A184,'(C1) Shpenzimet vitet e kaluara'!$A$9:$O$177,14,FALSE)</f>
        <v>0</v>
      </c>
      <c r="M190" s="36"/>
      <c r="N190" s="36"/>
      <c r="O190" s="36"/>
    </row>
    <row r="191" spans="1:15" ht="12.75" x14ac:dyDescent="0.2">
      <c r="A191" s="1232" t="str">
        <f t="shared" ref="A191:G192" si="50">A74</f>
        <v>SHPENZIME TË PRITSHME</v>
      </c>
      <c r="B191" s="1233">
        <f t="shared" si="50"/>
        <v>0</v>
      </c>
      <c r="C191" s="1233">
        <f t="shared" si="50"/>
        <v>0</v>
      </c>
      <c r="D191" s="1233">
        <f t="shared" si="50"/>
        <v>0</v>
      </c>
      <c r="E191" s="1233">
        <f t="shared" si="50"/>
        <v>0</v>
      </c>
      <c r="F191" s="1233">
        <f t="shared" si="50"/>
        <v>0</v>
      </c>
      <c r="G191" s="1234">
        <f t="shared" si="50"/>
        <v>0</v>
      </c>
      <c r="H191" s="10"/>
    </row>
    <row r="192" spans="1:15" ht="12.75" x14ac:dyDescent="0.2">
      <c r="A192" s="1226" t="str">
        <f t="shared" si="50"/>
        <v>KOSTO DIREKTE PËR PROJEKTET DHE SHPENZIMET KAPITALE</v>
      </c>
      <c r="B192" s="1227">
        <f t="shared" si="50"/>
        <v>0</v>
      </c>
      <c r="C192" s="1227">
        <f t="shared" si="50"/>
        <v>0</v>
      </c>
      <c r="D192" s="1227">
        <f t="shared" si="50"/>
        <v>0</v>
      </c>
      <c r="E192" s="1227">
        <f t="shared" si="50"/>
        <v>0</v>
      </c>
      <c r="F192" s="1227">
        <f t="shared" si="50"/>
        <v>0</v>
      </c>
      <c r="G192" s="1228">
        <f t="shared" si="50"/>
        <v>0</v>
      </c>
      <c r="H192" s="30"/>
      <c r="I192" s="1226" t="str">
        <f t="shared" ref="I192:I197" si="51">I75</f>
        <v>VLERËSIMI I TË ARDHURAVE ME DESTINACION</v>
      </c>
      <c r="J192" s="1227"/>
      <c r="K192" s="1227"/>
      <c r="L192" s="1227"/>
      <c r="M192" s="1227"/>
      <c r="N192" s="1227"/>
      <c r="O192" s="1228"/>
    </row>
    <row r="193" spans="1:15" ht="12.75" x14ac:dyDescent="0.2">
      <c r="A193" s="121" t="str">
        <f t="shared" ref="A193:D215" si="52">A76</f>
        <v>Pagat</v>
      </c>
      <c r="B193" s="1229">
        <f t="shared" si="52"/>
        <v>600</v>
      </c>
      <c r="C193" s="1230">
        <f t="shared" si="52"/>
        <v>0</v>
      </c>
      <c r="D193" s="1231">
        <f t="shared" si="52"/>
        <v>0</v>
      </c>
      <c r="E193" s="126"/>
      <c r="F193" s="126"/>
      <c r="G193" s="126"/>
      <c r="H193" s="30"/>
      <c r="I193" s="339" t="str">
        <f t="shared" si="51"/>
        <v>Transferta e kushtëzuar</v>
      </c>
      <c r="J193" s="336"/>
      <c r="K193" s="338"/>
      <c r="L193" s="337"/>
      <c r="M193" s="125"/>
      <c r="N193" s="125"/>
      <c r="O193" s="129"/>
    </row>
    <row r="194" spans="1:15" ht="12.75" x14ac:dyDescent="0.2">
      <c r="A194" s="121" t="str">
        <f t="shared" si="52"/>
        <v>Sigurimet Shoqërore</v>
      </c>
      <c r="B194" s="1229">
        <f t="shared" si="52"/>
        <v>601</v>
      </c>
      <c r="C194" s="1230">
        <f t="shared" si="52"/>
        <v>0</v>
      </c>
      <c r="D194" s="1231">
        <f t="shared" si="52"/>
        <v>0</v>
      </c>
      <c r="E194" s="126"/>
      <c r="F194" s="126"/>
      <c r="G194" s="126"/>
      <c r="H194" s="30"/>
      <c r="I194" s="339" t="str">
        <f t="shared" si="51"/>
        <v>Trasferta Specifike</v>
      </c>
      <c r="J194" s="336"/>
      <c r="K194" s="338"/>
      <c r="L194" s="337"/>
      <c r="M194" s="125"/>
      <c r="N194" s="125"/>
      <c r="O194" s="129"/>
    </row>
    <row r="195" spans="1:15" ht="12.75" x14ac:dyDescent="0.2">
      <c r="A195" s="121" t="str">
        <f t="shared" si="52"/>
        <v>Mallra dhe shërbime</v>
      </c>
      <c r="B195" s="1229">
        <f t="shared" si="52"/>
        <v>602</v>
      </c>
      <c r="C195" s="1230">
        <f t="shared" si="52"/>
        <v>0</v>
      </c>
      <c r="D195" s="1231">
        <f t="shared" si="52"/>
        <v>0</v>
      </c>
      <c r="E195" s="126"/>
      <c r="F195" s="126"/>
      <c r="G195" s="126"/>
      <c r="H195" s="52"/>
      <c r="I195" s="339" t="str">
        <f t="shared" si="51"/>
        <v>Trashëgimi me destinacion</v>
      </c>
      <c r="J195" s="336"/>
      <c r="K195" s="338"/>
      <c r="L195" s="337"/>
      <c r="M195" s="264">
        <f>VLOOKUP($A184,'(C4) Trashëgimi me destinacion'!$A$8:$F$168,4,FALSE)</f>
        <v>0</v>
      </c>
      <c r="N195" s="479">
        <f>VLOOKUP($A184,'(C4) Trashëgimi me destinacion'!$A$8:$F$168,5,FALSE)</f>
        <v>0</v>
      </c>
      <c r="O195" s="479">
        <f>VLOOKUP($A184,'(C4) Trashëgimi me destinacion'!$A$8:$F$168,6,FALSE)</f>
        <v>0</v>
      </c>
    </row>
    <row r="196" spans="1:15" ht="12.75" x14ac:dyDescent="0.2">
      <c r="A196" s="121" t="str">
        <f t="shared" si="52"/>
        <v>Subvencione</v>
      </c>
      <c r="B196" s="1229">
        <f t="shared" si="52"/>
        <v>603</v>
      </c>
      <c r="C196" s="1230">
        <f t="shared" si="52"/>
        <v>0</v>
      </c>
      <c r="D196" s="1231">
        <f t="shared" si="52"/>
        <v>0</v>
      </c>
      <c r="E196" s="126"/>
      <c r="F196" s="126"/>
      <c r="G196" s="126"/>
      <c r="H196" s="8"/>
      <c r="I196" s="339" t="str">
        <f t="shared" si="51"/>
        <v>Burime të tjera (përfshirë gjobat)</v>
      </c>
      <c r="J196" s="336"/>
      <c r="K196" s="338"/>
      <c r="L196" s="337"/>
      <c r="M196" s="125"/>
      <c r="N196" s="125"/>
      <c r="O196" s="129"/>
    </row>
    <row r="197" spans="1:15" ht="12.75" x14ac:dyDescent="0.2">
      <c r="A197" s="121" t="str">
        <f t="shared" si="52"/>
        <v>Të tjera transferta korrente të brendshme</v>
      </c>
      <c r="B197" s="1229">
        <f t="shared" si="52"/>
        <v>604</v>
      </c>
      <c r="C197" s="1230">
        <f t="shared" si="52"/>
        <v>0</v>
      </c>
      <c r="D197" s="1231">
        <f t="shared" si="52"/>
        <v>0</v>
      </c>
      <c r="E197" s="126"/>
      <c r="F197" s="126"/>
      <c r="G197" s="126"/>
      <c r="H197" s="52"/>
      <c r="I197" s="339" t="str">
        <f t="shared" si="51"/>
        <v>VLERËSIMI I TË ARDHURAVE ME DESTINACION</v>
      </c>
      <c r="J197" s="34">
        <f>VLOOKUP($A184,'(C1) Shpenzimet vitet e kaluara'!$A$9:$O$177,7,FALSE)</f>
        <v>0</v>
      </c>
      <c r="K197" s="34">
        <f>VLOOKUP($A184,'(C1) Shpenzimet vitet e kaluara'!$A$9:$O$177,11,FALSE)</f>
        <v>0</v>
      </c>
      <c r="L197" s="34">
        <f>VLOOKUP($A184,'(C1) Shpenzimet vitet e kaluara'!$A$9:$O$177,15,FALSE)</f>
        <v>0</v>
      </c>
      <c r="M197" s="126">
        <f>SUM(M193:M196)</f>
        <v>0</v>
      </c>
      <c r="N197" s="126">
        <f>SUM(N193:N196)</f>
        <v>0</v>
      </c>
      <c r="O197" s="126">
        <f>SUM(O193:O196)</f>
        <v>0</v>
      </c>
    </row>
    <row r="198" spans="1:15" ht="12.75" x14ac:dyDescent="0.2">
      <c r="A198" s="121" t="str">
        <f t="shared" si="52"/>
        <v>Transferta korrente të huaja</v>
      </c>
      <c r="B198" s="1229">
        <f t="shared" si="52"/>
        <v>605</v>
      </c>
      <c r="C198" s="1230">
        <f t="shared" si="52"/>
        <v>0</v>
      </c>
      <c r="D198" s="1231">
        <f t="shared" si="52"/>
        <v>0</v>
      </c>
      <c r="E198" s="126"/>
      <c r="F198" s="126"/>
      <c r="G198" s="126"/>
      <c r="H198" s="52"/>
    </row>
    <row r="199" spans="1:15" ht="12.75" x14ac:dyDescent="0.2">
      <c r="A199" s="121" t="str">
        <f t="shared" si="52"/>
        <v>Transferta për Buxhetet Familiare dhe Individët</v>
      </c>
      <c r="B199" s="1229">
        <f t="shared" si="52"/>
        <v>606</v>
      </c>
      <c r="C199" s="1230">
        <f t="shared" si="52"/>
        <v>0</v>
      </c>
      <c r="D199" s="1231">
        <f t="shared" si="52"/>
        <v>0</v>
      </c>
      <c r="E199" s="126"/>
      <c r="F199" s="126"/>
      <c r="G199" s="126"/>
      <c r="H199" s="52"/>
      <c r="I199" s="134" t="str">
        <f>I82</f>
        <v xml:space="preserve">TË ARDHURAT E PRITSHME </v>
      </c>
      <c r="J199" s="33">
        <f>J190+J197</f>
        <v>0</v>
      </c>
      <c r="K199" s="33">
        <f>K190+K197</f>
        <v>0</v>
      </c>
      <c r="L199" s="33">
        <f>L190+L197</f>
        <v>0</v>
      </c>
      <c r="M199" s="126">
        <f>M197+M190</f>
        <v>0</v>
      </c>
      <c r="N199" s="126">
        <f>N197+N190</f>
        <v>0</v>
      </c>
      <c r="O199" s="126">
        <f>O197+O190</f>
        <v>0</v>
      </c>
    </row>
    <row r="200" spans="1:15" ht="12.75" x14ac:dyDescent="0.2">
      <c r="A200" s="121" t="str">
        <f t="shared" si="52"/>
        <v>Shpenzimet kapitale</v>
      </c>
      <c r="B200" s="1229" t="str">
        <f t="shared" si="52"/>
        <v>230 / 231</v>
      </c>
      <c r="C200" s="1230">
        <f t="shared" si="52"/>
        <v>0</v>
      </c>
      <c r="D200" s="1231">
        <f t="shared" si="52"/>
        <v>0</v>
      </c>
      <c r="E200" s="36"/>
      <c r="F200" s="36"/>
      <c r="G200" s="36"/>
      <c r="H200" s="52"/>
    </row>
    <row r="201" spans="1:15" ht="12.75" x14ac:dyDescent="0.2">
      <c r="A201" s="121" t="str">
        <f t="shared" si="52"/>
        <v>Rezerva</v>
      </c>
      <c r="B201" s="1229">
        <f t="shared" si="52"/>
        <v>609</v>
      </c>
      <c r="C201" s="1230">
        <f t="shared" si="52"/>
        <v>0</v>
      </c>
      <c r="D201" s="1231">
        <f t="shared" si="52"/>
        <v>0</v>
      </c>
      <c r="E201" s="126"/>
      <c r="F201" s="126"/>
      <c r="G201" s="126"/>
      <c r="H201" s="52"/>
    </row>
    <row r="202" spans="1:15" ht="12.75" x14ac:dyDescent="0.2">
      <c r="A202" s="121" t="str">
        <f t="shared" si="52"/>
        <v>Interesa per kredi direkte ose bono</v>
      </c>
      <c r="B202" s="1229">
        <f t="shared" si="52"/>
        <v>650</v>
      </c>
      <c r="C202" s="1230">
        <f t="shared" si="52"/>
        <v>0</v>
      </c>
      <c r="D202" s="1231">
        <f t="shared" si="52"/>
        <v>0</v>
      </c>
      <c r="E202" s="126"/>
      <c r="F202" s="126"/>
      <c r="G202" s="126"/>
      <c r="H202" s="52"/>
    </row>
    <row r="203" spans="1:15" ht="12.75" x14ac:dyDescent="0.2">
      <c r="A203" s="121" t="str">
        <f t="shared" si="52"/>
        <v>Të tjera</v>
      </c>
      <c r="B203" s="1229" t="str">
        <f t="shared" si="52"/>
        <v>69 / ?</v>
      </c>
      <c r="C203" s="1230">
        <f t="shared" si="52"/>
        <v>0</v>
      </c>
      <c r="D203" s="1231">
        <f t="shared" si="52"/>
        <v>0</v>
      </c>
      <c r="E203" s="126"/>
      <c r="F203" s="126"/>
      <c r="G203" s="126"/>
      <c r="H203" s="52"/>
      <c r="I203" s="1235" t="str">
        <f t="shared" ref="I203:O204" si="53">I86</f>
        <v>SHUMA E KËRKUAR NETO</v>
      </c>
      <c r="J203" s="1236">
        <f t="shared" si="53"/>
        <v>0</v>
      </c>
      <c r="K203" s="1236">
        <f t="shared" si="53"/>
        <v>0</v>
      </c>
      <c r="L203" s="1236">
        <f t="shared" si="53"/>
        <v>0</v>
      </c>
      <c r="M203" s="1236">
        <f t="shared" si="53"/>
        <v>0</v>
      </c>
      <c r="N203" s="1236">
        <f t="shared" si="53"/>
        <v>0</v>
      </c>
      <c r="O203" s="1237">
        <f t="shared" si="53"/>
        <v>0</v>
      </c>
    </row>
    <row r="204" spans="1:15" ht="12.75" customHeight="1" x14ac:dyDescent="0.2">
      <c r="A204" s="268" t="str">
        <f t="shared" si="52"/>
        <v>KOSTO DIREKTE PËR PROJEKTET DHE SHPENZIMET KAPITALE</v>
      </c>
      <c r="B204" s="1229">
        <f t="shared" si="52"/>
        <v>0</v>
      </c>
      <c r="C204" s="1230">
        <f t="shared" si="52"/>
        <v>0</v>
      </c>
      <c r="D204" s="1231">
        <f t="shared" si="52"/>
        <v>0</v>
      </c>
      <c r="E204" s="126">
        <f>SUM(E193:E203)</f>
        <v>0</v>
      </c>
      <c r="F204" s="126">
        <f>SUM(F193:F203)</f>
        <v>0</v>
      </c>
      <c r="G204" s="126">
        <f>SUM(G193:G203)</f>
        <v>0</v>
      </c>
      <c r="H204" s="52"/>
      <c r="I204" s="1238">
        <f t="shared" si="53"/>
        <v>0</v>
      </c>
      <c r="J204" s="1239">
        <f t="shared" si="53"/>
        <v>0</v>
      </c>
      <c r="K204" s="1239">
        <f t="shared" si="53"/>
        <v>0</v>
      </c>
      <c r="L204" s="1239">
        <f t="shared" si="53"/>
        <v>0</v>
      </c>
      <c r="M204" s="1239">
        <f t="shared" si="53"/>
        <v>0</v>
      </c>
      <c r="N204" s="1239">
        <f t="shared" si="53"/>
        <v>0</v>
      </c>
      <c r="O204" s="1240">
        <f t="shared" si="53"/>
        <v>0</v>
      </c>
    </row>
    <row r="205" spans="1:15" ht="12.75" x14ac:dyDescent="0.2">
      <c r="A205" s="1226" t="str">
        <f t="shared" si="52"/>
        <v>SHPENZIME KORRENTE</v>
      </c>
      <c r="B205" s="1227">
        <f t="shared" si="52"/>
        <v>0</v>
      </c>
      <c r="C205" s="1227">
        <f t="shared" si="52"/>
        <v>0</v>
      </c>
      <c r="D205" s="1227">
        <f t="shared" si="52"/>
        <v>0</v>
      </c>
      <c r="E205" s="1227">
        <f>E88</f>
        <v>0</v>
      </c>
      <c r="F205" s="1227">
        <f>F88</f>
        <v>0</v>
      </c>
      <c r="G205" s="1228">
        <f>G88</f>
        <v>0</v>
      </c>
      <c r="H205" s="52"/>
      <c r="I205" s="17" t="str">
        <f>I88</f>
        <v>SHUMA E KËRKUAR NETO</v>
      </c>
      <c r="J205" s="780">
        <f t="shared" ref="J205:O205" si="54">B189-J199</f>
        <v>4415703</v>
      </c>
      <c r="K205" s="780">
        <f t="shared" si="54"/>
        <v>5108041</v>
      </c>
      <c r="L205" s="780">
        <f t="shared" si="54"/>
        <v>900000</v>
      </c>
      <c r="M205" s="780">
        <f t="shared" si="54"/>
        <v>0</v>
      </c>
      <c r="N205" s="18">
        <f t="shared" si="54"/>
        <v>0</v>
      </c>
      <c r="O205" s="18">
        <f t="shared" si="54"/>
        <v>0</v>
      </c>
    </row>
    <row r="206" spans="1:15" ht="12.75" x14ac:dyDescent="0.2">
      <c r="A206" s="121" t="str">
        <f t="shared" si="52"/>
        <v>Pagat</v>
      </c>
      <c r="B206" s="1229">
        <f t="shared" si="52"/>
        <v>600</v>
      </c>
      <c r="C206" s="1230">
        <f t="shared" si="52"/>
        <v>0</v>
      </c>
      <c r="D206" s="1231">
        <f t="shared" si="52"/>
        <v>0</v>
      </c>
      <c r="E206" s="36"/>
      <c r="F206" s="36"/>
      <c r="G206" s="36"/>
      <c r="H206" s="52"/>
      <c r="I206" s="52"/>
      <c r="J206" s="52"/>
      <c r="K206" s="52"/>
      <c r="L206" s="14"/>
      <c r="M206" s="53"/>
    </row>
    <row r="207" spans="1:15" ht="12.75" x14ac:dyDescent="0.2">
      <c r="A207" s="121" t="str">
        <f t="shared" si="52"/>
        <v>Sigurimet Shoqërore</v>
      </c>
      <c r="B207" s="1229">
        <f t="shared" si="52"/>
        <v>601</v>
      </c>
      <c r="C207" s="1230">
        <f t="shared" si="52"/>
        <v>0</v>
      </c>
      <c r="D207" s="1231">
        <f t="shared" si="52"/>
        <v>0</v>
      </c>
      <c r="E207" s="36"/>
      <c r="F207" s="36"/>
      <c r="G207" s="36"/>
      <c r="H207" s="52"/>
    </row>
    <row r="208" spans="1:15" ht="12.75" x14ac:dyDescent="0.2">
      <c r="A208" s="121" t="str">
        <f t="shared" si="52"/>
        <v>Mallra dhe shërbime</v>
      </c>
      <c r="B208" s="1229">
        <f t="shared" si="52"/>
        <v>602</v>
      </c>
      <c r="C208" s="1230">
        <f t="shared" si="52"/>
        <v>0</v>
      </c>
      <c r="D208" s="1231">
        <f t="shared" si="52"/>
        <v>0</v>
      </c>
      <c r="E208" s="36">
        <v>0</v>
      </c>
      <c r="F208" s="36"/>
      <c r="G208" s="36"/>
      <c r="H208" s="52"/>
      <c r="I208" s="239" t="str">
        <f>I169</f>
        <v>Angazhimet</v>
      </c>
      <c r="J208" s="1290" t="str">
        <f>J169</f>
        <v>Vlera Totale për Aktivitet</v>
      </c>
      <c r="K208" s="1291"/>
      <c r="L208" s="1292"/>
      <c r="M208" s="126">
        <f>VLOOKUP($A184,'(C5) Angazhimet'!$A$8:$F$168,4,FALSE)</f>
        <v>0</v>
      </c>
      <c r="N208" s="126">
        <f>VLOOKUP($A184,'(C5) Angazhimet'!$A$8:$F$168,5,FALSE)</f>
        <v>0</v>
      </c>
      <c r="O208" s="126">
        <f>VLOOKUP($A184,'(C5) Angazhimet'!$A$8:$F$168,6,FALSE)</f>
        <v>0</v>
      </c>
    </row>
    <row r="209" spans="1:15" ht="12.75" x14ac:dyDescent="0.2">
      <c r="A209" s="121" t="str">
        <f t="shared" si="52"/>
        <v>Subvencione</v>
      </c>
      <c r="B209" s="1229">
        <f t="shared" si="52"/>
        <v>603</v>
      </c>
      <c r="C209" s="1230">
        <f t="shared" si="52"/>
        <v>0</v>
      </c>
      <c r="D209" s="1231">
        <f t="shared" si="52"/>
        <v>0</v>
      </c>
      <c r="E209" s="36"/>
      <c r="F209" s="36"/>
      <c r="G209" s="36"/>
      <c r="H209" s="52"/>
      <c r="I209" s="279" t="str">
        <f>I170</f>
        <v>Qëllime</v>
      </c>
      <c r="J209" s="1290" t="str">
        <f>J170</f>
        <v>Shpenzimet kapitale</v>
      </c>
      <c r="K209" s="1291"/>
      <c r="L209" s="1292"/>
      <c r="M209" s="125"/>
      <c r="N209" s="125"/>
      <c r="O209" s="129"/>
    </row>
    <row r="210" spans="1:15" ht="12.75" x14ac:dyDescent="0.2">
      <c r="A210" s="121" t="str">
        <f t="shared" si="52"/>
        <v>Të tjera transferta korrente të brendshme</v>
      </c>
      <c r="B210" s="1229">
        <f t="shared" si="52"/>
        <v>604</v>
      </c>
      <c r="C210" s="1230">
        <f t="shared" si="52"/>
        <v>0</v>
      </c>
      <c r="D210" s="1231">
        <f t="shared" si="52"/>
        <v>0</v>
      </c>
      <c r="E210" s="36"/>
      <c r="F210" s="36"/>
      <c r="G210" s="36"/>
      <c r="H210" s="52"/>
      <c r="I210" s="276"/>
      <c r="J210" s="1290" t="str">
        <f>J171</f>
        <v>Mallra dhe shërbime</v>
      </c>
      <c r="K210" s="1291"/>
      <c r="L210" s="1292"/>
      <c r="M210" s="125"/>
      <c r="N210" s="125"/>
      <c r="O210" s="129"/>
    </row>
    <row r="211" spans="1:15" ht="12.75" x14ac:dyDescent="0.2">
      <c r="A211" s="121" t="str">
        <f t="shared" si="52"/>
        <v>Transferta korrente të huaja</v>
      </c>
      <c r="B211" s="1229">
        <f t="shared" si="52"/>
        <v>605</v>
      </c>
      <c r="C211" s="1230">
        <f t="shared" si="52"/>
        <v>0</v>
      </c>
      <c r="D211" s="1231">
        <f t="shared" si="52"/>
        <v>0</v>
      </c>
      <c r="E211" s="36"/>
      <c r="F211" s="36"/>
      <c r="G211" s="36"/>
      <c r="H211" s="52"/>
      <c r="I211" s="276"/>
      <c r="J211" s="1290" t="str">
        <f>J172</f>
        <v>Qëllime të mëtejshme</v>
      </c>
      <c r="K211" s="1291"/>
      <c r="L211" s="1292"/>
      <c r="M211" s="125"/>
      <c r="N211" s="125"/>
      <c r="O211" s="129"/>
    </row>
    <row r="212" spans="1:15" ht="12.75" x14ac:dyDescent="0.2">
      <c r="A212" s="121" t="str">
        <f t="shared" si="52"/>
        <v>Transferta për Buxhetet Familiare dhe Individët</v>
      </c>
      <c r="B212" s="1229">
        <f t="shared" si="52"/>
        <v>606</v>
      </c>
      <c r="C212" s="1230">
        <f t="shared" si="52"/>
        <v>0</v>
      </c>
      <c r="D212" s="1231">
        <f t="shared" si="52"/>
        <v>0</v>
      </c>
      <c r="E212" s="36"/>
      <c r="F212" s="36"/>
      <c r="G212" s="36"/>
      <c r="H212" s="52"/>
      <c r="I212" s="276"/>
      <c r="J212" s="1286"/>
      <c r="K212" s="1286"/>
      <c r="L212" s="1286"/>
      <c r="M212" s="300" t="str">
        <f>IF(SUM(M209:M211)=M208,"OK","STOP")</f>
        <v>OK</v>
      </c>
      <c r="N212" s="300" t="str">
        <f>IF(SUM(N209:N211)=N208,"OK","STOP")</f>
        <v>OK</v>
      </c>
      <c r="O212" s="300" t="str">
        <f>IF(SUM(O209:O211)=O208,"OK","STOP")</f>
        <v>OK</v>
      </c>
    </row>
    <row r="213" spans="1:15" ht="12.75" x14ac:dyDescent="0.2">
      <c r="A213" s="564" t="str">
        <f t="shared" si="52"/>
        <v>Shpenzimet kapitale</v>
      </c>
      <c r="B213" s="1256" t="str">
        <f t="shared" si="52"/>
        <v>230 / 231</v>
      </c>
      <c r="C213" s="1257">
        <f t="shared" si="52"/>
        <v>0</v>
      </c>
      <c r="D213" s="1258">
        <f t="shared" si="52"/>
        <v>0</v>
      </c>
      <c r="E213" s="126"/>
      <c r="F213" s="126"/>
      <c r="G213" s="126"/>
      <c r="H213" s="52"/>
      <c r="I213" s="367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2.75" x14ac:dyDescent="0.2">
      <c r="A214" s="121" t="str">
        <f t="shared" si="52"/>
        <v>Rezerva</v>
      </c>
      <c r="B214" s="1229">
        <f t="shared" si="52"/>
        <v>609</v>
      </c>
      <c r="C214" s="1230">
        <f t="shared" si="52"/>
        <v>0</v>
      </c>
      <c r="D214" s="1231">
        <f t="shared" si="52"/>
        <v>0</v>
      </c>
      <c r="E214" s="36"/>
      <c r="F214" s="36"/>
      <c r="G214" s="36"/>
      <c r="H214" s="52"/>
      <c r="I214" s="365">
        <f>M187</f>
        <v>2022</v>
      </c>
      <c r="J214" s="1271"/>
      <c r="K214" s="1272"/>
      <c r="L214" s="1272"/>
      <c r="M214" s="1272"/>
      <c r="N214" s="1272"/>
      <c r="O214" s="1273"/>
    </row>
    <row r="215" spans="1:15" ht="12.75" x14ac:dyDescent="0.2">
      <c r="A215" s="121" t="str">
        <f t="shared" si="52"/>
        <v>Interesa per kredi direkte ose bono</v>
      </c>
      <c r="B215" s="1259">
        <f t="shared" si="52"/>
        <v>650</v>
      </c>
      <c r="C215" s="1260">
        <f t="shared" si="52"/>
        <v>0</v>
      </c>
      <c r="D215" s="1261">
        <f t="shared" si="52"/>
        <v>0</v>
      </c>
      <c r="E215" s="36"/>
      <c r="F215" s="36"/>
      <c r="G215" s="36"/>
      <c r="H215" s="52"/>
      <c r="I215" s="366"/>
      <c r="J215" s="1274"/>
      <c r="K215" s="1275"/>
      <c r="L215" s="1275"/>
      <c r="M215" s="1275"/>
      <c r="N215" s="1275"/>
      <c r="O215" s="1276"/>
    </row>
    <row r="216" spans="1:15" ht="12.75" x14ac:dyDescent="0.2">
      <c r="A216" s="239" t="str">
        <f>A99</f>
        <v>Të tjera</v>
      </c>
      <c r="B216" s="1229" t="str">
        <f>B99</f>
        <v>69 / ?</v>
      </c>
      <c r="C216" s="1230">
        <f>C99</f>
        <v>0</v>
      </c>
      <c r="D216" s="273" t="str">
        <f>IF(OR(E216&lt;0,F216&lt;0,G216&lt;0),"STOP","OK!")</f>
        <v>OK!</v>
      </c>
      <c r="E216" s="127">
        <f>-E204+E189-(SUM(E206:E215))</f>
        <v>0</v>
      </c>
      <c r="F216" s="270">
        <f>-F204+F189-(SUM(F206:F215))</f>
        <v>0</v>
      </c>
      <c r="G216" s="270">
        <f>-G204+G189-(SUM(G206:G215))</f>
        <v>0</v>
      </c>
      <c r="H216" s="52"/>
      <c r="I216" s="365">
        <f>N187</f>
        <v>2023</v>
      </c>
      <c r="J216" s="1271"/>
      <c r="K216" s="1272"/>
      <c r="L216" s="1272"/>
      <c r="M216" s="1272"/>
      <c r="N216" s="1272"/>
      <c r="O216" s="1273"/>
    </row>
    <row r="217" spans="1:15" ht="12.75" x14ac:dyDescent="0.2">
      <c r="A217" s="121" t="str">
        <f>A100</f>
        <v>SHPENZIME KORRENTE</v>
      </c>
      <c r="B217" s="1262"/>
      <c r="C217" s="1263"/>
      <c r="D217" s="1264"/>
      <c r="E217" s="126">
        <f>SUM(E206:E216)</f>
        <v>0</v>
      </c>
      <c r="F217" s="126">
        <f>SUM(F206:F216)</f>
        <v>0</v>
      </c>
      <c r="G217" s="126">
        <f>SUM(G206:G216)</f>
        <v>0</v>
      </c>
      <c r="H217" s="52"/>
      <c r="I217" s="366"/>
      <c r="J217" s="1277"/>
      <c r="K217" s="1278"/>
      <c r="L217" s="1278"/>
      <c r="M217" s="1278"/>
      <c r="N217" s="1278"/>
      <c r="O217" s="1279"/>
    </row>
    <row r="218" spans="1:15" ht="12.75" x14ac:dyDescent="0.2">
      <c r="A218" s="122"/>
      <c r="B218" s="201"/>
      <c r="C218" s="123"/>
      <c r="D218" s="123"/>
      <c r="E218" s="10"/>
      <c r="F218" s="10"/>
      <c r="G218" s="130"/>
      <c r="H218" s="52"/>
      <c r="I218" s="365">
        <f>O187</f>
        <v>2024</v>
      </c>
      <c r="J218" s="1271"/>
      <c r="K218" s="1272"/>
      <c r="L218" s="1272"/>
      <c r="M218" s="1272"/>
      <c r="N218" s="1272"/>
      <c r="O218" s="1273"/>
    </row>
    <row r="219" spans="1:15" ht="12.75" x14ac:dyDescent="0.2">
      <c r="A219" s="134" t="str">
        <f>A102</f>
        <v>SHPENZIME TË PRITSHME</v>
      </c>
      <c r="B219" s="33">
        <f>B189</f>
        <v>4415703</v>
      </c>
      <c r="C219" s="33">
        <f>C189</f>
        <v>5108041</v>
      </c>
      <c r="D219" s="33">
        <f>D189</f>
        <v>900000</v>
      </c>
      <c r="E219" s="126">
        <f>E204+E217</f>
        <v>0</v>
      </c>
      <c r="F219" s="126">
        <f>F204+F217</f>
        <v>0</v>
      </c>
      <c r="G219" s="126">
        <f>G204+G217</f>
        <v>0</v>
      </c>
      <c r="H219" s="52"/>
      <c r="I219" s="366"/>
      <c r="J219" s="1277"/>
      <c r="K219" s="1278"/>
      <c r="L219" s="1278"/>
      <c r="M219" s="1278"/>
      <c r="N219" s="1278"/>
      <c r="O219" s="1279"/>
    </row>
    <row r="222" spans="1:15" ht="17.25" customHeight="1" x14ac:dyDescent="0.2">
      <c r="A222" s="204" t="str">
        <f t="shared" ref="A222:O222" si="55">A105</f>
        <v>Nënfunksioni 2</v>
      </c>
      <c r="B222" s="1225" t="str">
        <f t="shared" si="55"/>
        <v>017 Shërbime të  huamarrjes vendore</v>
      </c>
      <c r="C222" s="1225">
        <f t="shared" si="55"/>
        <v>0</v>
      </c>
      <c r="D222" s="1225">
        <f t="shared" si="55"/>
        <v>0</v>
      </c>
      <c r="E222" s="1225">
        <f t="shared" si="55"/>
        <v>0</v>
      </c>
      <c r="F222" s="1225">
        <f t="shared" si="55"/>
        <v>0</v>
      </c>
      <c r="G222" s="1225">
        <f t="shared" si="55"/>
        <v>0</v>
      </c>
      <c r="H222" s="1225">
        <f t="shared" si="55"/>
        <v>0</v>
      </c>
      <c r="I222" s="1225">
        <f t="shared" si="55"/>
        <v>0</v>
      </c>
      <c r="J222" s="1225">
        <f t="shared" si="55"/>
        <v>0</v>
      </c>
      <c r="K222" s="1225">
        <f t="shared" si="55"/>
        <v>0</v>
      </c>
      <c r="L222" s="1225">
        <f t="shared" si="55"/>
        <v>0</v>
      </c>
      <c r="M222" s="1225">
        <f t="shared" si="55"/>
        <v>0</v>
      </c>
      <c r="N222" s="1225">
        <f t="shared" si="55"/>
        <v>0</v>
      </c>
      <c r="O222" s="1225">
        <f t="shared" si="55"/>
        <v>0</v>
      </c>
    </row>
    <row r="223" spans="1:15" ht="17.25" customHeight="1" x14ac:dyDescent="0.2">
      <c r="A223" s="262" t="str">
        <f>A10</f>
        <v>Programi 2e</v>
      </c>
      <c r="B223" s="1225">
        <f>C10</f>
        <v>0</v>
      </c>
      <c r="C223" s="1225" t="e">
        <f>#REF!</f>
        <v>#REF!</v>
      </c>
      <c r="D223" s="1225" t="e">
        <f>#REF!</f>
        <v>#REF!</v>
      </c>
      <c r="E223" s="1225" t="e">
        <f>#REF!</f>
        <v>#REF!</v>
      </c>
      <c r="F223" s="1225" t="e">
        <f>#REF!</f>
        <v>#REF!</v>
      </c>
      <c r="G223" s="1225" t="e">
        <f>#REF!</f>
        <v>#REF!</v>
      </c>
      <c r="H223" s="1225" t="e">
        <f>#REF!</f>
        <v>#REF!</v>
      </c>
      <c r="I223" s="1225" t="e">
        <f>#REF!</f>
        <v>#REF!</v>
      </c>
      <c r="J223" s="1225" t="e">
        <f>#REF!</f>
        <v>#REF!</v>
      </c>
      <c r="K223" s="1225" t="e">
        <f>#REF!</f>
        <v>#REF!</v>
      </c>
      <c r="L223" s="1225" t="e">
        <f>#REF!</f>
        <v>#REF!</v>
      </c>
      <c r="M223" s="1225" t="e">
        <f>#REF!</f>
        <v>#REF!</v>
      </c>
      <c r="N223" s="1225" t="e">
        <f>#REF!</f>
        <v>#REF!</v>
      </c>
      <c r="O223" s="1225" t="e">
        <f>#REF!</f>
        <v>#REF!</v>
      </c>
    </row>
    <row r="224" spans="1:15" ht="17.25" customHeight="1" x14ac:dyDescent="0.2">
      <c r="A224" s="562">
        <f>'(B3) Struktura Funksionale'!B19</f>
        <v>0</v>
      </c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  <c r="L224" s="485"/>
      <c r="M224" s="485"/>
      <c r="N224" s="485"/>
      <c r="O224" s="486"/>
    </row>
    <row r="225" spans="1:15" ht="21.75" customHeight="1" x14ac:dyDescent="0.2">
      <c r="A225" s="1252" t="str">
        <f t="shared" ref="A225:G225" si="56">A108</f>
        <v>SHPENZIME TË PRITSHME</v>
      </c>
      <c r="B225" s="1253">
        <f t="shared" si="56"/>
        <v>0</v>
      </c>
      <c r="C225" s="1253">
        <f t="shared" si="56"/>
        <v>0</v>
      </c>
      <c r="D225" s="1253">
        <f t="shared" si="56"/>
        <v>0</v>
      </c>
      <c r="E225" s="1253">
        <f t="shared" si="56"/>
        <v>0</v>
      </c>
      <c r="F225" s="1253">
        <f t="shared" si="56"/>
        <v>0</v>
      </c>
      <c r="G225" s="1254">
        <f t="shared" si="56"/>
        <v>0</v>
      </c>
      <c r="H225" s="128"/>
      <c r="I225" s="1255" t="str">
        <f t="shared" ref="I225:O225" si="57">I108</f>
        <v xml:space="preserve">TË ARDHURAT E PRITSHME </v>
      </c>
      <c r="J225" s="1253">
        <f t="shared" si="57"/>
        <v>0</v>
      </c>
      <c r="K225" s="1253">
        <f t="shared" si="57"/>
        <v>0</v>
      </c>
      <c r="L225" s="1253">
        <f t="shared" si="57"/>
        <v>0</v>
      </c>
      <c r="M225" s="1253">
        <f t="shared" si="57"/>
        <v>0</v>
      </c>
      <c r="N225" s="1253">
        <f t="shared" si="57"/>
        <v>0</v>
      </c>
      <c r="O225" s="1254">
        <f t="shared" si="57"/>
        <v>0</v>
      </c>
    </row>
    <row r="226" spans="1:15" ht="18.75" customHeight="1" x14ac:dyDescent="0.2">
      <c r="A226" s="202"/>
      <c r="B226" s="363">
        <f t="shared" ref="B226:G226" si="58">B109</f>
        <v>2019</v>
      </c>
      <c r="C226" s="363">
        <f t="shared" si="58"/>
        <v>2020</v>
      </c>
      <c r="D226" s="363">
        <f t="shared" si="58"/>
        <v>2021</v>
      </c>
      <c r="E226" s="238">
        <f t="shared" si="58"/>
        <v>2022</v>
      </c>
      <c r="F226" s="238">
        <f t="shared" si="58"/>
        <v>2023</v>
      </c>
      <c r="G226" s="238">
        <f t="shared" si="58"/>
        <v>2024</v>
      </c>
      <c r="H226" s="203"/>
      <c r="I226" s="360"/>
      <c r="J226" s="363">
        <f t="shared" ref="J226:O226" si="59">J109</f>
        <v>2019</v>
      </c>
      <c r="K226" s="363">
        <f t="shared" si="59"/>
        <v>2020</v>
      </c>
      <c r="L226" s="363">
        <f t="shared" si="59"/>
        <v>2021</v>
      </c>
      <c r="M226" s="238">
        <f t="shared" si="59"/>
        <v>2022</v>
      </c>
      <c r="N226" s="238">
        <f t="shared" si="59"/>
        <v>2023</v>
      </c>
      <c r="O226" s="238">
        <f t="shared" si="59"/>
        <v>2024</v>
      </c>
    </row>
    <row r="227" spans="1:15" ht="13.15" customHeight="1" x14ac:dyDescent="0.2">
      <c r="A227" s="377"/>
      <c r="B227" s="370"/>
      <c r="C227" s="303"/>
      <c r="D227" s="304"/>
      <c r="E227" s="378"/>
      <c r="F227" s="378"/>
      <c r="G227" s="379"/>
      <c r="H227" s="128"/>
      <c r="I227" s="302"/>
      <c r="J227" s="1250"/>
      <c r="K227" s="1250"/>
      <c r="L227" s="375"/>
      <c r="M227" s="375"/>
      <c r="N227" s="375"/>
      <c r="O227" s="376"/>
    </row>
    <row r="228" spans="1:15" ht="13.15" customHeight="1" x14ac:dyDescent="0.2">
      <c r="A228" s="134" t="str">
        <f>A111</f>
        <v>SHPENZIME TË PRITSHME</v>
      </c>
      <c r="B228" s="33">
        <f>VLOOKUP(A223,'(C1) Shpenzimet vitet e kaluara'!A$9:O$177,5,FALSE)</f>
        <v>0</v>
      </c>
      <c r="C228" s="33">
        <f>VLOOKUP(A223,'(C1) Shpenzimet vitet e kaluara'!A$9:O$177,9,FALSE)</f>
        <v>0</v>
      </c>
      <c r="D228" s="33">
        <f>VLOOKUP(A223,'(C1) Shpenzimet vitet e kaluara'!A$9:O$177,13,FALSE)</f>
        <v>0</v>
      </c>
      <c r="E228" s="36"/>
      <c r="F228" s="36"/>
      <c r="G228" s="36"/>
      <c r="H228" s="128"/>
      <c r="I228" s="1226" t="str">
        <f t="shared" ref="I228:O228" si="60">I111</f>
        <v>VLERËSIM I ARDHURAVE NGA TARIFAT</v>
      </c>
      <c r="J228" s="1227">
        <f t="shared" si="60"/>
        <v>0</v>
      </c>
      <c r="K228" s="1227">
        <f t="shared" si="60"/>
        <v>0</v>
      </c>
      <c r="L228" s="1227">
        <f t="shared" si="60"/>
        <v>0</v>
      </c>
      <c r="M228" s="1227">
        <f t="shared" si="60"/>
        <v>0</v>
      </c>
      <c r="N228" s="1227">
        <f t="shared" si="60"/>
        <v>0</v>
      </c>
      <c r="O228" s="1228">
        <f t="shared" si="60"/>
        <v>0</v>
      </c>
    </row>
    <row r="229" spans="1:15" ht="13.15" customHeight="1" x14ac:dyDescent="0.2">
      <c r="A229" s="122"/>
      <c r="B229" s="201"/>
      <c r="C229" s="123"/>
      <c r="D229" s="123"/>
      <c r="E229" s="10"/>
      <c r="F229" s="10"/>
      <c r="G229" s="130"/>
      <c r="H229" s="10"/>
      <c r="I229" s="134" t="str">
        <f>I112</f>
        <v>VLERËSIM I ARDHURAVE NGA TARIFAT</v>
      </c>
      <c r="J229" s="34">
        <f>VLOOKUP($A223,'(C1) Shpenzimet vitet e kaluara'!$A$9:$O$177,6,FALSE)</f>
        <v>0</v>
      </c>
      <c r="K229" s="34">
        <f>VLOOKUP($A223,'(C1) Shpenzimet vitet e kaluara'!$A$9:$O$177,10,FALSE)</f>
        <v>0</v>
      </c>
      <c r="L229" s="34">
        <f>VLOOKUP($A223,'(C1) Shpenzimet vitet e kaluara'!$A$9:$O$177,14,FALSE)</f>
        <v>0</v>
      </c>
      <c r="M229" s="36"/>
      <c r="N229" s="36"/>
      <c r="O229" s="36"/>
    </row>
    <row r="230" spans="1:15" ht="13.15" customHeight="1" x14ac:dyDescent="0.2">
      <c r="A230" s="1232" t="str">
        <f t="shared" ref="A230:G230" si="61">A113</f>
        <v>SHPENZIME TË PRITSHME</v>
      </c>
      <c r="B230" s="1233">
        <f t="shared" si="61"/>
        <v>0</v>
      </c>
      <c r="C230" s="1233">
        <f t="shared" si="61"/>
        <v>0</v>
      </c>
      <c r="D230" s="1233">
        <f t="shared" si="61"/>
        <v>0</v>
      </c>
      <c r="E230" s="1233">
        <f t="shared" si="61"/>
        <v>0</v>
      </c>
      <c r="F230" s="1233">
        <f t="shared" si="61"/>
        <v>0</v>
      </c>
      <c r="G230" s="1234">
        <f t="shared" si="61"/>
        <v>0</v>
      </c>
      <c r="H230" s="10"/>
    </row>
    <row r="231" spans="1:15" ht="13.15" customHeight="1" x14ac:dyDescent="0.2">
      <c r="A231" s="1226" t="str">
        <f t="shared" ref="A231:G231" si="62">A114</f>
        <v>KOSTO DIREKTE PËR PROJEKTET DHE SHPENZIMET KAPITALE</v>
      </c>
      <c r="B231" s="1227">
        <f t="shared" si="62"/>
        <v>0</v>
      </c>
      <c r="C231" s="1227">
        <f t="shared" si="62"/>
        <v>0</v>
      </c>
      <c r="D231" s="1227">
        <f t="shared" si="62"/>
        <v>0</v>
      </c>
      <c r="E231" s="1227">
        <f t="shared" si="62"/>
        <v>0</v>
      </c>
      <c r="F231" s="1227">
        <f t="shared" si="62"/>
        <v>0</v>
      </c>
      <c r="G231" s="1228">
        <f t="shared" si="62"/>
        <v>0</v>
      </c>
      <c r="H231" s="30"/>
      <c r="I231" s="1226" t="str">
        <f t="shared" ref="I231:I236" si="63">I114</f>
        <v>VLERËSIMI I TË ARDHURAVE ME DESTINACION</v>
      </c>
      <c r="J231" s="1227"/>
      <c r="K231" s="1227"/>
      <c r="L231" s="1227"/>
      <c r="M231" s="1227"/>
      <c r="N231" s="1227"/>
      <c r="O231" s="1228"/>
    </row>
    <row r="232" spans="1:15" ht="13.15" customHeight="1" x14ac:dyDescent="0.2">
      <c r="A232" s="121" t="str">
        <f t="shared" ref="A232:D254" si="64">A115</f>
        <v>Pagat</v>
      </c>
      <c r="B232" s="1229">
        <f t="shared" si="64"/>
        <v>600</v>
      </c>
      <c r="C232" s="1230">
        <f t="shared" si="64"/>
        <v>0</v>
      </c>
      <c r="D232" s="1231">
        <f t="shared" si="64"/>
        <v>0</v>
      </c>
      <c r="E232" s="126"/>
      <c r="F232" s="126"/>
      <c r="G232" s="126"/>
      <c r="H232" s="30"/>
      <c r="I232" s="460" t="str">
        <f t="shared" si="63"/>
        <v>Transferta e kushtëzuar</v>
      </c>
      <c r="J232" s="336"/>
      <c r="K232" s="338"/>
      <c r="L232" s="337"/>
      <c r="M232" s="125"/>
      <c r="N232" s="125"/>
      <c r="O232" s="129"/>
    </row>
    <row r="233" spans="1:15" ht="13.15" customHeight="1" x14ac:dyDescent="0.2">
      <c r="A233" s="121" t="str">
        <f t="shared" si="64"/>
        <v>Sigurimet Shoqërore</v>
      </c>
      <c r="B233" s="1229">
        <f t="shared" si="64"/>
        <v>601</v>
      </c>
      <c r="C233" s="1230">
        <f t="shared" si="64"/>
        <v>0</v>
      </c>
      <c r="D233" s="1231">
        <f t="shared" si="64"/>
        <v>0</v>
      </c>
      <c r="E233" s="126"/>
      <c r="F233" s="126"/>
      <c r="G233" s="126"/>
      <c r="H233" s="30"/>
      <c r="I233" s="460" t="str">
        <f t="shared" si="63"/>
        <v>Trasferta Specifike</v>
      </c>
      <c r="J233" s="336"/>
      <c r="K233" s="338"/>
      <c r="L233" s="337"/>
      <c r="M233" s="125"/>
      <c r="N233" s="125"/>
      <c r="O233" s="129"/>
    </row>
    <row r="234" spans="1:15" ht="13.15" customHeight="1" x14ac:dyDescent="0.2">
      <c r="A234" s="121" t="str">
        <f t="shared" si="64"/>
        <v>Mallra dhe shërbime</v>
      </c>
      <c r="B234" s="1229">
        <f t="shared" si="64"/>
        <v>602</v>
      </c>
      <c r="C234" s="1230">
        <f t="shared" si="64"/>
        <v>0</v>
      </c>
      <c r="D234" s="1231">
        <f t="shared" si="64"/>
        <v>0</v>
      </c>
      <c r="E234" s="126"/>
      <c r="F234" s="126"/>
      <c r="G234" s="126"/>
      <c r="H234" s="52"/>
      <c r="I234" s="460" t="str">
        <f t="shared" si="63"/>
        <v>Trashëgimi me destinacion</v>
      </c>
      <c r="J234" s="336"/>
      <c r="K234" s="338"/>
      <c r="L234" s="337"/>
      <c r="M234" s="264">
        <f>VLOOKUP($A223,'(C4) Trashëgimi me destinacion'!$A$8:$F$168,4,FALSE)</f>
        <v>0</v>
      </c>
      <c r="N234" s="479">
        <f>VLOOKUP($A223,'(C4) Trashëgimi me destinacion'!$A$8:$F$168,5,FALSE)</f>
        <v>0</v>
      </c>
      <c r="O234" s="479">
        <f>VLOOKUP($A223,'(C4) Trashëgimi me destinacion'!$A$8:$F$168,6,FALSE)</f>
        <v>0</v>
      </c>
    </row>
    <row r="235" spans="1:15" ht="13.15" customHeight="1" x14ac:dyDescent="0.2">
      <c r="A235" s="121" t="str">
        <f t="shared" si="64"/>
        <v>Subvencione</v>
      </c>
      <c r="B235" s="1229">
        <f t="shared" si="64"/>
        <v>603</v>
      </c>
      <c r="C235" s="1230">
        <f t="shared" si="64"/>
        <v>0</v>
      </c>
      <c r="D235" s="1231">
        <f t="shared" si="64"/>
        <v>0</v>
      </c>
      <c r="E235" s="126"/>
      <c r="F235" s="126"/>
      <c r="G235" s="126"/>
      <c r="H235" s="8"/>
      <c r="I235" s="460" t="str">
        <f t="shared" si="63"/>
        <v>Burime të tjera (përfshirë gjobat)</v>
      </c>
      <c r="J235" s="336"/>
      <c r="K235" s="338"/>
      <c r="L235" s="337"/>
      <c r="M235" s="125"/>
      <c r="N235" s="125"/>
      <c r="O235" s="129"/>
    </row>
    <row r="236" spans="1:15" ht="13.15" customHeight="1" x14ac:dyDescent="0.2">
      <c r="A236" s="121" t="str">
        <f t="shared" si="64"/>
        <v>Të tjera transferta korrente të brendshme</v>
      </c>
      <c r="B236" s="1229">
        <f t="shared" si="64"/>
        <v>604</v>
      </c>
      <c r="C236" s="1230">
        <f t="shared" si="64"/>
        <v>0</v>
      </c>
      <c r="D236" s="1231">
        <f t="shared" si="64"/>
        <v>0</v>
      </c>
      <c r="E236" s="126"/>
      <c r="F236" s="126"/>
      <c r="G236" s="126"/>
      <c r="H236" s="52"/>
      <c r="I236" s="460" t="str">
        <f t="shared" si="63"/>
        <v>VLERËSIMI I TË ARDHURAVE ME DESTINACION</v>
      </c>
      <c r="J236" s="34">
        <f>VLOOKUP($A223,'(C1) Shpenzimet vitet e kaluara'!$A$9:$O$177,7,FALSE)</f>
        <v>0</v>
      </c>
      <c r="K236" s="34">
        <f>VLOOKUP($A223,'(C1) Shpenzimet vitet e kaluara'!$A$9:$O$177,11,FALSE)</f>
        <v>0</v>
      </c>
      <c r="L236" s="34">
        <f>VLOOKUP($A223,'(C1) Shpenzimet vitet e kaluara'!$A$9:$O$177,15,FALSE)</f>
        <v>0</v>
      </c>
      <c r="M236" s="126">
        <f>SUM(M232:M235)</f>
        <v>0</v>
      </c>
      <c r="N236" s="126">
        <f>SUM(N232:N235)</f>
        <v>0</v>
      </c>
      <c r="O236" s="126">
        <f>SUM(O232:O235)</f>
        <v>0</v>
      </c>
    </row>
    <row r="237" spans="1:15" ht="13.15" customHeight="1" x14ac:dyDescent="0.2">
      <c r="A237" s="121" t="str">
        <f t="shared" si="64"/>
        <v>Transferta korrente të huaja</v>
      </c>
      <c r="B237" s="1229">
        <f t="shared" si="64"/>
        <v>605</v>
      </c>
      <c r="C237" s="1230">
        <f t="shared" si="64"/>
        <v>0</v>
      </c>
      <c r="D237" s="1231">
        <f t="shared" si="64"/>
        <v>0</v>
      </c>
      <c r="E237" s="126"/>
      <c r="F237" s="126"/>
      <c r="G237" s="126"/>
      <c r="H237" s="52"/>
    </row>
    <row r="238" spans="1:15" ht="13.15" customHeight="1" x14ac:dyDescent="0.2">
      <c r="A238" s="121" t="str">
        <f t="shared" si="64"/>
        <v>Transferta për Buxhetet Familiare dhe Individët</v>
      </c>
      <c r="B238" s="1229">
        <f t="shared" si="64"/>
        <v>606</v>
      </c>
      <c r="C238" s="1230">
        <f t="shared" si="64"/>
        <v>0</v>
      </c>
      <c r="D238" s="1231">
        <f t="shared" si="64"/>
        <v>0</v>
      </c>
      <c r="E238" s="126"/>
      <c r="F238" s="126"/>
      <c r="G238" s="126"/>
      <c r="H238" s="52"/>
      <c r="I238" s="134" t="str">
        <f>I121</f>
        <v xml:space="preserve">TË ARDHURAT E PRITSHME </v>
      </c>
      <c r="J238" s="33">
        <f>J229+J236</f>
        <v>0</v>
      </c>
      <c r="K238" s="33">
        <f>K229+K236</f>
        <v>0</v>
      </c>
      <c r="L238" s="33">
        <f>L229+L236</f>
        <v>0</v>
      </c>
      <c r="M238" s="126">
        <f>M236+M229</f>
        <v>0</v>
      </c>
      <c r="N238" s="126">
        <f>N236+N229</f>
        <v>0</v>
      </c>
      <c r="O238" s="126">
        <f>O236+O229</f>
        <v>0</v>
      </c>
    </row>
    <row r="239" spans="1:15" ht="13.15" customHeight="1" x14ac:dyDescent="0.2">
      <c r="A239" s="121" t="str">
        <f t="shared" si="64"/>
        <v>Shpenzimet kapitale</v>
      </c>
      <c r="B239" s="1229" t="str">
        <f t="shared" si="64"/>
        <v>230 / 231</v>
      </c>
      <c r="C239" s="1230">
        <f t="shared" si="64"/>
        <v>0</v>
      </c>
      <c r="D239" s="1231">
        <f t="shared" si="64"/>
        <v>0</v>
      </c>
      <c r="E239" s="36"/>
      <c r="F239" s="36"/>
      <c r="G239" s="36"/>
      <c r="H239" s="52"/>
    </row>
    <row r="240" spans="1:15" ht="13.15" customHeight="1" x14ac:dyDescent="0.2">
      <c r="A240" s="121" t="str">
        <f t="shared" si="64"/>
        <v>Rezerva</v>
      </c>
      <c r="B240" s="1229">
        <f t="shared" si="64"/>
        <v>609</v>
      </c>
      <c r="C240" s="1230">
        <f t="shared" si="64"/>
        <v>0</v>
      </c>
      <c r="D240" s="1231">
        <f t="shared" si="64"/>
        <v>0</v>
      </c>
      <c r="E240" s="126"/>
      <c r="F240" s="126"/>
      <c r="G240" s="126"/>
      <c r="H240" s="52"/>
    </row>
    <row r="241" spans="1:15" ht="13.15" customHeight="1" x14ac:dyDescent="0.2">
      <c r="A241" s="121" t="str">
        <f t="shared" si="64"/>
        <v>Interesa per kredi direkte ose bono</v>
      </c>
      <c r="B241" s="1229">
        <f t="shared" si="64"/>
        <v>650</v>
      </c>
      <c r="C241" s="1230">
        <f t="shared" si="64"/>
        <v>0</v>
      </c>
      <c r="D241" s="1231">
        <f t="shared" si="64"/>
        <v>0</v>
      </c>
      <c r="E241" s="126"/>
      <c r="F241" s="126"/>
      <c r="G241" s="126"/>
      <c r="H241" s="52"/>
    </row>
    <row r="242" spans="1:15" ht="13.15" customHeight="1" x14ac:dyDescent="0.2">
      <c r="A242" s="121" t="str">
        <f t="shared" si="64"/>
        <v>Të tjera</v>
      </c>
      <c r="B242" s="1229" t="str">
        <f t="shared" si="64"/>
        <v>69 / ?</v>
      </c>
      <c r="C242" s="1230">
        <f t="shared" si="64"/>
        <v>0</v>
      </c>
      <c r="D242" s="1231">
        <f t="shared" si="64"/>
        <v>0</v>
      </c>
      <c r="E242" s="126"/>
      <c r="F242" s="126"/>
      <c r="G242" s="126"/>
      <c r="H242" s="52"/>
      <c r="I242" s="1235" t="str">
        <f t="shared" ref="I242:O242" si="65">I125</f>
        <v>SHUMA E KËRKUAR NETO</v>
      </c>
      <c r="J242" s="1236">
        <f t="shared" si="65"/>
        <v>0</v>
      </c>
      <c r="K242" s="1236">
        <f t="shared" si="65"/>
        <v>0</v>
      </c>
      <c r="L242" s="1236">
        <f t="shared" si="65"/>
        <v>0</v>
      </c>
      <c r="M242" s="1236">
        <f t="shared" si="65"/>
        <v>0</v>
      </c>
      <c r="N242" s="1236">
        <f t="shared" si="65"/>
        <v>0</v>
      </c>
      <c r="O242" s="1237">
        <f t="shared" si="65"/>
        <v>0</v>
      </c>
    </row>
    <row r="243" spans="1:15" ht="12.75" customHeight="1" x14ac:dyDescent="0.2">
      <c r="A243" s="268" t="str">
        <f t="shared" si="64"/>
        <v>KOSTO DIREKTE PËR PROJEKTET DHE SHPENZIMET KAPITALE</v>
      </c>
      <c r="B243" s="1229">
        <f t="shared" si="64"/>
        <v>0</v>
      </c>
      <c r="C243" s="1230">
        <f t="shared" si="64"/>
        <v>0</v>
      </c>
      <c r="D243" s="1231">
        <f t="shared" si="64"/>
        <v>0</v>
      </c>
      <c r="E243" s="126">
        <f>SUM(E232:E242)</f>
        <v>0</v>
      </c>
      <c r="F243" s="126">
        <f>SUM(F232:F242)</f>
        <v>0</v>
      </c>
      <c r="G243" s="126">
        <f>SUM(G232:G242)</f>
        <v>0</v>
      </c>
      <c r="H243" s="52"/>
      <c r="I243" s="1238">
        <f t="shared" ref="I243:O243" si="66">I126</f>
        <v>0</v>
      </c>
      <c r="J243" s="1239">
        <f t="shared" si="66"/>
        <v>0</v>
      </c>
      <c r="K243" s="1239">
        <f t="shared" si="66"/>
        <v>0</v>
      </c>
      <c r="L243" s="1239">
        <f t="shared" si="66"/>
        <v>0</v>
      </c>
      <c r="M243" s="1239">
        <f t="shared" si="66"/>
        <v>0</v>
      </c>
      <c r="N243" s="1239">
        <f t="shared" si="66"/>
        <v>0</v>
      </c>
      <c r="O243" s="1240">
        <f t="shared" si="66"/>
        <v>0</v>
      </c>
    </row>
    <row r="244" spans="1:15" ht="13.15" customHeight="1" x14ac:dyDescent="0.2">
      <c r="A244" s="1226" t="str">
        <f t="shared" si="64"/>
        <v>SHPENZIME KORRENTE</v>
      </c>
      <c r="B244" s="1227">
        <f t="shared" si="64"/>
        <v>0</v>
      </c>
      <c r="C244" s="1227">
        <f t="shared" si="64"/>
        <v>0</v>
      </c>
      <c r="D244" s="1227">
        <f t="shared" si="64"/>
        <v>0</v>
      </c>
      <c r="E244" s="1227">
        <f>E127</f>
        <v>0</v>
      </c>
      <c r="F244" s="1227">
        <f>F127</f>
        <v>0</v>
      </c>
      <c r="G244" s="1228">
        <f>G127</f>
        <v>0</v>
      </c>
      <c r="H244" s="52"/>
      <c r="I244" s="17" t="str">
        <f>I127</f>
        <v>SHUMA E KËRKUAR NETO</v>
      </c>
      <c r="J244" s="18">
        <f t="shared" ref="J244:O244" si="67">B228-J238</f>
        <v>0</v>
      </c>
      <c r="K244" s="18">
        <f t="shared" si="67"/>
        <v>0</v>
      </c>
      <c r="L244" s="18">
        <f t="shared" si="67"/>
        <v>0</v>
      </c>
      <c r="M244" s="18">
        <f t="shared" si="67"/>
        <v>0</v>
      </c>
      <c r="N244" s="18">
        <f t="shared" si="67"/>
        <v>0</v>
      </c>
      <c r="O244" s="18">
        <f t="shared" si="67"/>
        <v>0</v>
      </c>
    </row>
    <row r="245" spans="1:15" ht="13.15" customHeight="1" x14ac:dyDescent="0.2">
      <c r="A245" s="121" t="str">
        <f t="shared" si="64"/>
        <v>Pagat</v>
      </c>
      <c r="B245" s="1229">
        <f t="shared" si="64"/>
        <v>600</v>
      </c>
      <c r="C245" s="1230">
        <f t="shared" si="64"/>
        <v>0</v>
      </c>
      <c r="D245" s="1231">
        <f t="shared" si="64"/>
        <v>0</v>
      </c>
      <c r="E245" s="36"/>
      <c r="F245" s="36"/>
      <c r="G245" s="36"/>
      <c r="H245" s="52"/>
      <c r="I245" s="52"/>
      <c r="J245" s="52"/>
      <c r="K245" s="52"/>
      <c r="L245" s="14"/>
      <c r="M245" s="53"/>
    </row>
    <row r="246" spans="1:15" ht="13.15" customHeight="1" x14ac:dyDescent="0.2">
      <c r="A246" s="121" t="str">
        <f t="shared" si="64"/>
        <v>Sigurimet Shoqërore</v>
      </c>
      <c r="B246" s="1229">
        <f t="shared" si="64"/>
        <v>601</v>
      </c>
      <c r="C246" s="1230">
        <f t="shared" si="64"/>
        <v>0</v>
      </c>
      <c r="D246" s="1231">
        <f t="shared" si="64"/>
        <v>0</v>
      </c>
      <c r="E246" s="36"/>
      <c r="F246" s="36"/>
      <c r="G246" s="36"/>
      <c r="H246" s="52"/>
    </row>
    <row r="247" spans="1:15" ht="13.15" customHeight="1" x14ac:dyDescent="0.2">
      <c r="A247" s="121" t="str">
        <f t="shared" si="64"/>
        <v>Mallra dhe shërbime</v>
      </c>
      <c r="B247" s="1229">
        <f t="shared" si="64"/>
        <v>602</v>
      </c>
      <c r="C247" s="1230">
        <f t="shared" si="64"/>
        <v>0</v>
      </c>
      <c r="D247" s="1231">
        <f t="shared" si="64"/>
        <v>0</v>
      </c>
      <c r="E247" s="36"/>
      <c r="F247" s="36"/>
      <c r="G247" s="36"/>
      <c r="H247" s="52"/>
      <c r="I247" s="460" t="str">
        <f>I208</f>
        <v>Angazhimet</v>
      </c>
      <c r="J247" s="1290" t="str">
        <f>J208</f>
        <v>Vlera Totale për Aktivitet</v>
      </c>
      <c r="K247" s="1291"/>
      <c r="L247" s="1292"/>
      <c r="M247" s="126">
        <f>VLOOKUP($A223,'(C5) Angazhimet'!$A$8:$F$168,4,FALSE)</f>
        <v>0</v>
      </c>
      <c r="N247" s="126">
        <f>VLOOKUP($A223,'(C5) Angazhimet'!$A$8:$F$168,5,FALSE)</f>
        <v>0</v>
      </c>
      <c r="O247" s="126">
        <f>VLOOKUP($A223,'(C5) Angazhimet'!$A$8:$F$168,6,FALSE)</f>
        <v>0</v>
      </c>
    </row>
    <row r="248" spans="1:15" ht="13.15" customHeight="1" x14ac:dyDescent="0.2">
      <c r="A248" s="121" t="str">
        <f t="shared" si="64"/>
        <v>Subvencione</v>
      </c>
      <c r="B248" s="1229">
        <f t="shared" si="64"/>
        <v>603</v>
      </c>
      <c r="C248" s="1230">
        <f t="shared" si="64"/>
        <v>0</v>
      </c>
      <c r="D248" s="1231">
        <f t="shared" si="64"/>
        <v>0</v>
      </c>
      <c r="E248" s="36"/>
      <c r="F248" s="36"/>
      <c r="G248" s="36"/>
      <c r="H248" s="52"/>
      <c r="I248" s="279" t="str">
        <f>I209</f>
        <v>Qëllime</v>
      </c>
      <c r="J248" s="1290" t="str">
        <f>J209</f>
        <v>Shpenzimet kapitale</v>
      </c>
      <c r="K248" s="1291"/>
      <c r="L248" s="1292"/>
      <c r="M248" s="125"/>
      <c r="N248" s="125"/>
      <c r="O248" s="129"/>
    </row>
    <row r="249" spans="1:15" ht="13.15" customHeight="1" x14ac:dyDescent="0.2">
      <c r="A249" s="121" t="str">
        <f t="shared" si="64"/>
        <v>Të tjera transferta korrente të brendshme</v>
      </c>
      <c r="B249" s="1229">
        <f t="shared" si="64"/>
        <v>604</v>
      </c>
      <c r="C249" s="1230">
        <f t="shared" si="64"/>
        <v>0</v>
      </c>
      <c r="D249" s="1231">
        <f t="shared" si="64"/>
        <v>0</v>
      </c>
      <c r="E249" s="36"/>
      <c r="F249" s="36"/>
      <c r="G249" s="36"/>
      <c r="H249" s="52"/>
      <c r="I249" s="276"/>
      <c r="J249" s="1290" t="str">
        <f>J210</f>
        <v>Mallra dhe shërbime</v>
      </c>
      <c r="K249" s="1291"/>
      <c r="L249" s="1292"/>
      <c r="M249" s="125"/>
      <c r="N249" s="125"/>
      <c r="O249" s="129"/>
    </row>
    <row r="250" spans="1:15" ht="13.15" customHeight="1" x14ac:dyDescent="0.2">
      <c r="A250" s="121" t="str">
        <f t="shared" si="64"/>
        <v>Transferta korrente të huaja</v>
      </c>
      <c r="B250" s="1229">
        <f t="shared" si="64"/>
        <v>605</v>
      </c>
      <c r="C250" s="1230">
        <f t="shared" si="64"/>
        <v>0</v>
      </c>
      <c r="D250" s="1231">
        <f t="shared" si="64"/>
        <v>0</v>
      </c>
      <c r="E250" s="36"/>
      <c r="F250" s="36"/>
      <c r="G250" s="36"/>
      <c r="H250" s="52"/>
      <c r="I250" s="276"/>
      <c r="J250" s="1290" t="str">
        <f>J211</f>
        <v>Qëllime të mëtejshme</v>
      </c>
      <c r="K250" s="1291"/>
      <c r="L250" s="1292"/>
      <c r="M250" s="125"/>
      <c r="N250" s="125"/>
      <c r="O250" s="129"/>
    </row>
    <row r="251" spans="1:15" ht="13.15" customHeight="1" x14ac:dyDescent="0.2">
      <c r="A251" s="121" t="str">
        <f t="shared" si="64"/>
        <v>Transferta për Buxhetet Familiare dhe Individët</v>
      </c>
      <c r="B251" s="1229">
        <f t="shared" si="64"/>
        <v>606</v>
      </c>
      <c r="C251" s="1230">
        <f t="shared" si="64"/>
        <v>0</v>
      </c>
      <c r="D251" s="1231">
        <f t="shared" si="64"/>
        <v>0</v>
      </c>
      <c r="E251" s="36"/>
      <c r="F251" s="36"/>
      <c r="G251" s="36"/>
      <c r="H251" s="52"/>
      <c r="I251" s="276"/>
      <c r="J251" s="1286"/>
      <c r="K251" s="1286"/>
      <c r="L251" s="1286"/>
      <c r="M251" s="300" t="str">
        <f>IF(SUM(M248:M250)=M247,"OK","STOP")</f>
        <v>OK</v>
      </c>
      <c r="N251" s="300" t="str">
        <f>IF(SUM(N248:N250)=N247,"OK","STOP")</f>
        <v>OK</v>
      </c>
      <c r="O251" s="300" t="str">
        <f>IF(SUM(O248:O250)=O247,"OK","STOP")</f>
        <v>OK</v>
      </c>
    </row>
    <row r="252" spans="1:15" ht="13.15" customHeight="1" x14ac:dyDescent="0.2">
      <c r="A252" s="564" t="str">
        <f t="shared" si="64"/>
        <v>Shpenzimet kapitale</v>
      </c>
      <c r="B252" s="1256" t="str">
        <f t="shared" si="64"/>
        <v>230 / 231</v>
      </c>
      <c r="C252" s="1257">
        <f t="shared" si="64"/>
        <v>0</v>
      </c>
      <c r="D252" s="1258">
        <f t="shared" si="64"/>
        <v>0</v>
      </c>
      <c r="E252" s="126"/>
      <c r="F252" s="126"/>
      <c r="G252" s="126"/>
      <c r="H252" s="52"/>
      <c r="I252" s="367" t="str">
        <f>I135</f>
        <v>Shpjegimet teknike</v>
      </c>
      <c r="J252" s="10"/>
      <c r="K252" s="10"/>
      <c r="L252" s="10"/>
      <c r="M252" s="10"/>
      <c r="N252" s="10"/>
      <c r="O252" s="10"/>
    </row>
    <row r="253" spans="1:15" ht="13.15" customHeight="1" x14ac:dyDescent="0.2">
      <c r="A253" s="121" t="str">
        <f t="shared" si="64"/>
        <v>Rezerva</v>
      </c>
      <c r="B253" s="1229">
        <f t="shared" si="64"/>
        <v>609</v>
      </c>
      <c r="C253" s="1230">
        <f t="shared" si="64"/>
        <v>0</v>
      </c>
      <c r="D253" s="1231">
        <f t="shared" si="64"/>
        <v>0</v>
      </c>
      <c r="E253" s="36"/>
      <c r="F253" s="36"/>
      <c r="G253" s="36"/>
      <c r="H253" s="52"/>
      <c r="I253" s="365">
        <f>M226</f>
        <v>2022</v>
      </c>
      <c r="J253" s="1271"/>
      <c r="K253" s="1272"/>
      <c r="L253" s="1272"/>
      <c r="M253" s="1272"/>
      <c r="N253" s="1272"/>
      <c r="O253" s="1273"/>
    </row>
    <row r="254" spans="1:15" ht="13.15" customHeight="1" x14ac:dyDescent="0.2">
      <c r="A254" s="121" t="str">
        <f t="shared" si="64"/>
        <v>Interesa per kredi direkte ose bono</v>
      </c>
      <c r="B254" s="1259">
        <f t="shared" si="64"/>
        <v>650</v>
      </c>
      <c r="C254" s="1260">
        <f t="shared" si="64"/>
        <v>0</v>
      </c>
      <c r="D254" s="1261">
        <f t="shared" si="64"/>
        <v>0</v>
      </c>
      <c r="E254" s="36"/>
      <c r="F254" s="36"/>
      <c r="G254" s="36"/>
      <c r="H254" s="52"/>
      <c r="I254" s="366"/>
      <c r="J254" s="1274"/>
      <c r="K254" s="1275"/>
      <c r="L254" s="1275"/>
      <c r="M254" s="1275"/>
      <c r="N254" s="1275"/>
      <c r="O254" s="1276"/>
    </row>
    <row r="255" spans="1:15" ht="13.15" customHeight="1" x14ac:dyDescent="0.2">
      <c r="A255" s="460" t="str">
        <f>A138</f>
        <v>Të tjera</v>
      </c>
      <c r="B255" s="1229" t="str">
        <f>B138</f>
        <v>69 / ?</v>
      </c>
      <c r="C255" s="1230">
        <f>C138</f>
        <v>0</v>
      </c>
      <c r="D255" s="273" t="str">
        <f>IF(OR(E255&lt;0,F255&lt;0,G255&lt;0),"STOP","OK!")</f>
        <v>OK!</v>
      </c>
      <c r="E255" s="127">
        <f>-E243+E228-(SUM(E245:E254))</f>
        <v>0</v>
      </c>
      <c r="F255" s="270">
        <f>-F243+F228-(SUM(F245:F254))</f>
        <v>0</v>
      </c>
      <c r="G255" s="270">
        <f>-G243+G228-(SUM(G245:G254))</f>
        <v>0</v>
      </c>
      <c r="H255" s="52"/>
      <c r="I255" s="365">
        <f>N226</f>
        <v>2023</v>
      </c>
      <c r="J255" s="1271"/>
      <c r="K255" s="1272"/>
      <c r="L255" s="1272"/>
      <c r="M255" s="1272"/>
      <c r="N255" s="1272"/>
      <c r="O255" s="1273"/>
    </row>
    <row r="256" spans="1:15" ht="13.15" customHeight="1" x14ac:dyDescent="0.2">
      <c r="A256" s="121" t="str">
        <f>A139</f>
        <v>SHPENZIME KORRENTE</v>
      </c>
      <c r="B256" s="1262"/>
      <c r="C256" s="1263"/>
      <c r="D256" s="1264"/>
      <c r="E256" s="126">
        <f>SUM(E245:E255)</f>
        <v>0</v>
      </c>
      <c r="F256" s="126">
        <f>SUM(F245:F255)</f>
        <v>0</v>
      </c>
      <c r="G256" s="126">
        <f>SUM(G245:G255)</f>
        <v>0</v>
      </c>
      <c r="H256" s="52"/>
      <c r="I256" s="366"/>
      <c r="J256" s="1277"/>
      <c r="K256" s="1278"/>
      <c r="L256" s="1278"/>
      <c r="M256" s="1278"/>
      <c r="N256" s="1278"/>
      <c r="O256" s="1279"/>
    </row>
    <row r="257" spans="1:15" ht="13.15" customHeight="1" x14ac:dyDescent="0.2">
      <c r="A257" s="122"/>
      <c r="B257" s="201"/>
      <c r="C257" s="123"/>
      <c r="D257" s="123"/>
      <c r="E257" s="10"/>
      <c r="F257" s="10"/>
      <c r="G257" s="130"/>
      <c r="H257" s="52"/>
      <c r="I257" s="365">
        <f>O226</f>
        <v>2024</v>
      </c>
      <c r="J257" s="1271"/>
      <c r="K257" s="1272"/>
      <c r="L257" s="1272"/>
      <c r="M257" s="1272"/>
      <c r="N257" s="1272"/>
      <c r="O257" s="1273"/>
    </row>
    <row r="258" spans="1:15" ht="13.15" customHeight="1" x14ac:dyDescent="0.2">
      <c r="A258" s="134" t="str">
        <f>A141</f>
        <v>SHPENZIME TË PRITSHME</v>
      </c>
      <c r="B258" s="33">
        <f>B228</f>
        <v>0</v>
      </c>
      <c r="C258" s="33">
        <f>C228</f>
        <v>0</v>
      </c>
      <c r="D258" s="33">
        <f>D228</f>
        <v>0</v>
      </c>
      <c r="E258" s="126">
        <f>E243+E256</f>
        <v>0</v>
      </c>
      <c r="F258" s="126">
        <f>F243+F256</f>
        <v>0</v>
      </c>
      <c r="G258" s="126">
        <f>G243+G256</f>
        <v>0</v>
      </c>
      <c r="H258" s="52"/>
      <c r="I258" s="366"/>
      <c r="J258" s="1277"/>
      <c r="K258" s="1278"/>
      <c r="L258" s="1278"/>
      <c r="M258" s="1278"/>
      <c r="N258" s="1278"/>
      <c r="O258" s="1279"/>
    </row>
    <row r="261" spans="1:15" ht="17.25" hidden="1" customHeight="1" x14ac:dyDescent="0.2">
      <c r="A261" s="204"/>
      <c r="B261" s="1225"/>
      <c r="C261" s="1225"/>
      <c r="D261" s="1225"/>
      <c r="E261" s="1225"/>
      <c r="F261" s="1225"/>
      <c r="G261" s="1225"/>
      <c r="H261" s="1225"/>
      <c r="I261" s="1225"/>
      <c r="J261" s="1225"/>
      <c r="K261" s="1225"/>
      <c r="L261" s="1225"/>
      <c r="M261" s="1225"/>
      <c r="N261" s="1225"/>
      <c r="O261" s="1225"/>
    </row>
    <row r="262" spans="1:15" ht="17.25" hidden="1" customHeight="1" x14ac:dyDescent="0.2">
      <c r="A262" s="262"/>
      <c r="B262" s="1225"/>
      <c r="C262" s="1225"/>
      <c r="D262" s="1225"/>
      <c r="E262" s="1225"/>
      <c r="F262" s="1225"/>
      <c r="G262" s="1225"/>
      <c r="H262" s="1225"/>
      <c r="I262" s="1225"/>
      <c r="J262" s="1225"/>
      <c r="K262" s="1225"/>
      <c r="L262" s="1225"/>
      <c r="M262" s="1225"/>
      <c r="N262" s="1225"/>
      <c r="O262" s="1225"/>
    </row>
    <row r="263" spans="1:15" ht="22.5" hidden="1" customHeight="1" x14ac:dyDescent="0.2">
      <c r="A263" s="1221"/>
      <c r="B263" s="1222"/>
      <c r="C263" s="1222"/>
      <c r="D263" s="1222"/>
      <c r="E263" s="1222"/>
      <c r="F263" s="1222"/>
      <c r="G263" s="1242"/>
      <c r="H263" s="128"/>
      <c r="I263" s="1243"/>
      <c r="J263" s="1222"/>
      <c r="K263" s="1222"/>
      <c r="L263" s="1222"/>
      <c r="M263" s="1222"/>
      <c r="N263" s="1222"/>
      <c r="O263" s="1242"/>
    </row>
    <row r="264" spans="1:15" ht="20.25" hidden="1" customHeight="1" x14ac:dyDescent="0.2">
      <c r="A264" s="202"/>
      <c r="B264" s="236"/>
      <c r="C264" s="236"/>
      <c r="D264" s="236"/>
      <c r="E264" s="237"/>
      <c r="F264" s="237"/>
      <c r="G264" s="237"/>
      <c r="H264" s="203"/>
      <c r="I264" s="269"/>
      <c r="J264" s="236"/>
      <c r="K264" s="236"/>
      <c r="L264" s="236"/>
      <c r="M264" s="237"/>
      <c r="N264" s="237"/>
      <c r="O264" s="237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28"/>
    </row>
    <row r="266" spans="1:15" ht="12.75" hidden="1" x14ac:dyDescent="0.2">
      <c r="A266" s="134"/>
      <c r="B266" s="33"/>
      <c r="C266" s="33"/>
      <c r="D266" s="33"/>
      <c r="E266" s="36"/>
      <c r="F266" s="36"/>
      <c r="G266" s="36"/>
      <c r="H266" s="128"/>
      <c r="I266" s="1226"/>
      <c r="J266" s="1227"/>
      <c r="K266" s="1227"/>
      <c r="L266" s="1227"/>
      <c r="M266" s="1227"/>
      <c r="N266" s="1227"/>
      <c r="O266" s="1228"/>
    </row>
    <row r="267" spans="1:15" ht="12.75" hidden="1" x14ac:dyDescent="0.2">
      <c r="A267" s="122"/>
      <c r="B267" s="201"/>
      <c r="C267" s="123"/>
      <c r="D267" s="123"/>
      <c r="E267" s="10"/>
      <c r="F267" s="10"/>
      <c r="G267" s="130"/>
      <c r="H267" s="10"/>
      <c r="I267" s="134"/>
      <c r="J267" s="34"/>
      <c r="K267" s="34"/>
      <c r="L267" s="34"/>
      <c r="M267" s="36"/>
      <c r="N267" s="36"/>
      <c r="O267" s="36"/>
    </row>
    <row r="268" spans="1:15" ht="12.75" hidden="1" x14ac:dyDescent="0.2">
      <c r="A268" s="1293"/>
      <c r="B268" s="1294"/>
      <c r="C268" s="1294"/>
      <c r="D268" s="1294"/>
      <c r="E268" s="1294"/>
      <c r="F268" s="1294"/>
      <c r="G268" s="1295"/>
      <c r="H268" s="10"/>
    </row>
    <row r="269" spans="1:15" ht="12.75" hidden="1" x14ac:dyDescent="0.2">
      <c r="A269" s="1226"/>
      <c r="B269" s="1227"/>
      <c r="C269" s="1227"/>
      <c r="D269" s="1227"/>
      <c r="E269" s="1227"/>
      <c r="F269" s="1227"/>
      <c r="G269" s="1228"/>
      <c r="H269" s="30"/>
      <c r="I269" s="333"/>
      <c r="J269" s="334"/>
      <c r="K269" s="334"/>
      <c r="L269" s="334"/>
      <c r="M269" s="334"/>
      <c r="N269" s="334"/>
      <c r="O269" s="335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30"/>
      <c r="I270" s="339"/>
      <c r="J270" s="336"/>
      <c r="K270" s="338"/>
      <c r="L270" s="337"/>
      <c r="M270" s="125"/>
      <c r="N270" s="125"/>
      <c r="O270" s="12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30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36"/>
      <c r="K272" s="338"/>
      <c r="L272" s="337"/>
      <c r="M272" s="264"/>
      <c r="N272" s="479"/>
      <c r="O272" s="479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8"/>
      <c r="I273" s="339"/>
      <c r="J273" s="336"/>
      <c r="K273" s="338"/>
      <c r="L273" s="337"/>
      <c r="M273" s="125"/>
      <c r="N273" s="125"/>
      <c r="O273" s="129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339"/>
      <c r="J274" s="34"/>
      <c r="K274" s="34"/>
      <c r="L274" s="34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  <c r="I276" s="134"/>
      <c r="J276" s="33"/>
      <c r="K276" s="33"/>
      <c r="L276" s="33"/>
      <c r="M276" s="126"/>
      <c r="N276" s="126"/>
      <c r="O276" s="126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</row>
    <row r="279" spans="1:15" ht="12.75" hidden="1" x14ac:dyDescent="0.2">
      <c r="A279" s="121"/>
      <c r="B279" s="1229"/>
      <c r="C279" s="1230"/>
      <c r="D279" s="1231"/>
      <c r="E279" s="36"/>
      <c r="F279" s="36"/>
      <c r="G279" s="36"/>
      <c r="H279" s="52"/>
    </row>
    <row r="280" spans="1:15" ht="12.75" hidden="1" x14ac:dyDescent="0.2">
      <c r="A280" s="121"/>
      <c r="B280" s="1229"/>
      <c r="C280" s="1230"/>
      <c r="D280" s="1231"/>
      <c r="E280" s="36"/>
      <c r="F280" s="36"/>
      <c r="G280" s="36"/>
      <c r="H280" s="52"/>
      <c r="I280" s="1235"/>
      <c r="J280" s="1236"/>
      <c r="K280" s="1236"/>
      <c r="L280" s="1236"/>
      <c r="M280" s="1236"/>
      <c r="N280" s="1236"/>
      <c r="O280" s="1237"/>
    </row>
    <row r="281" spans="1:15" ht="12.75" hidden="1" customHeight="1" x14ac:dyDescent="0.2">
      <c r="A281" s="268"/>
      <c r="B281" s="1229"/>
      <c r="C281" s="1230"/>
      <c r="D281" s="1231"/>
      <c r="E281" s="126"/>
      <c r="F281" s="126"/>
      <c r="G281" s="126"/>
      <c r="H281" s="52"/>
      <c r="I281" s="1238"/>
      <c r="J281" s="1239"/>
      <c r="K281" s="1239"/>
      <c r="L281" s="1239"/>
      <c r="M281" s="1239"/>
      <c r="N281" s="1239"/>
      <c r="O281" s="1240"/>
    </row>
    <row r="282" spans="1:15" ht="12.75" hidden="1" x14ac:dyDescent="0.2">
      <c r="A282" s="1226"/>
      <c r="B282" s="1227"/>
      <c r="C282" s="1227"/>
      <c r="D282" s="1227"/>
      <c r="E282" s="1227"/>
      <c r="F282" s="1227"/>
      <c r="G282" s="1228"/>
      <c r="H282" s="52"/>
      <c r="I282" s="17"/>
      <c r="J282" s="18"/>
      <c r="K282" s="18"/>
      <c r="L282" s="18"/>
      <c r="M282" s="18"/>
      <c r="N282" s="18"/>
      <c r="O282" s="18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52"/>
      <c r="J283" s="52"/>
      <c r="K283" s="52"/>
      <c r="L283" s="14"/>
      <c r="M283" s="53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39"/>
      <c r="J285" s="1297"/>
      <c r="K285" s="1298"/>
      <c r="L285" s="1299"/>
      <c r="M285" s="126"/>
      <c r="N285" s="126"/>
      <c r="O285" s="126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9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97"/>
      <c r="K287" s="1298"/>
      <c r="L287" s="1299"/>
      <c r="M287" s="125"/>
      <c r="N287" s="125"/>
      <c r="O287" s="129"/>
    </row>
    <row r="288" spans="1:15" ht="12.75" hidden="1" x14ac:dyDescent="0.2">
      <c r="A288" s="121"/>
      <c r="B288" s="1229"/>
      <c r="C288" s="1230"/>
      <c r="D288" s="1231"/>
      <c r="E288" s="36"/>
      <c r="F288" s="36"/>
      <c r="G288" s="36"/>
      <c r="H288" s="52"/>
      <c r="I288" s="276"/>
      <c r="J288" s="1297"/>
      <c r="K288" s="1298"/>
      <c r="L288" s="1299"/>
      <c r="M288" s="125"/>
      <c r="N288" s="125"/>
      <c r="O288" s="129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276"/>
      <c r="J289" s="1286"/>
      <c r="K289" s="1286"/>
      <c r="L289" s="1286"/>
      <c r="M289" s="300" t="str">
        <f>IF(SUM(M286:M288)=M285,"OK","STOP")</f>
        <v>OK</v>
      </c>
      <c r="N289" s="300" t="str">
        <f>IF(SUM(N286:N288)=N285,"OK","STOP")</f>
        <v>OK</v>
      </c>
      <c r="O289" s="300" t="str">
        <f>IF(SUM(O286:O288)=O285,"OK","STOP")</f>
        <v>OK</v>
      </c>
    </row>
    <row r="290" spans="1:15" ht="12.75" hidden="1" x14ac:dyDescent="0.2">
      <c r="A290" s="121"/>
      <c r="B290" s="1229"/>
      <c r="C290" s="1230"/>
      <c r="D290" s="1231"/>
      <c r="E290" s="126"/>
      <c r="F290" s="126"/>
      <c r="G290" s="126"/>
      <c r="H290" s="52"/>
      <c r="I290" s="367" t="str">
        <f>I252</f>
        <v>Shpjegimet teknike</v>
      </c>
      <c r="J290" s="10"/>
      <c r="K290" s="10"/>
      <c r="L290" s="10"/>
      <c r="M290" s="10"/>
      <c r="N290" s="10"/>
      <c r="O290" s="10"/>
    </row>
    <row r="291" spans="1:15" ht="12.75" hidden="1" x14ac:dyDescent="0.2">
      <c r="A291" s="121"/>
      <c r="B291" s="1229"/>
      <c r="C291" s="1230"/>
      <c r="D291" s="1231"/>
      <c r="E291" s="36"/>
      <c r="F291" s="36"/>
      <c r="G291" s="36"/>
      <c r="H291" s="52"/>
      <c r="I291" s="365">
        <f>M264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59"/>
      <c r="C292" s="1260"/>
      <c r="D292" s="1261"/>
      <c r="E292" s="36"/>
      <c r="F292" s="36"/>
      <c r="G292" s="36"/>
      <c r="H292" s="52"/>
      <c r="I292" s="366"/>
      <c r="J292" s="1274"/>
      <c r="K292" s="1275"/>
      <c r="L292" s="1275"/>
      <c r="M292" s="1275"/>
      <c r="N292" s="1275"/>
      <c r="O292" s="1276"/>
    </row>
    <row r="293" spans="1:15" ht="12.75" hidden="1" x14ac:dyDescent="0.2">
      <c r="A293" s="239"/>
      <c r="B293" s="1229"/>
      <c r="C293" s="1230"/>
      <c r="D293" s="273"/>
      <c r="E293" s="270"/>
      <c r="F293" s="270"/>
      <c r="G293" s="270"/>
      <c r="H293" s="52"/>
      <c r="I293" s="365">
        <f>N264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21"/>
      <c r="B294" s="1262"/>
      <c r="C294" s="1263"/>
      <c r="D294" s="1264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  <row r="295" spans="1:15" ht="12.75" hidden="1" x14ac:dyDescent="0.2">
      <c r="A295" s="122"/>
      <c r="B295" s="201"/>
      <c r="C295" s="123"/>
      <c r="D295" s="123"/>
      <c r="E295" s="10"/>
      <c r="F295" s="10"/>
      <c r="G295" s="130"/>
      <c r="H295" s="52"/>
      <c r="I295" s="365">
        <f>O264</f>
        <v>0</v>
      </c>
      <c r="J295" s="1271"/>
      <c r="K295" s="1272"/>
      <c r="L295" s="1272"/>
      <c r="M295" s="1272"/>
      <c r="N295" s="1272"/>
      <c r="O295" s="1273"/>
    </row>
    <row r="296" spans="1:15" ht="12.75" hidden="1" x14ac:dyDescent="0.2">
      <c r="A296" s="134"/>
      <c r="B296" s="33"/>
      <c r="C296" s="33"/>
      <c r="D296" s="33"/>
      <c r="E296" s="126"/>
      <c r="F296" s="126"/>
      <c r="G296" s="126"/>
      <c r="H296" s="52"/>
      <c r="I296" s="366"/>
      <c r="J296" s="1277"/>
      <c r="K296" s="1278"/>
      <c r="L296" s="1278"/>
      <c r="M296" s="1278"/>
      <c r="N296" s="1278"/>
      <c r="O296" s="1279"/>
    </row>
  </sheetData>
  <sheetProtection selectLockedCells="1"/>
  <mergeCells count="339">
    <mergeCell ref="J295:O296"/>
    <mergeCell ref="I153:O153"/>
    <mergeCell ref="I192:O192"/>
    <mergeCell ref="I231:O231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7:L247"/>
    <mergeCell ref="J248:L248"/>
    <mergeCell ref="J249:L249"/>
    <mergeCell ref="J250:L250"/>
    <mergeCell ref="J251:L251"/>
    <mergeCell ref="J253:O254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9:D289"/>
    <mergeCell ref="B290:D290"/>
    <mergeCell ref="B275:D275"/>
    <mergeCell ref="B276:D276"/>
    <mergeCell ref="B277:D277"/>
    <mergeCell ref="B278:D278"/>
    <mergeCell ref="B279:D279"/>
    <mergeCell ref="B272:D272"/>
    <mergeCell ref="B273:D273"/>
    <mergeCell ref="B274:D274"/>
    <mergeCell ref="A268:G268"/>
    <mergeCell ref="A269:G269"/>
    <mergeCell ref="B270:D270"/>
    <mergeCell ref="B271:D271"/>
    <mergeCell ref="I266:O266"/>
    <mergeCell ref="B255:C255"/>
    <mergeCell ref="B256:D256"/>
    <mergeCell ref="B291:D291"/>
    <mergeCell ref="B292:D292"/>
    <mergeCell ref="B293:C293"/>
    <mergeCell ref="B294:D294"/>
    <mergeCell ref="I280:O281"/>
    <mergeCell ref="B281:D281"/>
    <mergeCell ref="A282:G282"/>
    <mergeCell ref="B283:D283"/>
    <mergeCell ref="B284:D284"/>
    <mergeCell ref="B285:D285"/>
    <mergeCell ref="B286:D286"/>
    <mergeCell ref="B287:D287"/>
    <mergeCell ref="B288:D288"/>
    <mergeCell ref="J285:L285"/>
    <mergeCell ref="J286:L286"/>
    <mergeCell ref="J287:L287"/>
    <mergeCell ref="J288:L288"/>
    <mergeCell ref="J289:L289"/>
    <mergeCell ref="J291:O292"/>
    <mergeCell ref="J293:O294"/>
    <mergeCell ref="B280:D280"/>
    <mergeCell ref="B261:O261"/>
    <mergeCell ref="B262:O262"/>
    <mergeCell ref="A263:G263"/>
    <mergeCell ref="I263:O263"/>
    <mergeCell ref="J255:O256"/>
    <mergeCell ref="J257:O258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41:D241"/>
    <mergeCell ref="B242:D242"/>
    <mergeCell ref="I242:O243"/>
    <mergeCell ref="B243:D243"/>
    <mergeCell ref="A244:G244"/>
    <mergeCell ref="B245:D245"/>
    <mergeCell ref="B236:D236"/>
    <mergeCell ref="B237:D237"/>
    <mergeCell ref="B238:D238"/>
    <mergeCell ref="B239:D239"/>
    <mergeCell ref="B240:D240"/>
    <mergeCell ref="B233:D233"/>
    <mergeCell ref="B234:D234"/>
    <mergeCell ref="B235:D235"/>
    <mergeCell ref="A230:G230"/>
    <mergeCell ref="A231:G231"/>
    <mergeCell ref="B232:D232"/>
    <mergeCell ref="A225:G225"/>
    <mergeCell ref="I225:O225"/>
    <mergeCell ref="I228:O228"/>
    <mergeCell ref="J227:K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7" manualBreakCount="7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FF0000"/>
    <pageSetUpPr fitToPage="1"/>
  </sheetPr>
  <dimension ref="A1:O294"/>
  <sheetViews>
    <sheetView showGridLines="0" topLeftCell="A156" workbookViewId="0">
      <selection activeCell="J43" sqref="J43:O48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30.14062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Fjalori'!A66</f>
        <v>Nënfunksioni 3</v>
      </c>
      <c r="B2" s="1130" t="str">
        <f>+VLOOKUP($A2,'(B2) Struktura Organizative'!$A7:$E33,2,FALSE)</f>
        <v>031 Shërbimet Policore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13" t="str">
        <f>'(B3) Struktura Funksionale'!C5</f>
        <v>Emri i programit</v>
      </c>
      <c r="D5" s="1215"/>
      <c r="E5" s="1215"/>
      <c r="F5" s="1215"/>
      <c r="G5" s="1215"/>
      <c r="H5" s="1214"/>
      <c r="I5" s="1213" t="str">
        <f>'(B3) Struktura Funksionale'!D5</f>
        <v>Programi:  detyrueshme / shtesë</v>
      </c>
      <c r="J5" s="1215"/>
      <c r="K5" s="1214"/>
      <c r="L5" s="1300" t="str">
        <f>'(B3) Struktura Funksionale'!E5</f>
        <v>Programi: I veti / I deleguar / Transferuar</v>
      </c>
      <c r="M5" s="1300"/>
      <c r="N5" s="1300"/>
      <c r="O5" s="1300"/>
    </row>
    <row r="6" spans="1:15" ht="13.5" customHeight="1" x14ac:dyDescent="0.2">
      <c r="A6" s="1202" t="str">
        <f>'(B3) Struktura Funksionale'!A22</f>
        <v>Programi 3a</v>
      </c>
      <c r="B6" s="1203"/>
      <c r="C6" s="1204" t="str">
        <f>VLOOKUP($A6,'(B3) Struktura Funksionale'!$A$7:$E$146,3,FALSE)</f>
        <v>Shërbimet e Policisë Vendore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Funksionale'!A23</f>
        <v>Programi 3b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Funksionale'!A24</f>
        <v>Programi 3c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3</v>
      </c>
      <c r="B14" s="1225" t="str">
        <f>B$2</f>
        <v>031 Shërbimet Policore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3</v>
      </c>
      <c r="B66" s="1225" t="str">
        <f t="shared" si="12"/>
        <v>031 Shërbimet Policore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3a</v>
      </c>
      <c r="B67" s="1225" t="str">
        <f>C6</f>
        <v>Shërbimet e Policisë Vendore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Funksionale'!B22</f>
        <v>03140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80"/>
      <c r="O78" s="480"/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3</v>
      </c>
      <c r="B105" s="1225" t="str">
        <f t="shared" si="22"/>
        <v>031 Shërbimet Policore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3b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3">
        <f>'(B3) Struktura Funksionale'!B23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3</v>
      </c>
      <c r="B144" s="1225" t="str">
        <f t="shared" si="33"/>
        <v>031 Shërbimet Policore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3c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Funksionale'!B24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7" manualBreakCount="7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rgb="FFFF0000"/>
    <pageSetUpPr fitToPage="1"/>
  </sheetPr>
  <dimension ref="A1:O294"/>
  <sheetViews>
    <sheetView showGridLines="0" showRowColHeaders="0" topLeftCell="A66" workbookViewId="0">
      <selection activeCell="N77" sqref="N77:O77"/>
    </sheetView>
  </sheetViews>
  <sheetFormatPr defaultColWidth="9.140625" defaultRowHeight="17.25" customHeight="1" x14ac:dyDescent="0.2"/>
  <cols>
    <col min="1" max="1" width="27" style="95" customWidth="1"/>
    <col min="2" max="7" width="9" style="95" customWidth="1"/>
    <col min="8" max="8" width="2.7109375" style="95" customWidth="1"/>
    <col min="9" max="9" width="29.710937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Fjalori'!A67</f>
        <v>Nënfunksioni 4</v>
      </c>
      <c r="B2" s="1130" t="str">
        <f>+VLOOKUP($A2,'(B2) Struktura Organizative'!$A7:$E33,2,FALSE)</f>
        <v>032 Shërbimet e mbrojtjes ndaj zjarrit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 t="str">
        <f>+VLOOKUP($A2,'(B2) Struktura Organizative'!$A7:$E33,4,FALSE)</f>
        <v>Armant Gora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Funksionale'!A26</f>
        <v>Programi 4a</v>
      </c>
      <c r="B6" s="1203"/>
      <c r="C6" s="1204" t="str">
        <f>VLOOKUP($A6,'(B3) Struktura Funksionale'!$A$7:$E$146,3,FALSE)</f>
        <v>Mbrotja nga zjarri dhe mbrojtja civile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Transferuar</v>
      </c>
      <c r="M6" s="1205"/>
      <c r="N6" s="1205"/>
      <c r="O6" s="1206"/>
    </row>
    <row r="7" spans="1:15" ht="13.5" customHeight="1" x14ac:dyDescent="0.2">
      <c r="A7" s="1202" t="str">
        <f>'(B3) Struktura Funksionale'!A27</f>
        <v>Programi 4b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Funksionale'!A28</f>
        <v>Programi 4c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4</v>
      </c>
      <c r="B14" s="1225" t="str">
        <f>B$2</f>
        <v>032 Shërbimet e mbrojtjes ndaj zjarrit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774">
        <f t="shared" ref="B18:G18" si="1">B72+B111+B150+B188+B226+B264</f>
        <v>11570753</v>
      </c>
      <c r="C18" s="774">
        <f t="shared" si="1"/>
        <v>13488330</v>
      </c>
      <c r="D18" s="774">
        <f t="shared" si="1"/>
        <v>20596534</v>
      </c>
      <c r="E18" s="713">
        <f t="shared" si="1"/>
        <v>17429650</v>
      </c>
      <c r="F18" s="713">
        <f t="shared" si="1"/>
        <v>17429650</v>
      </c>
      <c r="G18" s="713">
        <f t="shared" si="1"/>
        <v>17429650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147240</v>
      </c>
      <c r="K19" s="34">
        <f t="shared" si="2"/>
        <v>249268</v>
      </c>
      <c r="L19" s="33">
        <f t="shared" si="2"/>
        <v>200000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14082000</v>
      </c>
      <c r="N24" s="267">
        <f t="shared" si="4"/>
        <v>14082000</v>
      </c>
      <c r="O24" s="267">
        <f t="shared" si="4"/>
        <v>14082000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774">
        <f>J80+J119+J158+J196+J234+J272</f>
        <v>17901639</v>
      </c>
      <c r="K27" s="774">
        <f>K80+K119+K158+K196+K234+K272</f>
        <v>20002864</v>
      </c>
      <c r="L27" s="774">
        <f>L80+L119+L158+L196+L234+L272</f>
        <v>14082000</v>
      </c>
      <c r="M27" s="126">
        <f t="shared" si="4"/>
        <v>14082000</v>
      </c>
      <c r="N27" s="126">
        <f t="shared" si="4"/>
        <v>14082000</v>
      </c>
      <c r="O27" s="126">
        <f t="shared" si="4"/>
        <v>14082000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  <c r="J28" s="776"/>
      <c r="K28" s="776"/>
      <c r="L28" s="776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774">
        <f t="shared" ref="J29:O29" si="5">J82+J121+J160+J198+J236+J274</f>
        <v>18048879</v>
      </c>
      <c r="K29" s="774">
        <f t="shared" si="5"/>
        <v>20252132</v>
      </c>
      <c r="L29" s="774">
        <f t="shared" si="5"/>
        <v>14282000</v>
      </c>
      <c r="M29" s="126">
        <f t="shared" si="5"/>
        <v>14082000</v>
      </c>
      <c r="N29" s="126">
        <f t="shared" si="5"/>
        <v>14082000</v>
      </c>
      <c r="O29" s="126">
        <f t="shared" si="5"/>
        <v>14082000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780">
        <f t="shared" ref="J34:O34" si="6">J88+J127+J166+J204+J242+J280</f>
        <v>-6478126</v>
      </c>
      <c r="K34" s="780">
        <f t="shared" si="6"/>
        <v>-6763802</v>
      </c>
      <c r="L34" s="780">
        <f t="shared" si="6"/>
        <v>6314534</v>
      </c>
      <c r="M34" s="780">
        <f t="shared" si="6"/>
        <v>3347650</v>
      </c>
      <c r="N34" s="780">
        <f t="shared" si="6"/>
        <v>3347650</v>
      </c>
      <c r="O34" s="780">
        <f t="shared" si="6"/>
        <v>3347650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777">
        <f t="shared" ref="E35:G46" si="7">E89+E128+E167+E205+E243+E281</f>
        <v>11853299</v>
      </c>
      <c r="F35" s="777">
        <f t="shared" si="7"/>
        <v>11853300</v>
      </c>
      <c r="G35" s="777">
        <f t="shared" si="7"/>
        <v>11783100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2376351</v>
      </c>
      <c r="F36" s="267">
        <f t="shared" si="7"/>
        <v>2376350</v>
      </c>
      <c r="G36" s="267">
        <f t="shared" si="7"/>
        <v>2446550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3200000</v>
      </c>
      <c r="F37" s="267">
        <f t="shared" si="7"/>
        <v>3200000</v>
      </c>
      <c r="G37" s="267">
        <f t="shared" si="7"/>
        <v>3200000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713">
        <f t="shared" si="7"/>
        <v>17429650</v>
      </c>
      <c r="F46" s="713">
        <f t="shared" si="7"/>
        <v>17429650</v>
      </c>
      <c r="G46" s="713">
        <f t="shared" si="7"/>
        <v>17429650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774">
        <f t="shared" ref="B48:G48" si="11">B102+B141+B180+B218+B256+B294</f>
        <v>11570753</v>
      </c>
      <c r="C48" s="774">
        <f t="shared" si="11"/>
        <v>13488330</v>
      </c>
      <c r="D48" s="774">
        <f t="shared" si="11"/>
        <v>20596534</v>
      </c>
      <c r="E48" s="713">
        <f t="shared" si="11"/>
        <v>17429650</v>
      </c>
      <c r="F48" s="713">
        <f t="shared" si="11"/>
        <v>17429650</v>
      </c>
      <c r="G48" s="713">
        <f t="shared" si="11"/>
        <v>17429650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17429650</v>
      </c>
      <c r="N52" s="135">
        <f>VLOOKUP($A14,'(D1) Tavanet buxhetore'!$A$7:$R$473,8,FALSE)</f>
        <v>17429650</v>
      </c>
      <c r="O52" s="587">
        <f>VLOOKUP($A14,'(D1) Tavanet buxhetore'!$A$7:$R$473,9,FALSE)</f>
        <v>17429650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17429650</v>
      </c>
      <c r="N53" s="136">
        <f>F18</f>
        <v>17429650</v>
      </c>
      <c r="O53" s="588">
        <f>G18</f>
        <v>17429650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14229650</v>
      </c>
      <c r="N55" s="135">
        <f>VLOOKUP($A14,'(D1) Tavanet buxhetore'!$A$7:$R$473,11,FALSE)</f>
        <v>14229650</v>
      </c>
      <c r="O55" s="587">
        <f>VLOOKUP($A14,'(D1) Tavanet buxhetore'!$A$7:$R$473,12,FALSE)</f>
        <v>14229650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14229650</v>
      </c>
      <c r="N56" s="136">
        <f>F22+F35+F23+F36</f>
        <v>14229650</v>
      </c>
      <c r="O56" s="588">
        <f>G22+G35+G23+G36</f>
        <v>14229650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3200000</v>
      </c>
      <c r="N58" s="135">
        <f>VLOOKUP($A14,'(D1) Tavanet buxhetore'!$A$7:$R$473,14,FALSE)</f>
        <v>3200000</v>
      </c>
      <c r="O58" s="587">
        <f>VLOOKUP($A14,'(D1) Tavanet buxhetore'!$A$7:$R$473,15,FALSE)</f>
        <v>3200000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3200000</v>
      </c>
      <c r="N59" s="136">
        <f>N53-N56-N62</f>
        <v>3200000</v>
      </c>
      <c r="O59" s="588">
        <f>O53-O56-O62</f>
        <v>3200000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4</v>
      </c>
      <c r="B66" s="1225" t="str">
        <f t="shared" si="12"/>
        <v>032 Shërbimet e mbrojtjes ndaj zjarrit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4a</v>
      </c>
      <c r="B67" s="1225" t="str">
        <f>C6</f>
        <v>Mbrotja nga zjarri dhe mbrojtja civile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Funksionale'!B26</f>
        <v>03280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769">
        <f>VLOOKUP(A67,'(C1) Shpenzimet vitet e kaluara'!A$9:O$177,5,FALSE)</f>
        <v>11570753</v>
      </c>
      <c r="C72" s="769">
        <f>VLOOKUP(A67,'(C1) Shpenzimet vitet e kaluara'!A$9:O$177,9,FALSE)</f>
        <v>13488330</v>
      </c>
      <c r="D72" s="769">
        <f>VLOOKUP(A67,'(C1) Shpenzimet vitet e kaluara'!A$9:O$177,13,FALSE)</f>
        <v>20596534</v>
      </c>
      <c r="E72" s="770">
        <v>17429650</v>
      </c>
      <c r="F72" s="770">
        <v>17429650</v>
      </c>
      <c r="G72" s="770">
        <v>17429650</v>
      </c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147240</v>
      </c>
      <c r="K73" s="34">
        <f>VLOOKUP($A67,'(C1) Shpenzimet vitet e kaluara'!$A$9:$O$177,10,FALSE)</f>
        <v>249268</v>
      </c>
      <c r="L73" s="34">
        <f>VLOOKUP($A67,'(C1) Shpenzimet vitet e kaluara'!$A$9:$O$177,14,FALSE)</f>
        <v>200000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094">
        <v>14082000</v>
      </c>
      <c r="N77" s="1094">
        <v>14082000</v>
      </c>
      <c r="O77" s="1094">
        <v>14082000</v>
      </c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753">
        <f>VLOOKUP($A67,'(C4) Trashëgimi me destinacion'!$A$8:$F$168,4,FALSE)</f>
        <v>0</v>
      </c>
      <c r="N78" s="754">
        <f>VLOOKUP($A67,'(C4) Trashëgimi me destinacion'!$A$8:$F$168,5,FALSE)</f>
        <v>0</v>
      </c>
      <c r="O78" s="754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094"/>
      <c r="N79" s="1094"/>
      <c r="O79" s="1095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775">
        <f>VLOOKUP($A67,'(C1) Shpenzimet vitet e kaluara'!$A$9:$O$177,7,FALSE)</f>
        <v>17901639</v>
      </c>
      <c r="K80" s="775">
        <f>VLOOKUP($A67,'(C1) Shpenzimet vitet e kaluara'!$A$9:$O$177,11,FALSE)</f>
        <v>20002864</v>
      </c>
      <c r="L80" s="775">
        <f>VLOOKUP($A67,'(C1) Shpenzimet vitet e kaluara'!$A$9:$O$177,15,FALSE)</f>
        <v>14082000</v>
      </c>
      <c r="M80" s="735">
        <f>SUM(M76:M79)</f>
        <v>14082000</v>
      </c>
      <c r="N80" s="735">
        <f>SUM(N76:N79)</f>
        <v>14082000</v>
      </c>
      <c r="O80" s="735">
        <f>SUM(O76:O79)</f>
        <v>14082000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  <c r="J81" s="776"/>
      <c r="K81" s="776"/>
      <c r="L81" s="776"/>
      <c r="M81" s="284"/>
      <c r="N81" s="284"/>
      <c r="O81" s="284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774">
        <f>J73+J80</f>
        <v>18048879</v>
      </c>
      <c r="K82" s="774">
        <f>K73+K80</f>
        <v>20252132</v>
      </c>
      <c r="L82" s="774">
        <f>L73+L80</f>
        <v>14282000</v>
      </c>
      <c r="M82" s="735">
        <f>M80+M73</f>
        <v>14082000</v>
      </c>
      <c r="N82" s="735">
        <f>N80+N73</f>
        <v>14082000</v>
      </c>
      <c r="O82" s="735">
        <f>O80+O73</f>
        <v>14082000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  <c r="M83" s="284"/>
      <c r="N83" s="284"/>
      <c r="O83" s="284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  <c r="M84" s="284"/>
      <c r="N84" s="284"/>
      <c r="O84" s="284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  <c r="M85" s="284"/>
      <c r="N85" s="284"/>
      <c r="O85" s="284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780">
        <f t="shared" ref="J88:O88" si="21">B72-J82</f>
        <v>-6478126</v>
      </c>
      <c r="K88" s="780">
        <f t="shared" si="21"/>
        <v>-6763802</v>
      </c>
      <c r="L88" s="780">
        <f t="shared" si="21"/>
        <v>6314534</v>
      </c>
      <c r="M88" s="780">
        <f t="shared" si="21"/>
        <v>3347650</v>
      </c>
      <c r="N88" s="780">
        <f t="shared" si="21"/>
        <v>3347650</v>
      </c>
      <c r="O88" s="780">
        <f t="shared" si="21"/>
        <v>3347650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708">
        <v>11853299</v>
      </c>
      <c r="F89" s="708">
        <v>11853300</v>
      </c>
      <c r="G89" s="708">
        <v>11783100</v>
      </c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708">
        <v>2376351</v>
      </c>
      <c r="F90" s="708">
        <v>2376350</v>
      </c>
      <c r="G90" s="708">
        <v>2446550</v>
      </c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708">
        <v>3200000</v>
      </c>
      <c r="F91" s="708">
        <v>3200000</v>
      </c>
      <c r="G91" s="708">
        <v>3200000</v>
      </c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708"/>
      <c r="F92" s="708"/>
      <c r="G92" s="708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708"/>
      <c r="F93" s="708"/>
      <c r="G93" s="708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708"/>
      <c r="F94" s="708"/>
      <c r="G94" s="708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708"/>
      <c r="F95" s="708"/>
      <c r="G95" s="708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713"/>
      <c r="F96" s="713"/>
      <c r="G96" s="713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708"/>
      <c r="F97" s="708"/>
      <c r="G97" s="708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708"/>
      <c r="F98" s="708"/>
      <c r="G98" s="708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716">
        <f>-E87+E72-(SUM(E89:E98))</f>
        <v>0</v>
      </c>
      <c r="F99" s="717">
        <f>-F87+F72-(SUM(F89:F98))</f>
        <v>0</v>
      </c>
      <c r="G99" s="717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713">
        <f>SUM(E89:E99)</f>
        <v>17429650</v>
      </c>
      <c r="F100" s="713">
        <f>SUM(F89:F99)</f>
        <v>17429650</v>
      </c>
      <c r="G100" s="713">
        <f>SUM(G89:G99)</f>
        <v>17429650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710"/>
      <c r="C101" s="711"/>
      <c r="D101" s="711"/>
      <c r="E101" s="276"/>
      <c r="F101" s="276"/>
      <c r="G101" s="712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774">
        <f>B72</f>
        <v>11570753</v>
      </c>
      <c r="C102" s="774">
        <f>C72</f>
        <v>13488330</v>
      </c>
      <c r="D102" s="774">
        <f>D72</f>
        <v>20596534</v>
      </c>
      <c r="E102" s="713">
        <f>E87+E100</f>
        <v>17429650</v>
      </c>
      <c r="F102" s="713">
        <f>F87+F100</f>
        <v>17429650</v>
      </c>
      <c r="G102" s="713">
        <f>G87+G100</f>
        <v>17429650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4</v>
      </c>
      <c r="B105" s="1225" t="str">
        <f t="shared" si="22"/>
        <v>032 Shërbimet e mbrojtjes ndaj zjarrit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4b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Funksionale'!B27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4</v>
      </c>
      <c r="B144" s="1225" t="str">
        <f t="shared" si="33"/>
        <v>032 Shërbimet e mbrojtjes ndaj zjarrit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4c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Funksionale'!B28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6" manualBreakCount="6">
    <brk id="12" max="16383" man="1"/>
    <brk id="49" max="16383" man="1"/>
    <brk id="65" max="16383" man="1"/>
    <brk id="104" max="16383" man="1"/>
    <brk id="143" max="16383" man="1"/>
    <brk id="18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FF0000"/>
    <pageSetUpPr fitToPage="1"/>
  </sheetPr>
  <dimension ref="A1:O294"/>
  <sheetViews>
    <sheetView showGridLines="0" workbookViewId="0">
      <selection activeCell="J97" sqref="J97:O102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29.8554687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Fjalori'!A68</f>
        <v>Nënfunksioni 5</v>
      </c>
      <c r="B2" s="1130" t="str">
        <f>+VLOOKUP($A2,'(B2) Struktura Organizative'!$A7:$E33,2,FALSE)</f>
        <v>036 Marrdheniet me komunitetin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Funksionale'!A30</f>
        <v>Programi 5a</v>
      </c>
      <c r="B6" s="1203"/>
      <c r="C6" s="1204" t="str">
        <f>VLOOKUP($A6,'(B3) Struktura Funksionale'!$A$7:$E$146,3,FALSE)</f>
        <v>Marrdheniet me komunitetin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hidden="1" customHeight="1" x14ac:dyDescent="0.2">
      <c r="A7" s="1202" t="str">
        <f>'(B3) Struktura Funksionale'!A31</f>
        <v>Programi 5b</v>
      </c>
      <c r="B7" s="1203"/>
      <c r="C7" s="1204" t="str">
        <f>VLOOKUP($A7,'(B3) Struktura Funksionale'!$A$7:$E$146,3,FALSE)</f>
        <v>Supervizionimi administrativ lokal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customHeight="1" x14ac:dyDescent="0.2">
      <c r="A8" s="1202" t="str">
        <f>'(B3) Struktura Funksionale'!A32</f>
        <v>Programi 5c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5</v>
      </c>
      <c r="B14" s="1225" t="str">
        <f>B$2</f>
        <v>036 Marrdheniet me komunitetin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5</v>
      </c>
      <c r="B66" s="1225" t="str">
        <f t="shared" si="12"/>
        <v>036 Marrdheniet me komunitetin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5a</v>
      </c>
      <c r="B67" s="1225" t="str">
        <f>C6</f>
        <v>Marrdheniet me komunitetin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Funksionale'!B30</f>
        <v>03600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4" spans="1:15" ht="17.25" hidden="1" customHeight="1" x14ac:dyDescent="0.2"/>
    <row r="105" spans="1:15" ht="17.25" hidden="1" customHeight="1" x14ac:dyDescent="0.2">
      <c r="A105" s="204" t="str">
        <f t="shared" ref="A105:O105" si="22">A66</f>
        <v>Nënfunksioni 5</v>
      </c>
      <c r="B105" s="1225" t="str">
        <f t="shared" si="22"/>
        <v>036 Marrdheniet me komunitetin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hidden="1" customHeight="1" x14ac:dyDescent="0.2">
      <c r="A106" s="262" t="str">
        <f>A7</f>
        <v>Programi 5b</v>
      </c>
      <c r="B106" s="1225" t="str">
        <f>C7</f>
        <v>Supervizionimi administrativ lokal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hidden="1" customHeight="1" x14ac:dyDescent="0.2">
      <c r="A107" s="562" t="str">
        <f>'(B3) Struktura Funksionale'!B31</f>
        <v>03602</v>
      </c>
      <c r="B107" s="485"/>
      <c r="C107" s="485"/>
      <c r="D107" s="485"/>
      <c r="E107" s="485"/>
      <c r="F107" s="485"/>
      <c r="G107" s="486"/>
      <c r="H107" s="487"/>
      <c r="I107" s="488"/>
      <c r="J107" s="485"/>
      <c r="K107" s="485"/>
      <c r="L107" s="485"/>
      <c r="M107" s="485"/>
      <c r="N107" s="485"/>
      <c r="O107" s="486"/>
    </row>
    <row r="108" spans="1:15" ht="24.75" hidden="1" customHeight="1" x14ac:dyDescent="0.2">
      <c r="A108" s="1221" t="str">
        <f t="shared" ref="A108:G108" si="23">A69</f>
        <v>SHPENZIME TË PRITSHME</v>
      </c>
      <c r="B108" s="1222">
        <f t="shared" si="23"/>
        <v>0</v>
      </c>
      <c r="C108" s="1222">
        <f t="shared" si="23"/>
        <v>0</v>
      </c>
      <c r="D108" s="1222">
        <f t="shared" si="23"/>
        <v>0</v>
      </c>
      <c r="E108" s="1222">
        <f t="shared" si="23"/>
        <v>0</v>
      </c>
      <c r="F108" s="1222">
        <f t="shared" si="23"/>
        <v>0</v>
      </c>
      <c r="G108" s="1242">
        <f t="shared" si="23"/>
        <v>0</v>
      </c>
      <c r="H108" s="128"/>
      <c r="I108" s="1243" t="str">
        <f t="shared" ref="I108:O108" si="24">I69</f>
        <v xml:space="preserve">TË ARDHURAT E PRITSHME </v>
      </c>
      <c r="J108" s="1222">
        <f t="shared" si="24"/>
        <v>0</v>
      </c>
      <c r="K108" s="1222">
        <f t="shared" si="24"/>
        <v>0</v>
      </c>
      <c r="L108" s="1222">
        <f t="shared" si="24"/>
        <v>0</v>
      </c>
      <c r="M108" s="1222">
        <f t="shared" si="24"/>
        <v>0</v>
      </c>
      <c r="N108" s="1222">
        <f t="shared" si="24"/>
        <v>0</v>
      </c>
      <c r="O108" s="1242">
        <f t="shared" si="24"/>
        <v>0</v>
      </c>
    </row>
    <row r="109" spans="1:15" ht="21" hidden="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hidden="1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hidden="1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hidden="1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hidden="1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hidden="1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hidden="1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36"/>
      <c r="F115" s="36"/>
      <c r="G115" s="3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hidden="1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36"/>
      <c r="F116" s="36"/>
      <c r="G116" s="3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hidden="1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36"/>
      <c r="F117" s="36"/>
      <c r="G117" s="3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hidden="1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36"/>
      <c r="F118" s="36"/>
      <c r="G118" s="3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hidden="1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36"/>
      <c r="F119" s="36"/>
      <c r="G119" s="3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hidden="1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36"/>
      <c r="F120" s="36"/>
      <c r="G120" s="36"/>
      <c r="H120" s="52"/>
    </row>
    <row r="121" spans="1:15" ht="12.75" hidden="1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36"/>
      <c r="F121" s="36"/>
      <c r="G121" s="3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hidden="1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hidden="1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36"/>
      <c r="F123" s="36"/>
      <c r="G123" s="36"/>
      <c r="H123" s="52"/>
    </row>
    <row r="124" spans="1:15" ht="12.75" hidden="1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36"/>
      <c r="F124" s="36"/>
      <c r="G124" s="36"/>
      <c r="H124" s="52"/>
    </row>
    <row r="125" spans="1:15" ht="12.75" hidden="1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36"/>
      <c r="F125" s="36"/>
      <c r="G125" s="3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hidden="1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hidden="1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hidden="1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hidden="1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hidden="1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hidden="1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hidden="1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hidden="1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hidden="1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hidden="1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hidden="1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hidden="1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hidden="1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270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hidden="1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hidden="1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hidden="1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2" spans="1:15" ht="17.25" hidden="1" customHeight="1" x14ac:dyDescent="0.2"/>
    <row r="144" spans="1:15" ht="17.25" customHeight="1" x14ac:dyDescent="0.2">
      <c r="A144" s="204" t="str">
        <f t="shared" ref="A144:O144" si="33">A66</f>
        <v>Nënfunksioni 5</v>
      </c>
      <c r="B144" s="1225" t="str">
        <f t="shared" si="33"/>
        <v>036 Marrdheniet me komunitetin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5c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Funksionale'!B32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6" manualBreakCount="6">
    <brk id="12" max="16383" man="1"/>
    <brk id="49" max="16383" man="1"/>
    <brk id="65" max="16383" man="1"/>
    <brk id="104" max="16383" man="1"/>
    <brk id="143" max="16383" man="1"/>
    <brk id="18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rgb="FFFF0000"/>
    <pageSetUpPr fitToPage="1"/>
  </sheetPr>
  <dimension ref="A1:O297"/>
  <sheetViews>
    <sheetView showGridLines="0" topLeftCell="A116" workbookViewId="0">
      <selection activeCell="M116" sqref="M116:O116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30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Fjalori'!A69</f>
        <v>Nënfunksioni 6</v>
      </c>
      <c r="B2" s="1130" t="str">
        <f>+VLOOKUP($A2,'(B2) Struktura Organizative'!$A7:$E33,2,FALSE)</f>
        <v>041 Çështjet e përgjithshme ekonomike, tregtare dhe të punës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Funksionale'!A35</f>
        <v>Programi 6a</v>
      </c>
      <c r="B6" s="1203"/>
      <c r="C6" s="1204" t="str">
        <f>VLOOKUP($A6,'(B3) Struktura Funksionale'!$A$7:$E$146,3,FALSE)</f>
        <v xml:space="preserve">Çështjet e përgjithshme ekonomike dhe tregtare 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Funksionale'!A36</f>
        <v>Programi 6b</v>
      </c>
      <c r="B7" s="1203"/>
      <c r="C7" s="1204" t="str">
        <f>VLOOKUP($A7,'(B3) Struktura Funksionale'!$A$7:$E$146,3,FALSE)</f>
        <v>Mbështetje për zhvillimin ekonomik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hidden="1" customHeight="1" x14ac:dyDescent="0.2">
      <c r="A8" s="1202" t="str">
        <f>'(B3) Struktura Funksionale'!A37</f>
        <v>Programi 6c</v>
      </c>
      <c r="B8" s="1203"/>
      <c r="C8" s="1204" t="str">
        <f>VLOOKUP($A8,'(B3) Struktura Funksionale'!$A$7:$E$146,3,FALSE)</f>
        <v>Promovimi i biznesit lokal</v>
      </c>
      <c r="D8" s="1205"/>
      <c r="E8" s="1205"/>
      <c r="F8" s="1205"/>
      <c r="G8" s="1205"/>
      <c r="H8" s="1206"/>
      <c r="I8" s="1204" t="str">
        <f>VLOOKUP($A8,'(B3) Struktura Funksionale'!$A$7:$E$146,4,FALSE)</f>
        <v>E detyrueshme</v>
      </c>
      <c r="J8" s="1205"/>
      <c r="K8" s="1206"/>
      <c r="L8" s="1204" t="str">
        <f>VLOOKUP($A8,'(B3) Struktura Funksionale'!$A$7:$E$146,5,FALSE)</f>
        <v>I veti</v>
      </c>
      <c r="M8" s="1205"/>
      <c r="N8" s="1205"/>
      <c r="O8" s="1206"/>
    </row>
    <row r="9" spans="1:15" ht="13.5" hidden="1" customHeight="1" x14ac:dyDescent="0.2">
      <c r="A9" s="1202" t="str">
        <f>'(B3) Struktura Funksionale'!A38</f>
        <v>Programi 6d</v>
      </c>
      <c r="B9" s="1203"/>
      <c r="C9" s="1204" t="str">
        <f>VLOOKUP($A9,'(B3) Struktura Funksionale'!$A$7:$E$146,3,FALSE)</f>
        <v>Mbështetja e Zhvillimit rajonal</v>
      </c>
      <c r="D9" s="1205"/>
      <c r="E9" s="1205"/>
      <c r="F9" s="1205"/>
      <c r="G9" s="1205"/>
      <c r="H9" s="1206"/>
      <c r="I9" s="1204" t="str">
        <f>VLOOKUP($A9,'(B3) Struktura Funksionale'!$A$7:$E$146,4,FALSE)</f>
        <v>E detyrueshme</v>
      </c>
      <c r="J9" s="1205"/>
      <c r="K9" s="1206"/>
      <c r="L9" s="1204" t="str">
        <f>VLOOKUP($A9,'(B3) Struktura Funksionale'!$A$7:$E$146,5,FALSE)</f>
        <v>I veti</v>
      </c>
      <c r="M9" s="1205"/>
      <c r="N9" s="1205"/>
      <c r="O9" s="1206"/>
    </row>
    <row r="10" spans="1:15" ht="13.5" customHeight="1" x14ac:dyDescent="0.2">
      <c r="A10" s="1202" t="str">
        <f>'(B3) Struktura Funksionale'!A39</f>
        <v>Programi 6e</v>
      </c>
      <c r="B10" s="1203"/>
      <c r="C10" s="1204" t="str">
        <f>VLOOKUP($A10,'(B3) Struktura Funksionale'!$A$7:$E$146,3,FALSE)</f>
        <v>Shërbimet e tregjeve, akreditimi dhe inspektimi</v>
      </c>
      <c r="D10" s="1205"/>
      <c r="E10" s="1205"/>
      <c r="F10" s="1205"/>
      <c r="G10" s="1205"/>
      <c r="H10" s="1206"/>
      <c r="I10" s="1204" t="str">
        <f>VLOOKUP($A10,'(B3) Struktura Funksionale'!$A$7:$E$146,4,FALSE)</f>
        <v>E detyrueshme</v>
      </c>
      <c r="J10" s="1205"/>
      <c r="K10" s="1206"/>
      <c r="L10" s="1204" t="str">
        <f>VLOOKUP($A10,'(B3) Struktura Funksionale'!$A$7:$E$146,5,FALSE)</f>
        <v>I veti</v>
      </c>
      <c r="M10" s="1205"/>
      <c r="N10" s="1205"/>
      <c r="O10" s="1206"/>
    </row>
    <row r="11" spans="1:15" ht="13.5" customHeight="1" x14ac:dyDescent="0.2">
      <c r="A11" s="1202" t="str">
        <f>'(B3) Struktura Funksionale'!A40</f>
        <v>Programi 6f</v>
      </c>
      <c r="B11" s="1203"/>
      <c r="C11" s="1204">
        <f>VLOOKUP($A11,'(B3) Struktura Funksionale'!$A$7:$E$146,3,FALSE)</f>
        <v>0</v>
      </c>
      <c r="D11" s="1205"/>
      <c r="E11" s="1205"/>
      <c r="F11" s="1205"/>
      <c r="G11" s="1205"/>
      <c r="H11" s="1206"/>
      <c r="I11" s="1204">
        <f>VLOOKUP($A11,'(B3) Struktura Funksionale'!$A$7:$E$146,4,FALSE)</f>
        <v>0</v>
      </c>
      <c r="J11" s="1205"/>
      <c r="K11" s="1206"/>
      <c r="L11" s="1204">
        <f>VLOOKUP($A11,'(B3) Struktura Funksionale'!$A$7:$E$146,5,FALSE)</f>
        <v>0</v>
      </c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6</v>
      </c>
      <c r="B14" s="1225" t="str">
        <f>B$2</f>
        <v>041 Çështjet e përgjithshme ekonomike, tregtare dhe të punës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B72+B111+B150+B189+B228+B267</f>
        <v>1585692</v>
      </c>
      <c r="C18" s="33">
        <f t="shared" si="1"/>
        <v>1603935</v>
      </c>
      <c r="D18" s="33">
        <f t="shared" si="1"/>
        <v>1675575</v>
      </c>
      <c r="E18" s="126">
        <f t="shared" si="1"/>
        <v>1710000</v>
      </c>
      <c r="F18" s="126">
        <f t="shared" si="1"/>
        <v>1725000</v>
      </c>
      <c r="G18" s="126">
        <f t="shared" si="1"/>
        <v>1770000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J73+J112+J151+J190+J229+J268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E76+E115+E154+E193+E232+E271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M76+M115+M154+M193+M232+M271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1710000</v>
      </c>
      <c r="N24" s="267">
        <f t="shared" si="4"/>
        <v>1725000</v>
      </c>
      <c r="O24" s="267">
        <f t="shared" si="4"/>
        <v>1770000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J80+J119+J158+J197+J236+J275</f>
        <v>1667733</v>
      </c>
      <c r="K27" s="33">
        <f>K80+K119+K158+K197+K236+K275</f>
        <v>1675575</v>
      </c>
      <c r="L27" s="33">
        <f>L80+L119+L158+L197+L236+L275</f>
        <v>1675575</v>
      </c>
      <c r="M27" s="126">
        <f t="shared" si="4"/>
        <v>1710000</v>
      </c>
      <c r="N27" s="126">
        <f t="shared" si="4"/>
        <v>1725000</v>
      </c>
      <c r="O27" s="126">
        <f t="shared" si="4"/>
        <v>1770000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J82+J121+J160+J199+J238+J277</f>
        <v>1667733</v>
      </c>
      <c r="K29" s="33">
        <f t="shared" si="5"/>
        <v>1675575</v>
      </c>
      <c r="L29" s="33">
        <f t="shared" si="5"/>
        <v>1675575</v>
      </c>
      <c r="M29" s="126">
        <f t="shared" si="5"/>
        <v>1710000</v>
      </c>
      <c r="N29" s="126">
        <f t="shared" si="5"/>
        <v>1725000</v>
      </c>
      <c r="O29" s="126">
        <f t="shared" si="5"/>
        <v>1770000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J88+J127+J166+J205+J244+J283</f>
        <v>-82041</v>
      </c>
      <c r="K34" s="18">
        <f t="shared" si="6"/>
        <v>-71640</v>
      </c>
      <c r="L34" s="18">
        <f t="shared" si="6"/>
        <v>0</v>
      </c>
      <c r="M34" s="780">
        <f t="shared" si="6"/>
        <v>0</v>
      </c>
      <c r="N34" s="780">
        <f t="shared" si="6"/>
        <v>0</v>
      </c>
      <c r="O34" s="780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E89+E128+E167+E206+E245+E284</f>
        <v>1374450</v>
      </c>
      <c r="F35" s="267">
        <f t="shared" si="7"/>
        <v>1382780</v>
      </c>
      <c r="G35" s="267">
        <f t="shared" si="7"/>
        <v>1461100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275550</v>
      </c>
      <c r="F36" s="267">
        <f t="shared" si="7"/>
        <v>277220</v>
      </c>
      <c r="G36" s="267">
        <f t="shared" si="7"/>
        <v>238900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60000</v>
      </c>
      <c r="F37" s="267">
        <f t="shared" si="7"/>
        <v>65000</v>
      </c>
      <c r="G37" s="267">
        <f t="shared" si="7"/>
        <v>70000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M91+M130+M169+M208+M247+M286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1710000</v>
      </c>
      <c r="F46" s="126">
        <f t="shared" si="7"/>
        <v>1725000</v>
      </c>
      <c r="G46" s="126">
        <f t="shared" si="7"/>
        <v>1770000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B102+B141+B180+B219+B258+B297</f>
        <v>1585692</v>
      </c>
      <c r="C48" s="33">
        <f t="shared" si="11"/>
        <v>1603935</v>
      </c>
      <c r="D48" s="33">
        <f t="shared" si="11"/>
        <v>1675575</v>
      </c>
      <c r="E48" s="126">
        <f t="shared" si="11"/>
        <v>1710000</v>
      </c>
      <c r="F48" s="126">
        <f t="shared" si="11"/>
        <v>1725000</v>
      </c>
      <c r="G48" s="126">
        <f t="shared" si="11"/>
        <v>1770000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1710000</v>
      </c>
      <c r="N52" s="135">
        <f>VLOOKUP($A14,'(D1) Tavanet buxhetore'!$A$7:$R$473,8,FALSE)</f>
        <v>1725000</v>
      </c>
      <c r="O52" s="587">
        <f>VLOOKUP($A14,'(D1) Tavanet buxhetore'!$A$7:$R$473,9,FALSE)</f>
        <v>1770000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1710000</v>
      </c>
      <c r="N53" s="136">
        <f>F18</f>
        <v>1725000</v>
      </c>
      <c r="O53" s="588">
        <f>G18</f>
        <v>1770000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1650000</v>
      </c>
      <c r="N55" s="135">
        <f>VLOOKUP($A14,'(D1) Tavanet buxhetore'!$A$7:$R$473,11,FALSE)</f>
        <v>1660000</v>
      </c>
      <c r="O55" s="587">
        <f>VLOOKUP($A14,'(D1) Tavanet buxhetore'!$A$7:$R$473,12,FALSE)</f>
        <v>1700000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1650000</v>
      </c>
      <c r="N56" s="136">
        <f>F22+F35+F23+F36</f>
        <v>1660000</v>
      </c>
      <c r="O56" s="588">
        <f>G22+G35+G23+G36</f>
        <v>1700000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60000</v>
      </c>
      <c r="N58" s="135">
        <f>VLOOKUP($A14,'(D1) Tavanet buxhetore'!$A$7:$R$473,14,FALSE)</f>
        <v>65000</v>
      </c>
      <c r="O58" s="587">
        <f>VLOOKUP($A14,'(D1) Tavanet buxhetore'!$A$7:$R$473,15,FALSE)</f>
        <v>70000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60000</v>
      </c>
      <c r="N59" s="136">
        <f>N53-N56-N62</f>
        <v>65000</v>
      </c>
      <c r="O59" s="588">
        <f>O53-O56-O62</f>
        <v>70000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hidden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hidden="1" customHeight="1" x14ac:dyDescent="0.2">
      <c r="A66" s="204" t="str">
        <f t="shared" ref="A66:O66" si="12">A14</f>
        <v>Nënfunksioni 6</v>
      </c>
      <c r="B66" s="1225" t="str">
        <f t="shared" si="12"/>
        <v>041 Çështjet e përgjithshme ekonomike, tregtare dhe të punës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hidden="1" customHeight="1" x14ac:dyDescent="0.2">
      <c r="A67" s="262" t="str">
        <f>A6</f>
        <v>Programi 6a</v>
      </c>
      <c r="B67" s="1225" t="str">
        <f>C6</f>
        <v xml:space="preserve">Çështjet e përgjithshme ekonomike dhe tregtare 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hidden="1" customHeight="1" x14ac:dyDescent="0.2">
      <c r="A68" s="562" t="str">
        <f>'(B3) Struktura Funksionale'!B35</f>
        <v>04110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hidden="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hidden="1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hidden="1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hidden="1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hidden="1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hidden="1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hidden="1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hidden="1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hidden="1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hidden="1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hidden="1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hidden="1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hidden="1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hidden="1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hidden="1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hidden="1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hidden="1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hidden="1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hidden="1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hidden="1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hidden="1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hidden="1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hidden="1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hidden="1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hidden="1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hidden="1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hidden="1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hidden="1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hidden="1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hidden="1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hidden="1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hidden="1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hidden="1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hidden="1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3" spans="1:15" ht="17.25" hidden="1" customHeight="1" x14ac:dyDescent="0.2"/>
    <row r="105" spans="1:15" ht="17.25" customHeight="1" x14ac:dyDescent="0.2">
      <c r="A105" s="204" t="str">
        <f t="shared" ref="A105:O105" si="22">A66</f>
        <v>Nënfunksioni 6</v>
      </c>
      <c r="B105" s="1225" t="str">
        <f t="shared" si="22"/>
        <v>041 Çështjet e përgjithshme ekonomike, tregtare dhe të punës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6b</v>
      </c>
      <c r="B106" s="1225" t="str">
        <f>C7</f>
        <v>Mbështetje për zhvillimin ekonomik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 t="str">
        <f>'(B3) Struktura Funksionale'!B36</f>
        <v>04130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1585692</v>
      </c>
      <c r="C111" s="33">
        <f>VLOOKUP(A106,'(C1) Shpenzimet vitet e kaluara'!A$9:O$177,9,FALSE)</f>
        <v>1603935</v>
      </c>
      <c r="D111" s="33">
        <f>VLOOKUP(A106,'(C1) Shpenzimet vitet e kaluara'!A$9:O$177,13,FALSE)</f>
        <v>1675575</v>
      </c>
      <c r="E111" s="36">
        <f>E122+E128+E129+E130</f>
        <v>1710000</v>
      </c>
      <c r="F111" s="36">
        <f>F122+F128+F129+F130</f>
        <v>1725000</v>
      </c>
      <c r="G111" s="36">
        <f t="shared" ref="G111" si="27">G122+G128+G129+G130</f>
        <v>1770000</v>
      </c>
      <c r="H111" s="128"/>
      <c r="I111" s="1226" t="str">
        <f t="shared" ref="I111:O111" si="28">I72</f>
        <v>VLERËSIM I ARDHURAVE NGA TARIFAT</v>
      </c>
      <c r="J111" s="1227">
        <f t="shared" si="28"/>
        <v>0</v>
      </c>
      <c r="K111" s="1227">
        <f t="shared" si="28"/>
        <v>0</v>
      </c>
      <c r="L111" s="1227">
        <f t="shared" si="28"/>
        <v>0</v>
      </c>
      <c r="M111" s="1227">
        <f t="shared" si="28"/>
        <v>0</v>
      </c>
      <c r="N111" s="1227">
        <f t="shared" si="28"/>
        <v>0</v>
      </c>
      <c r="O111" s="1228">
        <f t="shared" si="28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9">A74</f>
        <v>SHPENZIME TË PRITSHME</v>
      </c>
      <c r="B113" s="1233">
        <f t="shared" si="29"/>
        <v>0</v>
      </c>
      <c r="C113" s="1233">
        <f t="shared" si="29"/>
        <v>0</v>
      </c>
      <c r="D113" s="1233">
        <f t="shared" si="29"/>
        <v>0</v>
      </c>
      <c r="E113" s="1233">
        <f t="shared" si="29"/>
        <v>0</v>
      </c>
      <c r="F113" s="1233">
        <f t="shared" si="29"/>
        <v>0</v>
      </c>
      <c r="G113" s="1234">
        <f t="shared" si="29"/>
        <v>0</v>
      </c>
      <c r="H113" s="10"/>
    </row>
    <row r="114" spans="1:15" ht="12.75" x14ac:dyDescent="0.2">
      <c r="A114" s="1226" t="str">
        <f t="shared" si="29"/>
        <v>KOSTO DIREKTE PËR PROJEKTET DHE SHPENZIMET KAPITALE</v>
      </c>
      <c r="B114" s="1227">
        <f t="shared" si="29"/>
        <v>0</v>
      </c>
      <c r="C114" s="1227">
        <f t="shared" si="29"/>
        <v>0</v>
      </c>
      <c r="D114" s="1227">
        <f t="shared" si="29"/>
        <v>0</v>
      </c>
      <c r="E114" s="1227">
        <f t="shared" si="29"/>
        <v>0</v>
      </c>
      <c r="F114" s="1227">
        <f t="shared" si="29"/>
        <v>0</v>
      </c>
      <c r="G114" s="1228">
        <f t="shared" si="29"/>
        <v>0</v>
      </c>
      <c r="H114" s="30"/>
      <c r="I114" s="1226" t="str">
        <f t="shared" ref="I114:I119" si="30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1">A76</f>
        <v>Pagat</v>
      </c>
      <c r="B115" s="1229">
        <f t="shared" si="31"/>
        <v>600</v>
      </c>
      <c r="C115" s="1230">
        <f t="shared" si="31"/>
        <v>0</v>
      </c>
      <c r="D115" s="1231">
        <f t="shared" si="31"/>
        <v>0</v>
      </c>
      <c r="E115" s="126"/>
      <c r="F115" s="126"/>
      <c r="G115" s="126"/>
      <c r="H115" s="30"/>
      <c r="I115" s="339" t="str">
        <f t="shared" si="30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1"/>
        <v>Sigurimet Shoqërore</v>
      </c>
      <c r="B116" s="1229">
        <f t="shared" si="31"/>
        <v>601</v>
      </c>
      <c r="C116" s="1230">
        <f t="shared" si="31"/>
        <v>0</v>
      </c>
      <c r="D116" s="1231">
        <f t="shared" si="31"/>
        <v>0</v>
      </c>
      <c r="E116" s="126"/>
      <c r="F116" s="126"/>
      <c r="G116" s="126"/>
      <c r="H116" s="30"/>
      <c r="I116" s="339" t="str">
        <f t="shared" si="30"/>
        <v>Trasferta Specifike</v>
      </c>
      <c r="J116" s="336"/>
      <c r="K116" s="338"/>
      <c r="L116" s="337"/>
      <c r="M116" s="125">
        <v>1710000</v>
      </c>
      <c r="N116" s="125">
        <v>1725000</v>
      </c>
      <c r="O116" s="129">
        <v>1770000</v>
      </c>
    </row>
    <row r="117" spans="1:15" ht="12.75" x14ac:dyDescent="0.2">
      <c r="A117" s="121" t="str">
        <f t="shared" si="31"/>
        <v>Mallra dhe shërbime</v>
      </c>
      <c r="B117" s="1229">
        <f t="shared" si="31"/>
        <v>602</v>
      </c>
      <c r="C117" s="1230">
        <f t="shared" si="31"/>
        <v>0</v>
      </c>
      <c r="D117" s="1231">
        <f t="shared" si="31"/>
        <v>0</v>
      </c>
      <c r="E117" s="126"/>
      <c r="F117" s="126"/>
      <c r="G117" s="126"/>
      <c r="H117" s="52"/>
      <c r="I117" s="339" t="str">
        <f t="shared" si="30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1"/>
        <v>Subvencione</v>
      </c>
      <c r="B118" s="1229">
        <f t="shared" si="31"/>
        <v>603</v>
      </c>
      <c r="C118" s="1230">
        <f t="shared" si="31"/>
        <v>0</v>
      </c>
      <c r="D118" s="1231">
        <f t="shared" si="31"/>
        <v>0</v>
      </c>
      <c r="E118" s="126"/>
      <c r="F118" s="126"/>
      <c r="G118" s="126"/>
      <c r="H118" s="8"/>
      <c r="I118" s="339" t="str">
        <f t="shared" si="30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1"/>
        <v>Të tjera transferta korrente të brendshme</v>
      </c>
      <c r="B119" s="1229">
        <f t="shared" si="31"/>
        <v>604</v>
      </c>
      <c r="C119" s="1230">
        <f t="shared" si="31"/>
        <v>0</v>
      </c>
      <c r="D119" s="1231">
        <f t="shared" si="31"/>
        <v>0</v>
      </c>
      <c r="E119" s="126"/>
      <c r="F119" s="126"/>
      <c r="G119" s="126"/>
      <c r="H119" s="52"/>
      <c r="I119" s="339" t="str">
        <f t="shared" si="30"/>
        <v>VLERËSIMI I TË ARDHURAVE ME DESTINACION</v>
      </c>
      <c r="J119" s="34">
        <f>VLOOKUP($A106,'(C1) Shpenzimet vitet e kaluara'!$A$9:$O$177,7,FALSE)</f>
        <v>1667733</v>
      </c>
      <c r="K119" s="34">
        <f>VLOOKUP($A106,'(C1) Shpenzimet vitet e kaluara'!$A$9:$O$177,11,FALSE)</f>
        <v>1675575</v>
      </c>
      <c r="L119" s="34">
        <f>VLOOKUP($A106,'(C1) Shpenzimet vitet e kaluara'!$A$9:$O$177,15,FALSE)</f>
        <v>1675575</v>
      </c>
      <c r="M119" s="126">
        <f>SUM(M115:M118)</f>
        <v>1710000</v>
      </c>
      <c r="N119" s="126">
        <f>SUM(N115:N118)</f>
        <v>1725000</v>
      </c>
      <c r="O119" s="126">
        <f>SUM(O115:O118)</f>
        <v>1770000</v>
      </c>
    </row>
    <row r="120" spans="1:15" ht="12.75" x14ac:dyDescent="0.2">
      <c r="A120" s="121" t="str">
        <f t="shared" si="31"/>
        <v>Transferta korrente të huaja</v>
      </c>
      <c r="B120" s="1229">
        <f t="shared" si="31"/>
        <v>605</v>
      </c>
      <c r="C120" s="1230">
        <f t="shared" si="31"/>
        <v>0</v>
      </c>
      <c r="D120" s="1231">
        <f t="shared" si="31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1"/>
        <v>Transferta për Buxhetet Familiare dhe Individët</v>
      </c>
      <c r="B121" s="1229">
        <f t="shared" si="31"/>
        <v>606</v>
      </c>
      <c r="C121" s="1230">
        <f t="shared" si="31"/>
        <v>0</v>
      </c>
      <c r="D121" s="1231">
        <f t="shared" si="31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1667733</v>
      </c>
      <c r="K121" s="33">
        <f>K112+K119</f>
        <v>1675575</v>
      </c>
      <c r="L121" s="33">
        <f>L112+L119</f>
        <v>1675575</v>
      </c>
      <c r="M121" s="126">
        <f>M119+M112</f>
        <v>1710000</v>
      </c>
      <c r="N121" s="126">
        <f>N119+N112</f>
        <v>1725000</v>
      </c>
      <c r="O121" s="126">
        <f>O119+O112</f>
        <v>1770000</v>
      </c>
    </row>
    <row r="122" spans="1:15" ht="12.75" x14ac:dyDescent="0.2">
      <c r="A122" s="121" t="str">
        <f t="shared" si="31"/>
        <v>Shpenzimet kapitale</v>
      </c>
      <c r="B122" s="1229" t="str">
        <f t="shared" si="31"/>
        <v>230 / 231</v>
      </c>
      <c r="C122" s="1230">
        <f t="shared" si="31"/>
        <v>0</v>
      </c>
      <c r="D122" s="1231">
        <f t="shared" si="31"/>
        <v>0</v>
      </c>
      <c r="E122" s="36"/>
      <c r="F122" s="36"/>
      <c r="G122" s="36"/>
      <c r="H122" s="52"/>
    </row>
    <row r="123" spans="1:15" ht="12.75" x14ac:dyDescent="0.2">
      <c r="A123" s="121" t="str">
        <f t="shared" si="31"/>
        <v>Rezerva</v>
      </c>
      <c r="B123" s="1229">
        <f t="shared" si="31"/>
        <v>609</v>
      </c>
      <c r="C123" s="1230">
        <f t="shared" si="31"/>
        <v>0</v>
      </c>
      <c r="D123" s="1231">
        <f t="shared" si="31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1"/>
        <v>Interesa per kredi direkte ose bono</v>
      </c>
      <c r="B124" s="1229">
        <f t="shared" si="31"/>
        <v>650</v>
      </c>
      <c r="C124" s="1230">
        <f t="shared" si="31"/>
        <v>0</v>
      </c>
      <c r="D124" s="1231">
        <f t="shared" si="31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1"/>
        <v>Të tjera</v>
      </c>
      <c r="B125" s="1229" t="str">
        <f t="shared" si="31"/>
        <v>69 / ?</v>
      </c>
      <c r="C125" s="1230">
        <f t="shared" si="31"/>
        <v>0</v>
      </c>
      <c r="D125" s="1231">
        <f t="shared" si="31"/>
        <v>0</v>
      </c>
      <c r="E125" s="126"/>
      <c r="F125" s="126"/>
      <c r="G125" s="126"/>
      <c r="H125" s="52"/>
      <c r="I125" s="1235" t="str">
        <f t="shared" ref="I125:O126" si="32">I86</f>
        <v>SHUMA E KËRKUAR NETO</v>
      </c>
      <c r="J125" s="1236">
        <f t="shared" si="32"/>
        <v>0</v>
      </c>
      <c r="K125" s="1236">
        <f t="shared" si="32"/>
        <v>0</v>
      </c>
      <c r="L125" s="1236">
        <f t="shared" si="32"/>
        <v>0</v>
      </c>
      <c r="M125" s="1236">
        <f t="shared" si="32"/>
        <v>0</v>
      </c>
      <c r="N125" s="1236">
        <f t="shared" si="32"/>
        <v>0</v>
      </c>
      <c r="O125" s="1237">
        <f t="shared" si="32"/>
        <v>0</v>
      </c>
    </row>
    <row r="126" spans="1:15" ht="12.75" customHeight="1" x14ac:dyDescent="0.2">
      <c r="A126" s="268" t="str">
        <f t="shared" si="31"/>
        <v>KOSTO DIREKTE PËR PROJEKTET DHE SHPENZIMET KAPITALE</v>
      </c>
      <c r="B126" s="1229">
        <f t="shared" si="31"/>
        <v>0</v>
      </c>
      <c r="C126" s="1230">
        <f t="shared" si="31"/>
        <v>0</v>
      </c>
      <c r="D126" s="1231">
        <f t="shared" si="31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2"/>
        <v>0</v>
      </c>
      <c r="J126" s="1239">
        <f t="shared" si="32"/>
        <v>0</v>
      </c>
      <c r="K126" s="1239">
        <f t="shared" si="32"/>
        <v>0</v>
      </c>
      <c r="L126" s="1239">
        <f t="shared" si="32"/>
        <v>0</v>
      </c>
      <c r="M126" s="1239">
        <f t="shared" si="32"/>
        <v>0</v>
      </c>
      <c r="N126" s="1239">
        <f t="shared" si="32"/>
        <v>0</v>
      </c>
      <c r="O126" s="1240">
        <f t="shared" si="32"/>
        <v>0</v>
      </c>
    </row>
    <row r="127" spans="1:15" ht="12.75" x14ac:dyDescent="0.2">
      <c r="A127" s="1226" t="str">
        <f t="shared" si="31"/>
        <v>SHPENZIME KORRENTE</v>
      </c>
      <c r="B127" s="1227">
        <f t="shared" si="31"/>
        <v>0</v>
      </c>
      <c r="C127" s="1227">
        <f t="shared" si="31"/>
        <v>0</v>
      </c>
      <c r="D127" s="1227">
        <f t="shared" si="31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3">B111-J121</f>
        <v>-82041</v>
      </c>
      <c r="K127" s="18">
        <f t="shared" si="33"/>
        <v>-71640</v>
      </c>
      <c r="L127" s="18">
        <f t="shared" si="33"/>
        <v>0</v>
      </c>
      <c r="M127" s="780">
        <f t="shared" si="33"/>
        <v>0</v>
      </c>
      <c r="N127" s="780">
        <f t="shared" si="33"/>
        <v>0</v>
      </c>
      <c r="O127" s="780">
        <f t="shared" si="33"/>
        <v>0</v>
      </c>
    </row>
    <row r="128" spans="1:15" ht="12.75" x14ac:dyDescent="0.2">
      <c r="A128" s="121" t="str">
        <f t="shared" si="31"/>
        <v>Pagat</v>
      </c>
      <c r="B128" s="1229">
        <f t="shared" si="31"/>
        <v>600</v>
      </c>
      <c r="C128" s="1230">
        <f t="shared" si="31"/>
        <v>0</v>
      </c>
      <c r="D128" s="1231">
        <f t="shared" si="31"/>
        <v>0</v>
      </c>
      <c r="E128" s="263">
        <v>1374450</v>
      </c>
      <c r="F128" s="263">
        <v>1382780</v>
      </c>
      <c r="G128" s="263">
        <v>1461100</v>
      </c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1"/>
        <v>Sigurimet Shoqërore</v>
      </c>
      <c r="B129" s="1229">
        <f t="shared" si="31"/>
        <v>601</v>
      </c>
      <c r="C129" s="1230">
        <f t="shared" si="31"/>
        <v>0</v>
      </c>
      <c r="D129" s="1231">
        <f t="shared" si="31"/>
        <v>0</v>
      </c>
      <c r="E129" s="36">
        <v>275550</v>
      </c>
      <c r="F129" s="36">
        <v>277220</v>
      </c>
      <c r="G129" s="36">
        <v>238900</v>
      </c>
      <c r="H129" s="52"/>
    </row>
    <row r="130" spans="1:15" ht="12.75" x14ac:dyDescent="0.2">
      <c r="A130" s="121" t="str">
        <f t="shared" si="31"/>
        <v>Mallra dhe shërbime</v>
      </c>
      <c r="B130" s="1229">
        <f t="shared" si="31"/>
        <v>602</v>
      </c>
      <c r="C130" s="1230">
        <f t="shared" si="31"/>
        <v>0</v>
      </c>
      <c r="D130" s="1231">
        <f t="shared" si="31"/>
        <v>0</v>
      </c>
      <c r="E130" s="36">
        <v>60000</v>
      </c>
      <c r="F130" s="36">
        <v>65000</v>
      </c>
      <c r="G130" s="36">
        <v>70000</v>
      </c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1"/>
        <v>Subvencione</v>
      </c>
      <c r="B131" s="1229">
        <f t="shared" si="31"/>
        <v>603</v>
      </c>
      <c r="C131" s="1230">
        <f t="shared" si="31"/>
        <v>0</v>
      </c>
      <c r="D131" s="1231">
        <f t="shared" si="31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1"/>
        <v>Të tjera transferta korrente të brendshme</v>
      </c>
      <c r="B132" s="1229">
        <f t="shared" si="31"/>
        <v>604</v>
      </c>
      <c r="C132" s="1230">
        <f t="shared" si="31"/>
        <v>0</v>
      </c>
      <c r="D132" s="1231">
        <f t="shared" si="31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1"/>
        <v>Transferta korrente të huaja</v>
      </c>
      <c r="B133" s="1229">
        <f t="shared" si="31"/>
        <v>605</v>
      </c>
      <c r="C133" s="1230">
        <f t="shared" si="31"/>
        <v>0</v>
      </c>
      <c r="D133" s="1231">
        <f t="shared" si="31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1"/>
        <v>Transferta për Buxhetet Familiare dhe Individët</v>
      </c>
      <c r="B134" s="1229">
        <f t="shared" si="31"/>
        <v>606</v>
      </c>
      <c r="C134" s="1230">
        <f t="shared" si="31"/>
        <v>0</v>
      </c>
      <c r="D134" s="1231">
        <f t="shared" si="31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1"/>
        <v>Shpenzimet kapitale</v>
      </c>
      <c r="B135" s="1256" t="str">
        <f t="shared" si="31"/>
        <v>230 / 231</v>
      </c>
      <c r="C135" s="1257">
        <f t="shared" si="31"/>
        <v>0</v>
      </c>
      <c r="D135" s="1258">
        <f t="shared" si="31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1"/>
        <v>Rezerva</v>
      </c>
      <c r="B136" s="1229">
        <f t="shared" si="31"/>
        <v>609</v>
      </c>
      <c r="C136" s="1230">
        <f t="shared" si="31"/>
        <v>0</v>
      </c>
      <c r="D136" s="1231">
        <f t="shared" si="31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1"/>
        <v>Interesa per kredi direkte ose bono</v>
      </c>
      <c r="B137" s="1259">
        <f t="shared" si="31"/>
        <v>650</v>
      </c>
      <c r="C137" s="1260">
        <f t="shared" si="31"/>
        <v>0</v>
      </c>
      <c r="D137" s="1261">
        <f t="shared" si="31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716">
        <f>-E126+E111-(SUM(E128:E137))</f>
        <v>0</v>
      </c>
      <c r="F138" s="717">
        <f>-F126+F111-(SUM(F128:F137))</f>
        <v>0</v>
      </c>
      <c r="G138" s="717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1710000</v>
      </c>
      <c r="F139" s="126">
        <f>SUM(F128:F138)</f>
        <v>1725000</v>
      </c>
      <c r="G139" s="126">
        <f>SUM(G128:G138)</f>
        <v>1770000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1585692</v>
      </c>
      <c r="C141" s="33">
        <f>C111</f>
        <v>1603935</v>
      </c>
      <c r="D141" s="33">
        <f>D111</f>
        <v>1675575</v>
      </c>
      <c r="E141" s="126">
        <f>E126+E139</f>
        <v>1710000</v>
      </c>
      <c r="F141" s="126">
        <f>F126+F139</f>
        <v>1725000</v>
      </c>
      <c r="G141" s="126">
        <f>G126+G139</f>
        <v>1770000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hidden="1" customHeight="1" x14ac:dyDescent="0.2">
      <c r="A144" s="204" t="str">
        <f t="shared" ref="A144:O144" si="34">A66</f>
        <v>Nënfunksioni 6</v>
      </c>
      <c r="B144" s="1225" t="str">
        <f t="shared" si="34"/>
        <v>041 Çështjet e përgjithshme ekonomike, tregtare dhe të punës</v>
      </c>
      <c r="C144" s="1225">
        <f t="shared" si="34"/>
        <v>0</v>
      </c>
      <c r="D144" s="1225">
        <f t="shared" si="34"/>
        <v>0</v>
      </c>
      <c r="E144" s="1225">
        <f t="shared" si="34"/>
        <v>0</v>
      </c>
      <c r="F144" s="1225">
        <f t="shared" si="34"/>
        <v>0</v>
      </c>
      <c r="G144" s="1225">
        <f t="shared" si="34"/>
        <v>0</v>
      </c>
      <c r="H144" s="1225">
        <f t="shared" si="34"/>
        <v>0</v>
      </c>
      <c r="I144" s="1225">
        <f t="shared" si="34"/>
        <v>0</v>
      </c>
      <c r="J144" s="1225">
        <f t="shared" si="34"/>
        <v>0</v>
      </c>
      <c r="K144" s="1225">
        <f t="shared" si="34"/>
        <v>0</v>
      </c>
      <c r="L144" s="1225">
        <f t="shared" si="34"/>
        <v>0</v>
      </c>
      <c r="M144" s="1225">
        <f t="shared" si="34"/>
        <v>0</v>
      </c>
      <c r="N144" s="1225">
        <f t="shared" si="34"/>
        <v>0</v>
      </c>
      <c r="O144" s="1225">
        <f t="shared" si="34"/>
        <v>0</v>
      </c>
    </row>
    <row r="145" spans="1:15" ht="17.25" hidden="1" customHeight="1" x14ac:dyDescent="0.2">
      <c r="A145" s="262" t="str">
        <f>A8</f>
        <v>Programi 6c</v>
      </c>
      <c r="B145" s="1225" t="str">
        <f>C8</f>
        <v>Promovimi i biznesit lokal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hidden="1" customHeight="1" x14ac:dyDescent="0.2">
      <c r="A146" s="562" t="str">
        <f>'(B3) Struktura Funksionale'!B37</f>
        <v>04131</v>
      </c>
      <c r="B146" s="485"/>
      <c r="C146" s="485"/>
      <c r="D146" s="485"/>
      <c r="E146" s="485"/>
      <c r="F146" s="485"/>
      <c r="G146" s="486"/>
      <c r="H146" s="487"/>
      <c r="I146" s="488"/>
      <c r="J146" s="485"/>
      <c r="K146" s="485"/>
      <c r="L146" s="485"/>
      <c r="M146" s="485"/>
      <c r="N146" s="485"/>
      <c r="O146" s="486"/>
    </row>
    <row r="147" spans="1:15" ht="22.5" hidden="1" customHeight="1" x14ac:dyDescent="0.2">
      <c r="A147" s="1221" t="str">
        <f t="shared" ref="A147:G147" si="35">A69</f>
        <v>SHPENZIME TË PRITSHME</v>
      </c>
      <c r="B147" s="1222">
        <f t="shared" si="35"/>
        <v>0</v>
      </c>
      <c r="C147" s="1222">
        <f t="shared" si="35"/>
        <v>0</v>
      </c>
      <c r="D147" s="1222">
        <f t="shared" si="35"/>
        <v>0</v>
      </c>
      <c r="E147" s="1222">
        <f t="shared" si="35"/>
        <v>0</v>
      </c>
      <c r="F147" s="1222">
        <f t="shared" si="35"/>
        <v>0</v>
      </c>
      <c r="G147" s="1242">
        <f t="shared" si="35"/>
        <v>0</v>
      </c>
      <c r="H147" s="128"/>
      <c r="I147" s="1243" t="str">
        <f t="shared" ref="I147:O147" si="36">I69</f>
        <v xml:space="preserve">TË ARDHURAT E PRITSHME </v>
      </c>
      <c r="J147" s="1222">
        <f t="shared" si="36"/>
        <v>0</v>
      </c>
      <c r="K147" s="1222">
        <f t="shared" si="36"/>
        <v>0</v>
      </c>
      <c r="L147" s="1222">
        <f t="shared" si="36"/>
        <v>0</v>
      </c>
      <c r="M147" s="1222">
        <f t="shared" si="36"/>
        <v>0</v>
      </c>
      <c r="N147" s="1222">
        <f t="shared" si="36"/>
        <v>0</v>
      </c>
      <c r="O147" s="1242">
        <f t="shared" si="36"/>
        <v>0</v>
      </c>
    </row>
    <row r="148" spans="1:15" ht="20.25" hidden="1" customHeight="1" x14ac:dyDescent="0.2">
      <c r="A148" s="202"/>
      <c r="B148" s="363">
        <f t="shared" ref="B148:G148" si="37">B70</f>
        <v>2019</v>
      </c>
      <c r="C148" s="363">
        <f t="shared" si="37"/>
        <v>2020</v>
      </c>
      <c r="D148" s="363">
        <f t="shared" si="37"/>
        <v>2021</v>
      </c>
      <c r="E148" s="238">
        <f t="shared" si="37"/>
        <v>2022</v>
      </c>
      <c r="F148" s="238">
        <f t="shared" si="37"/>
        <v>2023</v>
      </c>
      <c r="G148" s="238">
        <f t="shared" si="37"/>
        <v>2024</v>
      </c>
      <c r="H148" s="203"/>
      <c r="I148" s="269"/>
      <c r="J148" s="236">
        <f t="shared" ref="J148:O148" si="38">J70</f>
        <v>2019</v>
      </c>
      <c r="K148" s="236">
        <f t="shared" si="38"/>
        <v>2020</v>
      </c>
      <c r="L148" s="236">
        <f t="shared" si="38"/>
        <v>2021</v>
      </c>
      <c r="M148" s="237">
        <f t="shared" si="38"/>
        <v>2022</v>
      </c>
      <c r="N148" s="237">
        <f t="shared" si="38"/>
        <v>2023</v>
      </c>
      <c r="O148" s="237">
        <f t="shared" si="38"/>
        <v>2024</v>
      </c>
    </row>
    <row r="149" spans="1:15" ht="12.75" hidden="1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hidden="1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9">I72</f>
        <v>VLERËSIM I ARDHURAVE NGA TARIFAT</v>
      </c>
      <c r="J150" s="1227">
        <f t="shared" si="39"/>
        <v>0</v>
      </c>
      <c r="K150" s="1227">
        <f t="shared" si="39"/>
        <v>0</v>
      </c>
      <c r="L150" s="1227">
        <f t="shared" si="39"/>
        <v>0</v>
      </c>
      <c r="M150" s="1227">
        <f t="shared" si="39"/>
        <v>0</v>
      </c>
      <c r="N150" s="1227">
        <f t="shared" si="39"/>
        <v>0</v>
      </c>
      <c r="O150" s="1228">
        <f t="shared" si="39"/>
        <v>0</v>
      </c>
    </row>
    <row r="151" spans="1:15" ht="12.75" hidden="1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hidden="1" x14ac:dyDescent="0.2">
      <c r="A152" s="1232" t="str">
        <f t="shared" ref="A152:G153" si="40">A74</f>
        <v>SHPENZIME TË PRITSHME</v>
      </c>
      <c r="B152" s="1233">
        <f t="shared" si="40"/>
        <v>0</v>
      </c>
      <c r="C152" s="1233">
        <f t="shared" si="40"/>
        <v>0</v>
      </c>
      <c r="D152" s="1233">
        <f t="shared" si="40"/>
        <v>0</v>
      </c>
      <c r="E152" s="1233">
        <f t="shared" si="40"/>
        <v>0</v>
      </c>
      <c r="F152" s="1233">
        <f t="shared" si="40"/>
        <v>0</v>
      </c>
      <c r="G152" s="1234">
        <f t="shared" si="40"/>
        <v>0</v>
      </c>
      <c r="H152" s="10"/>
    </row>
    <row r="153" spans="1:15" ht="12.75" hidden="1" x14ac:dyDescent="0.2">
      <c r="A153" s="1226" t="str">
        <f t="shared" si="40"/>
        <v>KOSTO DIREKTE PËR PROJEKTET DHE SHPENZIMET KAPITALE</v>
      </c>
      <c r="B153" s="1227">
        <f t="shared" si="40"/>
        <v>0</v>
      </c>
      <c r="C153" s="1227">
        <f t="shared" si="40"/>
        <v>0</v>
      </c>
      <c r="D153" s="1227">
        <f t="shared" si="40"/>
        <v>0</v>
      </c>
      <c r="E153" s="1227">
        <f t="shared" si="40"/>
        <v>0</v>
      </c>
      <c r="F153" s="1227">
        <f t="shared" si="40"/>
        <v>0</v>
      </c>
      <c r="G153" s="1228">
        <f t="shared" si="40"/>
        <v>0</v>
      </c>
      <c r="H153" s="30"/>
      <c r="I153" s="1226" t="str">
        <f t="shared" ref="I153:I158" si="41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hidden="1" x14ac:dyDescent="0.2">
      <c r="A154" s="121" t="str">
        <f t="shared" ref="A154:D176" si="42">A76</f>
        <v>Pagat</v>
      </c>
      <c r="B154" s="1229">
        <f t="shared" si="42"/>
        <v>600</v>
      </c>
      <c r="C154" s="1230">
        <f t="shared" si="42"/>
        <v>0</v>
      </c>
      <c r="D154" s="1231">
        <f t="shared" si="42"/>
        <v>0</v>
      </c>
      <c r="E154" s="36"/>
      <c r="F154" s="36"/>
      <c r="G154" s="36"/>
      <c r="H154" s="30"/>
      <c r="I154" s="339" t="str">
        <f t="shared" si="41"/>
        <v>Transferta e kushtëzuar</v>
      </c>
      <c r="J154" s="336"/>
      <c r="K154" s="338"/>
      <c r="L154" s="337"/>
      <c r="M154" s="125"/>
      <c r="N154" s="125"/>
      <c r="O154" s="129"/>
    </row>
    <row r="155" spans="1:15" ht="12.75" hidden="1" x14ac:dyDescent="0.2">
      <c r="A155" s="121" t="str">
        <f t="shared" si="42"/>
        <v>Sigurimet Shoqërore</v>
      </c>
      <c r="B155" s="1229">
        <f t="shared" si="42"/>
        <v>601</v>
      </c>
      <c r="C155" s="1230">
        <f t="shared" si="42"/>
        <v>0</v>
      </c>
      <c r="D155" s="1231">
        <f t="shared" si="42"/>
        <v>0</v>
      </c>
      <c r="E155" s="36"/>
      <c r="F155" s="36"/>
      <c r="G155" s="36"/>
      <c r="H155" s="30"/>
      <c r="I155" s="339" t="str">
        <f t="shared" si="41"/>
        <v>Trasferta Specifike</v>
      </c>
      <c r="J155" s="336"/>
      <c r="K155" s="338"/>
      <c r="L155" s="337"/>
      <c r="M155" s="125"/>
      <c r="N155" s="125"/>
      <c r="O155" s="129"/>
    </row>
    <row r="156" spans="1:15" ht="12.75" hidden="1" x14ac:dyDescent="0.2">
      <c r="A156" s="121" t="str">
        <f t="shared" si="42"/>
        <v>Mallra dhe shërbime</v>
      </c>
      <c r="B156" s="1229">
        <f t="shared" si="42"/>
        <v>602</v>
      </c>
      <c r="C156" s="1230">
        <f t="shared" si="42"/>
        <v>0</v>
      </c>
      <c r="D156" s="1231">
        <f t="shared" si="42"/>
        <v>0</v>
      </c>
      <c r="E156" s="36"/>
      <c r="F156" s="36"/>
      <c r="G156" s="36"/>
      <c r="H156" s="52"/>
      <c r="I156" s="339" t="str">
        <f t="shared" si="41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hidden="1" x14ac:dyDescent="0.2">
      <c r="A157" s="121" t="str">
        <f t="shared" si="42"/>
        <v>Subvencione</v>
      </c>
      <c r="B157" s="1229">
        <f t="shared" si="42"/>
        <v>603</v>
      </c>
      <c r="C157" s="1230">
        <f t="shared" si="42"/>
        <v>0</v>
      </c>
      <c r="D157" s="1231">
        <f t="shared" si="42"/>
        <v>0</v>
      </c>
      <c r="E157" s="36"/>
      <c r="F157" s="36"/>
      <c r="G157" s="36"/>
      <c r="H157" s="8"/>
      <c r="I157" s="339" t="str">
        <f t="shared" si="41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hidden="1" x14ac:dyDescent="0.2">
      <c r="A158" s="121" t="str">
        <f t="shared" si="42"/>
        <v>Të tjera transferta korrente të brendshme</v>
      </c>
      <c r="B158" s="1229">
        <f t="shared" si="42"/>
        <v>604</v>
      </c>
      <c r="C158" s="1230">
        <f t="shared" si="42"/>
        <v>0</v>
      </c>
      <c r="D158" s="1231">
        <f t="shared" si="42"/>
        <v>0</v>
      </c>
      <c r="E158" s="36"/>
      <c r="F158" s="36"/>
      <c r="G158" s="36"/>
      <c r="H158" s="52"/>
      <c r="I158" s="339" t="str">
        <f t="shared" si="41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hidden="1" x14ac:dyDescent="0.2">
      <c r="A159" s="121" t="str">
        <f t="shared" si="42"/>
        <v>Transferta korrente të huaja</v>
      </c>
      <c r="B159" s="1229">
        <f t="shared" si="42"/>
        <v>605</v>
      </c>
      <c r="C159" s="1230">
        <f t="shared" si="42"/>
        <v>0</v>
      </c>
      <c r="D159" s="1231">
        <f t="shared" si="42"/>
        <v>0</v>
      </c>
      <c r="E159" s="36"/>
      <c r="F159" s="36"/>
      <c r="G159" s="36"/>
      <c r="H159" s="52"/>
    </row>
    <row r="160" spans="1:15" ht="12.75" hidden="1" x14ac:dyDescent="0.2">
      <c r="A160" s="121" t="str">
        <f t="shared" si="42"/>
        <v>Transferta për Buxhetet Familiare dhe Individët</v>
      </c>
      <c r="B160" s="1229">
        <f t="shared" si="42"/>
        <v>606</v>
      </c>
      <c r="C160" s="1230">
        <f t="shared" si="42"/>
        <v>0</v>
      </c>
      <c r="D160" s="1231">
        <f t="shared" si="42"/>
        <v>0</v>
      </c>
      <c r="E160" s="36"/>
      <c r="F160" s="36"/>
      <c r="G160" s="3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hidden="1" x14ac:dyDescent="0.2">
      <c r="A161" s="121" t="str">
        <f t="shared" si="42"/>
        <v>Shpenzimet kapitale</v>
      </c>
      <c r="B161" s="1229" t="str">
        <f t="shared" si="42"/>
        <v>230 / 231</v>
      </c>
      <c r="C161" s="1230">
        <f t="shared" si="42"/>
        <v>0</v>
      </c>
      <c r="D161" s="1231">
        <f t="shared" si="42"/>
        <v>0</v>
      </c>
      <c r="E161" s="36"/>
      <c r="F161" s="36"/>
      <c r="G161" s="36"/>
      <c r="H161" s="52"/>
    </row>
    <row r="162" spans="1:15" ht="12.75" hidden="1" x14ac:dyDescent="0.2">
      <c r="A162" s="121" t="str">
        <f t="shared" si="42"/>
        <v>Rezerva</v>
      </c>
      <c r="B162" s="1229">
        <f t="shared" si="42"/>
        <v>609</v>
      </c>
      <c r="C162" s="1230">
        <f t="shared" si="42"/>
        <v>0</v>
      </c>
      <c r="D162" s="1231">
        <f t="shared" si="42"/>
        <v>0</v>
      </c>
      <c r="E162" s="36"/>
      <c r="F162" s="36"/>
      <c r="G162" s="36"/>
      <c r="H162" s="52"/>
    </row>
    <row r="163" spans="1:15" ht="12.75" hidden="1" x14ac:dyDescent="0.2">
      <c r="A163" s="121" t="str">
        <f t="shared" si="42"/>
        <v>Interesa per kredi direkte ose bono</v>
      </c>
      <c r="B163" s="1229">
        <f t="shared" si="42"/>
        <v>650</v>
      </c>
      <c r="C163" s="1230">
        <f t="shared" si="42"/>
        <v>0</v>
      </c>
      <c r="D163" s="1231">
        <f t="shared" si="42"/>
        <v>0</v>
      </c>
      <c r="E163" s="36"/>
      <c r="F163" s="36"/>
      <c r="G163" s="36"/>
      <c r="H163" s="52"/>
    </row>
    <row r="164" spans="1:15" ht="12.75" hidden="1" x14ac:dyDescent="0.2">
      <c r="A164" s="121" t="str">
        <f t="shared" si="42"/>
        <v>Të tjera</v>
      </c>
      <c r="B164" s="1229" t="str">
        <f t="shared" si="42"/>
        <v>69 / ?</v>
      </c>
      <c r="C164" s="1230">
        <f t="shared" si="42"/>
        <v>0</v>
      </c>
      <c r="D164" s="1231">
        <f t="shared" si="42"/>
        <v>0</v>
      </c>
      <c r="E164" s="36"/>
      <c r="F164" s="36"/>
      <c r="G164" s="36"/>
      <c r="H164" s="52"/>
      <c r="I164" s="1235" t="str">
        <f t="shared" ref="I164:O165" si="43">I86</f>
        <v>SHUMA E KËRKUAR NETO</v>
      </c>
      <c r="J164" s="1236">
        <f t="shared" si="43"/>
        <v>0</v>
      </c>
      <c r="K164" s="1236">
        <f t="shared" si="43"/>
        <v>0</v>
      </c>
      <c r="L164" s="1236">
        <f t="shared" si="43"/>
        <v>0</v>
      </c>
      <c r="M164" s="1236">
        <f t="shared" si="43"/>
        <v>0</v>
      </c>
      <c r="N164" s="1236">
        <f t="shared" si="43"/>
        <v>0</v>
      </c>
      <c r="O164" s="1237">
        <f t="shared" si="43"/>
        <v>0</v>
      </c>
    </row>
    <row r="165" spans="1:15" ht="12.75" hidden="1" customHeight="1" x14ac:dyDescent="0.2">
      <c r="A165" s="268" t="str">
        <f t="shared" si="42"/>
        <v>KOSTO DIREKTE PËR PROJEKTET DHE SHPENZIMET KAPITALE</v>
      </c>
      <c r="B165" s="1229">
        <f t="shared" si="42"/>
        <v>0</v>
      </c>
      <c r="C165" s="1230">
        <f t="shared" si="42"/>
        <v>0</v>
      </c>
      <c r="D165" s="1231">
        <f t="shared" si="42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3"/>
        <v>0</v>
      </c>
      <c r="J165" s="1239">
        <f t="shared" si="43"/>
        <v>0</v>
      </c>
      <c r="K165" s="1239">
        <f t="shared" si="43"/>
        <v>0</v>
      </c>
      <c r="L165" s="1239">
        <f t="shared" si="43"/>
        <v>0</v>
      </c>
      <c r="M165" s="1239">
        <f t="shared" si="43"/>
        <v>0</v>
      </c>
      <c r="N165" s="1239">
        <f t="shared" si="43"/>
        <v>0</v>
      </c>
      <c r="O165" s="1240">
        <f t="shared" si="43"/>
        <v>0</v>
      </c>
    </row>
    <row r="166" spans="1:15" ht="12.75" hidden="1" x14ac:dyDescent="0.2">
      <c r="A166" s="1226" t="str">
        <f t="shared" si="42"/>
        <v>SHPENZIME KORRENTE</v>
      </c>
      <c r="B166" s="1227">
        <f t="shared" si="42"/>
        <v>0</v>
      </c>
      <c r="C166" s="1227">
        <f t="shared" si="42"/>
        <v>0</v>
      </c>
      <c r="D166" s="1227">
        <f t="shared" si="42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4">B150-J160</f>
        <v>0</v>
      </c>
      <c r="K166" s="18">
        <f t="shared" si="44"/>
        <v>0</v>
      </c>
      <c r="L166" s="18">
        <f t="shared" si="44"/>
        <v>0</v>
      </c>
      <c r="M166" s="18">
        <f t="shared" si="44"/>
        <v>0</v>
      </c>
      <c r="N166" s="18">
        <f t="shared" si="44"/>
        <v>0</v>
      </c>
      <c r="O166" s="18">
        <f t="shared" si="44"/>
        <v>0</v>
      </c>
    </row>
    <row r="167" spans="1:15" ht="12.75" hidden="1" x14ac:dyDescent="0.2">
      <c r="A167" s="121" t="str">
        <f t="shared" si="42"/>
        <v>Pagat</v>
      </c>
      <c r="B167" s="1229">
        <f t="shared" si="42"/>
        <v>600</v>
      </c>
      <c r="C167" s="1230">
        <f t="shared" si="42"/>
        <v>0</v>
      </c>
      <c r="D167" s="1231">
        <f t="shared" si="42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hidden="1" x14ac:dyDescent="0.2">
      <c r="A168" s="121" t="str">
        <f t="shared" si="42"/>
        <v>Sigurimet Shoqërore</v>
      </c>
      <c r="B168" s="1229">
        <f t="shared" si="42"/>
        <v>601</v>
      </c>
      <c r="C168" s="1230">
        <f t="shared" si="42"/>
        <v>0</v>
      </c>
      <c r="D168" s="1231">
        <f t="shared" si="42"/>
        <v>0</v>
      </c>
      <c r="E168" s="36"/>
      <c r="F168" s="36"/>
      <c r="G168" s="36"/>
      <c r="H168" s="52"/>
    </row>
    <row r="169" spans="1:15" ht="12.75" hidden="1" x14ac:dyDescent="0.2">
      <c r="A169" s="121" t="str">
        <f t="shared" si="42"/>
        <v>Mallra dhe shërbime</v>
      </c>
      <c r="B169" s="1229">
        <f t="shared" si="42"/>
        <v>602</v>
      </c>
      <c r="C169" s="1230">
        <f t="shared" si="42"/>
        <v>0</v>
      </c>
      <c r="D169" s="1231">
        <f t="shared" si="42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hidden="1" x14ac:dyDescent="0.2">
      <c r="A170" s="121" t="str">
        <f t="shared" si="42"/>
        <v>Subvencione</v>
      </c>
      <c r="B170" s="1229">
        <f t="shared" si="42"/>
        <v>603</v>
      </c>
      <c r="C170" s="1230">
        <f t="shared" si="42"/>
        <v>0</v>
      </c>
      <c r="D170" s="1231">
        <f t="shared" si="42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hidden="1" x14ac:dyDescent="0.2">
      <c r="A171" s="121" t="str">
        <f t="shared" si="42"/>
        <v>Të tjera transferta korrente të brendshme</v>
      </c>
      <c r="B171" s="1229">
        <f t="shared" si="42"/>
        <v>604</v>
      </c>
      <c r="C171" s="1230">
        <f t="shared" si="42"/>
        <v>0</v>
      </c>
      <c r="D171" s="1231">
        <f t="shared" si="42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hidden="1" x14ac:dyDescent="0.2">
      <c r="A172" s="121" t="str">
        <f t="shared" si="42"/>
        <v>Transferta korrente të huaja</v>
      </c>
      <c r="B172" s="1229">
        <f t="shared" si="42"/>
        <v>605</v>
      </c>
      <c r="C172" s="1230">
        <f t="shared" si="42"/>
        <v>0</v>
      </c>
      <c r="D172" s="1231">
        <f t="shared" si="42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hidden="1" x14ac:dyDescent="0.2">
      <c r="A173" s="121" t="str">
        <f t="shared" si="42"/>
        <v>Transferta për Buxhetet Familiare dhe Individët</v>
      </c>
      <c r="B173" s="1229">
        <f t="shared" si="42"/>
        <v>606</v>
      </c>
      <c r="C173" s="1230">
        <f t="shared" si="42"/>
        <v>0</v>
      </c>
      <c r="D173" s="1231">
        <f t="shared" si="42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hidden="1" x14ac:dyDescent="0.2">
      <c r="A174" s="564" t="str">
        <f t="shared" si="42"/>
        <v>Shpenzimet kapitale</v>
      </c>
      <c r="B174" s="1256" t="str">
        <f t="shared" si="42"/>
        <v>230 / 231</v>
      </c>
      <c r="C174" s="1257">
        <f t="shared" si="42"/>
        <v>0</v>
      </c>
      <c r="D174" s="1258">
        <f t="shared" si="42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hidden="1" x14ac:dyDescent="0.2">
      <c r="A175" s="121" t="str">
        <f t="shared" si="42"/>
        <v>Rezerva</v>
      </c>
      <c r="B175" s="1229">
        <f t="shared" si="42"/>
        <v>609</v>
      </c>
      <c r="C175" s="1230">
        <f t="shared" si="42"/>
        <v>0</v>
      </c>
      <c r="D175" s="1231">
        <f t="shared" si="42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hidden="1" x14ac:dyDescent="0.2">
      <c r="A176" s="121" t="str">
        <f t="shared" si="42"/>
        <v>Interesa per kredi direkte ose bono</v>
      </c>
      <c r="B176" s="1259">
        <f t="shared" si="42"/>
        <v>650</v>
      </c>
      <c r="C176" s="1260">
        <f t="shared" si="42"/>
        <v>0</v>
      </c>
      <c r="D176" s="1261">
        <f t="shared" si="42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hidden="1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hidden="1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hidden="1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hidden="1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hidden="1" x14ac:dyDescent="0.2"/>
    <row r="182" spans="1:15" ht="12.75" hidden="1" x14ac:dyDescent="0.2"/>
    <row r="183" spans="1:15" ht="18.75" hidden="1" x14ac:dyDescent="0.2">
      <c r="A183" s="204" t="str">
        <f t="shared" ref="A183:O183" si="45">A66</f>
        <v>Nënfunksioni 6</v>
      </c>
      <c r="B183" s="1225" t="str">
        <f t="shared" si="45"/>
        <v>041 Çështjet e përgjithshme ekonomike, tregtare dhe të punës</v>
      </c>
      <c r="C183" s="1225">
        <f t="shared" si="45"/>
        <v>0</v>
      </c>
      <c r="D183" s="1225">
        <f t="shared" si="45"/>
        <v>0</v>
      </c>
      <c r="E183" s="1225">
        <f t="shared" si="45"/>
        <v>0</v>
      </c>
      <c r="F183" s="1225">
        <f t="shared" si="45"/>
        <v>0</v>
      </c>
      <c r="G183" s="1225">
        <f t="shared" si="45"/>
        <v>0</v>
      </c>
      <c r="H183" s="1225">
        <f t="shared" si="45"/>
        <v>0</v>
      </c>
      <c r="I183" s="1225">
        <f t="shared" si="45"/>
        <v>0</v>
      </c>
      <c r="J183" s="1225">
        <f t="shared" si="45"/>
        <v>0</v>
      </c>
      <c r="K183" s="1225">
        <f t="shared" si="45"/>
        <v>0</v>
      </c>
      <c r="L183" s="1225">
        <f t="shared" si="45"/>
        <v>0</v>
      </c>
      <c r="M183" s="1225">
        <f t="shared" si="45"/>
        <v>0</v>
      </c>
      <c r="N183" s="1225">
        <f t="shared" si="45"/>
        <v>0</v>
      </c>
      <c r="O183" s="1225">
        <f t="shared" si="45"/>
        <v>0</v>
      </c>
    </row>
    <row r="184" spans="1:15" ht="18.75" hidden="1" x14ac:dyDescent="0.2">
      <c r="A184" s="262" t="str">
        <f>A9</f>
        <v>Programi 6d</v>
      </c>
      <c r="B184" s="1225" t="str">
        <f>C9</f>
        <v>Mbështetja e Zhvillimit rajonal</v>
      </c>
      <c r="C184" s="1225" t="e">
        <f>#REF!</f>
        <v>#REF!</v>
      </c>
      <c r="D184" s="1225" t="e">
        <f>#REF!</f>
        <v>#REF!</v>
      </c>
      <c r="E184" s="1225" t="e">
        <f>#REF!</f>
        <v>#REF!</v>
      </c>
      <c r="F184" s="1225" t="e">
        <f>#REF!</f>
        <v>#REF!</v>
      </c>
      <c r="G184" s="1225" t="e">
        <f>#REF!</f>
        <v>#REF!</v>
      </c>
      <c r="H184" s="1225" t="e">
        <f>#REF!</f>
        <v>#REF!</v>
      </c>
      <c r="I184" s="1225" t="e">
        <f>#REF!</f>
        <v>#REF!</v>
      </c>
      <c r="J184" s="1225" t="e">
        <f>#REF!</f>
        <v>#REF!</v>
      </c>
      <c r="K184" s="1225" t="e">
        <f>#REF!</f>
        <v>#REF!</v>
      </c>
      <c r="L184" s="1225" t="e">
        <f>#REF!</f>
        <v>#REF!</v>
      </c>
      <c r="M184" s="1225" t="e">
        <f>#REF!</f>
        <v>#REF!</v>
      </c>
      <c r="N184" s="1225" t="e">
        <f>#REF!</f>
        <v>#REF!</v>
      </c>
      <c r="O184" s="1225" t="e">
        <f>#REF!</f>
        <v>#REF!</v>
      </c>
    </row>
    <row r="185" spans="1:15" ht="18.75" hidden="1" x14ac:dyDescent="0.2">
      <c r="A185" s="562" t="str">
        <f>'(B3) Struktura Funksionale'!B38</f>
        <v>04132</v>
      </c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6"/>
    </row>
    <row r="186" spans="1:15" ht="22.5" hidden="1" customHeight="1" x14ac:dyDescent="0.2">
      <c r="A186" s="1252" t="str">
        <f t="shared" ref="A186:G186" si="46">A69</f>
        <v>SHPENZIME TË PRITSHME</v>
      </c>
      <c r="B186" s="1253">
        <f t="shared" si="46"/>
        <v>0</v>
      </c>
      <c r="C186" s="1253">
        <f t="shared" si="46"/>
        <v>0</v>
      </c>
      <c r="D186" s="1253">
        <f t="shared" si="46"/>
        <v>0</v>
      </c>
      <c r="E186" s="1253">
        <f t="shared" si="46"/>
        <v>0</v>
      </c>
      <c r="F186" s="1253">
        <f t="shared" si="46"/>
        <v>0</v>
      </c>
      <c r="G186" s="1254">
        <f t="shared" si="46"/>
        <v>0</v>
      </c>
      <c r="H186" s="128"/>
      <c r="I186" s="1255" t="str">
        <f t="shared" ref="I186:O186" si="47">I69</f>
        <v xml:space="preserve">TË ARDHURAT E PRITSHME </v>
      </c>
      <c r="J186" s="1253">
        <f t="shared" si="47"/>
        <v>0</v>
      </c>
      <c r="K186" s="1253">
        <f t="shared" si="47"/>
        <v>0</v>
      </c>
      <c r="L186" s="1253">
        <f t="shared" si="47"/>
        <v>0</v>
      </c>
      <c r="M186" s="1253">
        <f t="shared" si="47"/>
        <v>0</v>
      </c>
      <c r="N186" s="1253">
        <f t="shared" si="47"/>
        <v>0</v>
      </c>
      <c r="O186" s="1254">
        <f t="shared" si="47"/>
        <v>0</v>
      </c>
    </row>
    <row r="187" spans="1:15" ht="21.75" hidden="1" customHeight="1" x14ac:dyDescent="0.2">
      <c r="A187" s="202"/>
      <c r="B187" s="363">
        <f t="shared" ref="B187:G187" si="48">B70</f>
        <v>2019</v>
      </c>
      <c r="C187" s="363">
        <f t="shared" si="48"/>
        <v>2020</v>
      </c>
      <c r="D187" s="363">
        <f t="shared" si="48"/>
        <v>2021</v>
      </c>
      <c r="E187" s="238">
        <f t="shared" si="48"/>
        <v>2022</v>
      </c>
      <c r="F187" s="238">
        <f t="shared" si="48"/>
        <v>2023</v>
      </c>
      <c r="G187" s="238">
        <f t="shared" si="48"/>
        <v>2024</v>
      </c>
      <c r="H187" s="203"/>
      <c r="I187" s="360"/>
      <c r="J187" s="363">
        <f t="shared" ref="J187:O187" si="49">J70</f>
        <v>2019</v>
      </c>
      <c r="K187" s="363">
        <f t="shared" si="49"/>
        <v>2020</v>
      </c>
      <c r="L187" s="363">
        <f t="shared" si="49"/>
        <v>2021</v>
      </c>
      <c r="M187" s="238">
        <f t="shared" si="49"/>
        <v>2022</v>
      </c>
      <c r="N187" s="238">
        <f t="shared" si="49"/>
        <v>2023</v>
      </c>
      <c r="O187" s="238">
        <f t="shared" si="49"/>
        <v>2024</v>
      </c>
    </row>
    <row r="188" spans="1:15" ht="12.75" hidden="1" x14ac:dyDescent="0.2">
      <c r="A188" s="377"/>
      <c r="B188" s="370"/>
      <c r="C188" s="303"/>
      <c r="D188" s="304"/>
      <c r="E188" s="378"/>
      <c r="F188" s="378"/>
      <c r="G188" s="379"/>
      <c r="H188" s="128"/>
      <c r="I188" s="302"/>
      <c r="J188" s="1250"/>
      <c r="K188" s="1250"/>
      <c r="L188" s="375"/>
      <c r="M188" s="375"/>
      <c r="N188" s="375"/>
      <c r="O188" s="376"/>
    </row>
    <row r="189" spans="1:15" ht="12.75" hidden="1" x14ac:dyDescent="0.2">
      <c r="A189" s="134" t="str">
        <f>A72</f>
        <v>SHPENZIME TË PRITSHME</v>
      </c>
      <c r="B189" s="33">
        <f>VLOOKUP(A184,'(C1) Shpenzimet vitet e kaluara'!A$9:O$177,5,FALSE)</f>
        <v>0</v>
      </c>
      <c r="C189" s="33">
        <f>VLOOKUP(A184,'(C1) Shpenzimet vitet e kaluara'!A$9:O$177,9,FALSE)</f>
        <v>0</v>
      </c>
      <c r="D189" s="33">
        <f>VLOOKUP(A184,'(C1) Shpenzimet vitet e kaluara'!A$9:O$177,13,FALSE)</f>
        <v>0</v>
      </c>
      <c r="E189" s="36"/>
      <c r="F189" s="36"/>
      <c r="G189" s="36"/>
      <c r="H189" s="128"/>
      <c r="I189" s="1226" t="str">
        <f t="shared" ref="I189:O189" si="50">I72</f>
        <v>VLERËSIM I ARDHURAVE NGA TARIFAT</v>
      </c>
      <c r="J189" s="1227">
        <f t="shared" si="50"/>
        <v>0</v>
      </c>
      <c r="K189" s="1227">
        <f t="shared" si="50"/>
        <v>0</v>
      </c>
      <c r="L189" s="1227">
        <f t="shared" si="50"/>
        <v>0</v>
      </c>
      <c r="M189" s="1227">
        <f t="shared" si="50"/>
        <v>0</v>
      </c>
      <c r="N189" s="1227">
        <f t="shared" si="50"/>
        <v>0</v>
      </c>
      <c r="O189" s="1228">
        <f t="shared" si="50"/>
        <v>0</v>
      </c>
    </row>
    <row r="190" spans="1:15" ht="12.75" hidden="1" x14ac:dyDescent="0.2">
      <c r="A190" s="122"/>
      <c r="B190" s="201"/>
      <c r="C190" s="123"/>
      <c r="D190" s="123"/>
      <c r="E190" s="10"/>
      <c r="F190" s="10"/>
      <c r="G190" s="130"/>
      <c r="H190" s="10"/>
      <c r="I190" s="134" t="str">
        <f>I73</f>
        <v>VLERËSIM I ARDHURAVE NGA TARIFAT</v>
      </c>
      <c r="J190" s="34">
        <f>VLOOKUP($A184,'(C1) Shpenzimet vitet e kaluara'!$A$9:$O$177,6,FALSE)</f>
        <v>0</v>
      </c>
      <c r="K190" s="34">
        <f>VLOOKUP($A184,'(C1) Shpenzimet vitet e kaluara'!$A$9:$O$177,10,FALSE)</f>
        <v>0</v>
      </c>
      <c r="L190" s="34">
        <f>VLOOKUP($A184,'(C1) Shpenzimet vitet e kaluara'!$A$9:$O$177,14,FALSE)</f>
        <v>0</v>
      </c>
      <c r="M190" s="36"/>
      <c r="N190" s="36"/>
      <c r="O190" s="36"/>
    </row>
    <row r="191" spans="1:15" ht="12.75" hidden="1" x14ac:dyDescent="0.2">
      <c r="A191" s="1232" t="str">
        <f t="shared" ref="A191:G192" si="51">A74</f>
        <v>SHPENZIME TË PRITSHME</v>
      </c>
      <c r="B191" s="1233">
        <f t="shared" si="51"/>
        <v>0</v>
      </c>
      <c r="C191" s="1233">
        <f t="shared" si="51"/>
        <v>0</v>
      </c>
      <c r="D191" s="1233">
        <f t="shared" si="51"/>
        <v>0</v>
      </c>
      <c r="E191" s="1233">
        <f t="shared" si="51"/>
        <v>0</v>
      </c>
      <c r="F191" s="1233">
        <f t="shared" si="51"/>
        <v>0</v>
      </c>
      <c r="G191" s="1234">
        <f t="shared" si="51"/>
        <v>0</v>
      </c>
      <c r="H191" s="10"/>
    </row>
    <row r="192" spans="1:15" ht="12.75" hidden="1" x14ac:dyDescent="0.2">
      <c r="A192" s="1226" t="str">
        <f t="shared" si="51"/>
        <v>KOSTO DIREKTE PËR PROJEKTET DHE SHPENZIMET KAPITALE</v>
      </c>
      <c r="B192" s="1227">
        <f t="shared" si="51"/>
        <v>0</v>
      </c>
      <c r="C192" s="1227">
        <f t="shared" si="51"/>
        <v>0</v>
      </c>
      <c r="D192" s="1227">
        <f t="shared" si="51"/>
        <v>0</v>
      </c>
      <c r="E192" s="1227">
        <f t="shared" si="51"/>
        <v>0</v>
      </c>
      <c r="F192" s="1227">
        <f t="shared" si="51"/>
        <v>0</v>
      </c>
      <c r="G192" s="1228">
        <f t="shared" si="51"/>
        <v>0</v>
      </c>
      <c r="H192" s="30"/>
      <c r="I192" s="1226" t="str">
        <f t="shared" ref="I192:I197" si="52">I75</f>
        <v>VLERËSIMI I TË ARDHURAVE ME DESTINACION</v>
      </c>
      <c r="J192" s="1227"/>
      <c r="K192" s="1227"/>
      <c r="L192" s="1227"/>
      <c r="M192" s="1227"/>
      <c r="N192" s="1227"/>
      <c r="O192" s="1228"/>
    </row>
    <row r="193" spans="1:15" ht="12.75" hidden="1" x14ac:dyDescent="0.2">
      <c r="A193" s="121" t="str">
        <f t="shared" ref="A193:D215" si="53">A76</f>
        <v>Pagat</v>
      </c>
      <c r="B193" s="1229">
        <f t="shared" si="53"/>
        <v>600</v>
      </c>
      <c r="C193" s="1230">
        <f t="shared" si="53"/>
        <v>0</v>
      </c>
      <c r="D193" s="1231">
        <f t="shared" si="53"/>
        <v>0</v>
      </c>
      <c r="E193" s="36"/>
      <c r="F193" s="36"/>
      <c r="G193" s="36"/>
      <c r="H193" s="30"/>
      <c r="I193" s="339" t="str">
        <f t="shared" si="52"/>
        <v>Transferta e kushtëzuar</v>
      </c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 t="str">
        <f t="shared" si="53"/>
        <v>Sigurimet Shoqërore</v>
      </c>
      <c r="B194" s="1229">
        <f t="shared" si="53"/>
        <v>601</v>
      </c>
      <c r="C194" s="1230">
        <f t="shared" si="53"/>
        <v>0</v>
      </c>
      <c r="D194" s="1231">
        <f t="shared" si="53"/>
        <v>0</v>
      </c>
      <c r="E194" s="36"/>
      <c r="F194" s="36"/>
      <c r="G194" s="36"/>
      <c r="H194" s="30"/>
      <c r="I194" s="339" t="str">
        <f t="shared" si="52"/>
        <v>Trasferta Specifike</v>
      </c>
      <c r="J194" s="336"/>
      <c r="K194" s="338"/>
      <c r="L194" s="337"/>
      <c r="M194" s="125"/>
      <c r="N194" s="125"/>
      <c r="O194" s="129"/>
    </row>
    <row r="195" spans="1:15" ht="12.75" hidden="1" x14ac:dyDescent="0.2">
      <c r="A195" s="121" t="str">
        <f t="shared" si="53"/>
        <v>Mallra dhe shërbime</v>
      </c>
      <c r="B195" s="1229">
        <f t="shared" si="53"/>
        <v>602</v>
      </c>
      <c r="C195" s="1230">
        <f t="shared" si="53"/>
        <v>0</v>
      </c>
      <c r="D195" s="1231">
        <f t="shared" si="53"/>
        <v>0</v>
      </c>
      <c r="E195" s="36"/>
      <c r="F195" s="36"/>
      <c r="G195" s="36"/>
      <c r="H195" s="52"/>
      <c r="I195" s="339" t="str">
        <f t="shared" si="52"/>
        <v>Trashëgimi me destinacion</v>
      </c>
      <c r="J195" s="336"/>
      <c r="K195" s="338"/>
      <c r="L195" s="337"/>
      <c r="M195" s="264">
        <f>VLOOKUP($A184,'(C4) Trashëgimi me destinacion'!$A$8:$F$168,4,FALSE)</f>
        <v>0</v>
      </c>
      <c r="N195" s="479">
        <f>VLOOKUP($A184,'(C4) Trashëgimi me destinacion'!$A$8:$F$168,5,FALSE)</f>
        <v>0</v>
      </c>
      <c r="O195" s="479">
        <f>VLOOKUP($A184,'(C4) Trashëgimi me destinacion'!$A$8:$F$168,6,FALSE)</f>
        <v>0</v>
      </c>
    </row>
    <row r="196" spans="1:15" ht="12.75" hidden="1" x14ac:dyDescent="0.2">
      <c r="A196" s="121" t="str">
        <f t="shared" si="53"/>
        <v>Subvencione</v>
      </c>
      <c r="B196" s="1229">
        <f t="shared" si="53"/>
        <v>603</v>
      </c>
      <c r="C196" s="1230">
        <f t="shared" si="53"/>
        <v>0</v>
      </c>
      <c r="D196" s="1231">
        <f t="shared" si="53"/>
        <v>0</v>
      </c>
      <c r="E196" s="36"/>
      <c r="F196" s="36"/>
      <c r="G196" s="36"/>
      <c r="H196" s="8"/>
      <c r="I196" s="339" t="str">
        <f t="shared" si="52"/>
        <v>Burime të tjera (përfshirë gjobat)</v>
      </c>
      <c r="J196" s="336"/>
      <c r="K196" s="338"/>
      <c r="L196" s="337"/>
      <c r="M196" s="125"/>
      <c r="N196" s="125"/>
      <c r="O196" s="129"/>
    </row>
    <row r="197" spans="1:15" ht="12.75" hidden="1" x14ac:dyDescent="0.2">
      <c r="A197" s="121" t="str">
        <f t="shared" si="53"/>
        <v>Të tjera transferta korrente të brendshme</v>
      </c>
      <c r="B197" s="1229">
        <f t="shared" si="53"/>
        <v>604</v>
      </c>
      <c r="C197" s="1230">
        <f t="shared" si="53"/>
        <v>0</v>
      </c>
      <c r="D197" s="1231">
        <f t="shared" si="53"/>
        <v>0</v>
      </c>
      <c r="E197" s="36"/>
      <c r="F197" s="36"/>
      <c r="G197" s="36"/>
      <c r="H197" s="52"/>
      <c r="I197" s="339" t="str">
        <f t="shared" si="52"/>
        <v>VLERËSIMI I TË ARDHURAVE ME DESTINACION</v>
      </c>
      <c r="J197" s="34">
        <f>VLOOKUP($A184,'(C1) Shpenzimet vitet e kaluara'!$A$9:$O$177,7,FALSE)</f>
        <v>0</v>
      </c>
      <c r="K197" s="34">
        <f>VLOOKUP($A184,'(C1) Shpenzimet vitet e kaluara'!$A$9:$O$177,11,FALSE)</f>
        <v>0</v>
      </c>
      <c r="L197" s="34">
        <f>VLOOKUP($A184,'(C1) Shpenzimet vitet e kaluara'!$A$9:$O$177,15,FALSE)</f>
        <v>0</v>
      </c>
      <c r="M197" s="126">
        <f>SUM(M193:M196)</f>
        <v>0</v>
      </c>
      <c r="N197" s="126">
        <f>SUM(N193:N196)</f>
        <v>0</v>
      </c>
      <c r="O197" s="126">
        <f>SUM(O193:O196)</f>
        <v>0</v>
      </c>
    </row>
    <row r="198" spans="1:15" ht="12.75" hidden="1" x14ac:dyDescent="0.2">
      <c r="A198" s="121" t="str">
        <f t="shared" si="53"/>
        <v>Transferta korrente të huaja</v>
      </c>
      <c r="B198" s="1229">
        <f t="shared" si="53"/>
        <v>605</v>
      </c>
      <c r="C198" s="1230">
        <f t="shared" si="53"/>
        <v>0</v>
      </c>
      <c r="D198" s="1231">
        <f t="shared" si="53"/>
        <v>0</v>
      </c>
      <c r="E198" s="36"/>
      <c r="F198" s="36"/>
      <c r="G198" s="36"/>
      <c r="H198" s="52"/>
    </row>
    <row r="199" spans="1:15" ht="12.75" hidden="1" x14ac:dyDescent="0.2">
      <c r="A199" s="121" t="str">
        <f t="shared" si="53"/>
        <v>Transferta për Buxhetet Familiare dhe Individët</v>
      </c>
      <c r="B199" s="1229">
        <f t="shared" si="53"/>
        <v>606</v>
      </c>
      <c r="C199" s="1230">
        <f t="shared" si="53"/>
        <v>0</v>
      </c>
      <c r="D199" s="1231">
        <f t="shared" si="53"/>
        <v>0</v>
      </c>
      <c r="E199" s="36"/>
      <c r="F199" s="36"/>
      <c r="G199" s="36"/>
      <c r="H199" s="52"/>
      <c r="I199" s="134" t="str">
        <f>I82</f>
        <v xml:space="preserve">TË ARDHURAT E PRITSHME </v>
      </c>
      <c r="J199" s="33">
        <f>J190+J197</f>
        <v>0</v>
      </c>
      <c r="K199" s="33">
        <f>K190+K197</f>
        <v>0</v>
      </c>
      <c r="L199" s="33">
        <f>L190+L197</f>
        <v>0</v>
      </c>
      <c r="M199" s="126">
        <f>M197+M190</f>
        <v>0</v>
      </c>
      <c r="N199" s="126">
        <f>N197+N190</f>
        <v>0</v>
      </c>
      <c r="O199" s="126">
        <f>O197+O190</f>
        <v>0</v>
      </c>
    </row>
    <row r="200" spans="1:15" ht="12.75" hidden="1" x14ac:dyDescent="0.2">
      <c r="A200" s="121" t="str">
        <f t="shared" si="53"/>
        <v>Shpenzimet kapitale</v>
      </c>
      <c r="B200" s="1229" t="str">
        <f t="shared" si="53"/>
        <v>230 / 231</v>
      </c>
      <c r="C200" s="1230">
        <f t="shared" si="53"/>
        <v>0</v>
      </c>
      <c r="D200" s="1231">
        <f t="shared" si="53"/>
        <v>0</v>
      </c>
      <c r="E200" s="36"/>
      <c r="F200" s="36"/>
      <c r="G200" s="36"/>
      <c r="H200" s="52"/>
    </row>
    <row r="201" spans="1:15" ht="12.75" hidden="1" x14ac:dyDescent="0.2">
      <c r="A201" s="121" t="str">
        <f t="shared" si="53"/>
        <v>Rezerva</v>
      </c>
      <c r="B201" s="1229">
        <f t="shared" si="53"/>
        <v>609</v>
      </c>
      <c r="C201" s="1230">
        <f t="shared" si="53"/>
        <v>0</v>
      </c>
      <c r="D201" s="1231">
        <f t="shared" si="53"/>
        <v>0</v>
      </c>
      <c r="E201" s="36"/>
      <c r="F201" s="36"/>
      <c r="G201" s="36"/>
      <c r="H201" s="52"/>
    </row>
    <row r="202" spans="1:15" ht="12.75" hidden="1" x14ac:dyDescent="0.2">
      <c r="A202" s="121" t="str">
        <f t="shared" si="53"/>
        <v>Interesa per kredi direkte ose bono</v>
      </c>
      <c r="B202" s="1229">
        <f t="shared" si="53"/>
        <v>650</v>
      </c>
      <c r="C202" s="1230">
        <f t="shared" si="53"/>
        <v>0</v>
      </c>
      <c r="D202" s="1231">
        <f t="shared" si="53"/>
        <v>0</v>
      </c>
      <c r="E202" s="36"/>
      <c r="F202" s="36"/>
      <c r="G202" s="36"/>
      <c r="H202" s="52"/>
    </row>
    <row r="203" spans="1:15" ht="12.75" hidden="1" x14ac:dyDescent="0.2">
      <c r="A203" s="121" t="str">
        <f t="shared" si="53"/>
        <v>Të tjera</v>
      </c>
      <c r="B203" s="1229" t="str">
        <f t="shared" si="53"/>
        <v>69 / ?</v>
      </c>
      <c r="C203" s="1230">
        <f t="shared" si="53"/>
        <v>0</v>
      </c>
      <c r="D203" s="1231">
        <f t="shared" si="53"/>
        <v>0</v>
      </c>
      <c r="E203" s="36"/>
      <c r="F203" s="36"/>
      <c r="G203" s="36"/>
      <c r="H203" s="52"/>
      <c r="I203" s="1235" t="str">
        <f t="shared" ref="I203:O204" si="54">I86</f>
        <v>SHUMA E KËRKUAR NETO</v>
      </c>
      <c r="J203" s="1236">
        <f t="shared" si="54"/>
        <v>0</v>
      </c>
      <c r="K203" s="1236">
        <f t="shared" si="54"/>
        <v>0</v>
      </c>
      <c r="L203" s="1236">
        <f t="shared" si="54"/>
        <v>0</v>
      </c>
      <c r="M203" s="1236">
        <f t="shared" si="54"/>
        <v>0</v>
      </c>
      <c r="N203" s="1236">
        <f t="shared" si="54"/>
        <v>0</v>
      </c>
      <c r="O203" s="1237">
        <f t="shared" si="54"/>
        <v>0</v>
      </c>
    </row>
    <row r="204" spans="1:15" ht="12.75" hidden="1" customHeight="1" x14ac:dyDescent="0.2">
      <c r="A204" s="268" t="str">
        <f t="shared" si="53"/>
        <v>KOSTO DIREKTE PËR PROJEKTET DHE SHPENZIMET KAPITALE</v>
      </c>
      <c r="B204" s="1229">
        <f t="shared" si="53"/>
        <v>0</v>
      </c>
      <c r="C204" s="1230">
        <f t="shared" si="53"/>
        <v>0</v>
      </c>
      <c r="D204" s="1231">
        <f t="shared" si="53"/>
        <v>0</v>
      </c>
      <c r="E204" s="126">
        <f>SUM(E193:E203)</f>
        <v>0</v>
      </c>
      <c r="F204" s="126">
        <f>SUM(F193:F203)</f>
        <v>0</v>
      </c>
      <c r="G204" s="126">
        <f>SUM(G193:G203)</f>
        <v>0</v>
      </c>
      <c r="H204" s="52"/>
      <c r="I204" s="1238">
        <f t="shared" si="54"/>
        <v>0</v>
      </c>
      <c r="J204" s="1239">
        <f t="shared" si="54"/>
        <v>0</v>
      </c>
      <c r="K204" s="1239">
        <f t="shared" si="54"/>
        <v>0</v>
      </c>
      <c r="L204" s="1239">
        <f t="shared" si="54"/>
        <v>0</v>
      </c>
      <c r="M204" s="1239">
        <f t="shared" si="54"/>
        <v>0</v>
      </c>
      <c r="N204" s="1239">
        <f t="shared" si="54"/>
        <v>0</v>
      </c>
      <c r="O204" s="1240">
        <f t="shared" si="54"/>
        <v>0</v>
      </c>
    </row>
    <row r="205" spans="1:15" ht="12.75" hidden="1" x14ac:dyDescent="0.2">
      <c r="A205" s="1226" t="str">
        <f t="shared" si="53"/>
        <v>SHPENZIME KORRENTE</v>
      </c>
      <c r="B205" s="1227">
        <f t="shared" si="53"/>
        <v>0</v>
      </c>
      <c r="C205" s="1227">
        <f t="shared" si="53"/>
        <v>0</v>
      </c>
      <c r="D205" s="1227">
        <f t="shared" si="53"/>
        <v>0</v>
      </c>
      <c r="E205" s="1227">
        <f>E88</f>
        <v>0</v>
      </c>
      <c r="F205" s="1227">
        <f>F88</f>
        <v>0</v>
      </c>
      <c r="G205" s="1228">
        <f>G88</f>
        <v>0</v>
      </c>
      <c r="H205" s="52"/>
      <c r="I205" s="17" t="str">
        <f>I88</f>
        <v>SHUMA E KËRKUAR NETO</v>
      </c>
      <c r="J205" s="18">
        <f t="shared" ref="J205:O205" si="55">B189-J199</f>
        <v>0</v>
      </c>
      <c r="K205" s="18">
        <f t="shared" si="55"/>
        <v>0</v>
      </c>
      <c r="L205" s="18">
        <f t="shared" si="55"/>
        <v>0</v>
      </c>
      <c r="M205" s="18">
        <f t="shared" si="55"/>
        <v>0</v>
      </c>
      <c r="N205" s="18">
        <f t="shared" si="55"/>
        <v>0</v>
      </c>
      <c r="O205" s="18">
        <f t="shared" si="55"/>
        <v>0</v>
      </c>
    </row>
    <row r="206" spans="1:15" ht="12.75" hidden="1" x14ac:dyDescent="0.2">
      <c r="A206" s="121" t="str">
        <f t="shared" si="53"/>
        <v>Pagat</v>
      </c>
      <c r="B206" s="1229">
        <f t="shared" si="53"/>
        <v>600</v>
      </c>
      <c r="C206" s="1230">
        <f t="shared" si="53"/>
        <v>0</v>
      </c>
      <c r="D206" s="1231">
        <f t="shared" si="53"/>
        <v>0</v>
      </c>
      <c r="E206" s="36"/>
      <c r="F206" s="36"/>
      <c r="G206" s="36"/>
      <c r="H206" s="52"/>
      <c r="I206" s="52"/>
      <c r="J206" s="52"/>
      <c r="K206" s="52"/>
      <c r="L206" s="14"/>
      <c r="M206" s="53"/>
    </row>
    <row r="207" spans="1:15" ht="12.75" hidden="1" x14ac:dyDescent="0.2">
      <c r="A207" s="121" t="str">
        <f t="shared" si="53"/>
        <v>Sigurimet Shoqërore</v>
      </c>
      <c r="B207" s="1229">
        <f t="shared" si="53"/>
        <v>601</v>
      </c>
      <c r="C207" s="1230">
        <f t="shared" si="53"/>
        <v>0</v>
      </c>
      <c r="D207" s="1231">
        <f t="shared" si="53"/>
        <v>0</v>
      </c>
      <c r="E207" s="36"/>
      <c r="F207" s="36"/>
      <c r="G207" s="36"/>
      <c r="H207" s="52"/>
    </row>
    <row r="208" spans="1:15" ht="12.75" hidden="1" x14ac:dyDescent="0.2">
      <c r="A208" s="121" t="str">
        <f t="shared" si="53"/>
        <v>Mallra dhe shërbime</v>
      </c>
      <c r="B208" s="1229">
        <f t="shared" si="53"/>
        <v>602</v>
      </c>
      <c r="C208" s="1230">
        <f t="shared" si="53"/>
        <v>0</v>
      </c>
      <c r="D208" s="1231">
        <f t="shared" si="53"/>
        <v>0</v>
      </c>
      <c r="E208" s="36"/>
      <c r="F208" s="36"/>
      <c r="G208" s="36"/>
      <c r="H208" s="52"/>
      <c r="I208" s="239" t="str">
        <f>I169</f>
        <v>Angazhimet</v>
      </c>
      <c r="J208" s="1290" t="str">
        <f>J169</f>
        <v>Vlera Totale për Aktivitet</v>
      </c>
      <c r="K208" s="1291"/>
      <c r="L208" s="1292"/>
      <c r="M208" s="126">
        <f>VLOOKUP($A184,'(C5) Angazhimet'!$A$8:$F$168,4,FALSE)</f>
        <v>0</v>
      </c>
      <c r="N208" s="126">
        <f>VLOOKUP($A184,'(C5) Angazhimet'!$A$8:$F$168,5,FALSE)</f>
        <v>0</v>
      </c>
      <c r="O208" s="126">
        <f>VLOOKUP($A184,'(C5) Angazhimet'!$A$8:$F$168,6,FALSE)</f>
        <v>0</v>
      </c>
    </row>
    <row r="209" spans="1:15" ht="12.75" hidden="1" x14ac:dyDescent="0.2">
      <c r="A209" s="121" t="str">
        <f t="shared" si="53"/>
        <v>Subvencione</v>
      </c>
      <c r="B209" s="1229">
        <f t="shared" si="53"/>
        <v>603</v>
      </c>
      <c r="C209" s="1230">
        <f t="shared" si="53"/>
        <v>0</v>
      </c>
      <c r="D209" s="1231">
        <f t="shared" si="53"/>
        <v>0</v>
      </c>
      <c r="E209" s="36"/>
      <c r="F209" s="36"/>
      <c r="G209" s="36"/>
      <c r="H209" s="52"/>
      <c r="I209" s="279" t="str">
        <f>I170</f>
        <v>Qëllime</v>
      </c>
      <c r="J209" s="1290" t="str">
        <f>J170</f>
        <v>Shpenzimet kapitale</v>
      </c>
      <c r="K209" s="1291"/>
      <c r="L209" s="1292"/>
      <c r="M209" s="125"/>
      <c r="N209" s="125"/>
      <c r="O209" s="129"/>
    </row>
    <row r="210" spans="1:15" ht="12.75" hidden="1" x14ac:dyDescent="0.2">
      <c r="A210" s="121" t="str">
        <f t="shared" si="53"/>
        <v>Të tjera transferta korrente të brendshme</v>
      </c>
      <c r="B210" s="1229">
        <f t="shared" si="53"/>
        <v>604</v>
      </c>
      <c r="C210" s="1230">
        <f t="shared" si="53"/>
        <v>0</v>
      </c>
      <c r="D210" s="1231">
        <f t="shared" si="53"/>
        <v>0</v>
      </c>
      <c r="E210" s="36"/>
      <c r="F210" s="36"/>
      <c r="G210" s="36"/>
      <c r="H210" s="52"/>
      <c r="I210" s="276"/>
      <c r="J210" s="1290" t="str">
        <f>J171</f>
        <v>Mallra dhe shërbime</v>
      </c>
      <c r="K210" s="1291"/>
      <c r="L210" s="1292"/>
      <c r="M210" s="125"/>
      <c r="N210" s="125"/>
      <c r="O210" s="129"/>
    </row>
    <row r="211" spans="1:15" ht="12.75" hidden="1" x14ac:dyDescent="0.2">
      <c r="A211" s="121" t="str">
        <f t="shared" si="53"/>
        <v>Transferta korrente të huaja</v>
      </c>
      <c r="B211" s="1229">
        <f t="shared" si="53"/>
        <v>605</v>
      </c>
      <c r="C211" s="1230">
        <f t="shared" si="53"/>
        <v>0</v>
      </c>
      <c r="D211" s="1231">
        <f t="shared" si="53"/>
        <v>0</v>
      </c>
      <c r="E211" s="36"/>
      <c r="F211" s="36"/>
      <c r="G211" s="36"/>
      <c r="H211" s="52"/>
      <c r="I211" s="276"/>
      <c r="J211" s="1290" t="str">
        <f>J172</f>
        <v>Qëllime të mëtejshme</v>
      </c>
      <c r="K211" s="1291"/>
      <c r="L211" s="1292"/>
      <c r="M211" s="125"/>
      <c r="N211" s="125"/>
      <c r="O211" s="129"/>
    </row>
    <row r="212" spans="1:15" ht="12.75" hidden="1" x14ac:dyDescent="0.2">
      <c r="A212" s="121" t="str">
        <f t="shared" si="53"/>
        <v>Transferta për Buxhetet Familiare dhe Individët</v>
      </c>
      <c r="B212" s="1229">
        <f t="shared" si="53"/>
        <v>606</v>
      </c>
      <c r="C212" s="1230">
        <f t="shared" si="53"/>
        <v>0</v>
      </c>
      <c r="D212" s="1231">
        <f t="shared" si="53"/>
        <v>0</v>
      </c>
      <c r="E212" s="36"/>
      <c r="F212" s="36"/>
      <c r="G212" s="36"/>
      <c r="H212" s="52"/>
      <c r="I212" s="276"/>
      <c r="J212" s="1286"/>
      <c r="K212" s="1286"/>
      <c r="L212" s="1286"/>
      <c r="M212" s="300" t="str">
        <f>IF(SUM(M209:M211)=M208,"OK","STOP")</f>
        <v>OK</v>
      </c>
      <c r="N212" s="300" t="str">
        <f>IF(SUM(N209:N211)=N208,"OK","STOP")</f>
        <v>OK</v>
      </c>
      <c r="O212" s="300" t="str">
        <f>IF(SUM(O209:O211)=O208,"OK","STOP")</f>
        <v>OK</v>
      </c>
    </row>
    <row r="213" spans="1:15" ht="12.75" hidden="1" x14ac:dyDescent="0.2">
      <c r="A213" s="564" t="str">
        <f t="shared" si="53"/>
        <v>Shpenzimet kapitale</v>
      </c>
      <c r="B213" s="1256" t="str">
        <f t="shared" si="53"/>
        <v>230 / 231</v>
      </c>
      <c r="C213" s="1257">
        <f t="shared" si="53"/>
        <v>0</v>
      </c>
      <c r="D213" s="1258">
        <f t="shared" si="53"/>
        <v>0</v>
      </c>
      <c r="E213" s="126"/>
      <c r="F213" s="126"/>
      <c r="G213" s="126"/>
      <c r="H213" s="52"/>
      <c r="I213" s="367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2.75" hidden="1" x14ac:dyDescent="0.2">
      <c r="A214" s="121" t="str">
        <f t="shared" si="53"/>
        <v>Rezerva</v>
      </c>
      <c r="B214" s="1229">
        <f t="shared" si="53"/>
        <v>609</v>
      </c>
      <c r="C214" s="1230">
        <f t="shared" si="53"/>
        <v>0</v>
      </c>
      <c r="D214" s="1231">
        <f t="shared" si="53"/>
        <v>0</v>
      </c>
      <c r="E214" s="36"/>
      <c r="F214" s="36"/>
      <c r="G214" s="36"/>
      <c r="H214" s="52"/>
      <c r="I214" s="365">
        <f>M187</f>
        <v>2022</v>
      </c>
      <c r="J214" s="1271"/>
      <c r="K214" s="1272"/>
      <c r="L214" s="1272"/>
      <c r="M214" s="1272"/>
      <c r="N214" s="1272"/>
      <c r="O214" s="1273"/>
    </row>
    <row r="215" spans="1:15" ht="12.75" hidden="1" x14ac:dyDescent="0.2">
      <c r="A215" s="121" t="str">
        <f t="shared" si="53"/>
        <v>Interesa per kredi direkte ose bono</v>
      </c>
      <c r="B215" s="1259">
        <f t="shared" si="53"/>
        <v>650</v>
      </c>
      <c r="C215" s="1260">
        <f t="shared" si="53"/>
        <v>0</v>
      </c>
      <c r="D215" s="1261">
        <f t="shared" si="53"/>
        <v>0</v>
      </c>
      <c r="E215" s="36"/>
      <c r="F215" s="36"/>
      <c r="G215" s="36"/>
      <c r="H215" s="52"/>
      <c r="I215" s="366"/>
      <c r="J215" s="1274"/>
      <c r="K215" s="1275"/>
      <c r="L215" s="1275"/>
      <c r="M215" s="1275"/>
      <c r="N215" s="1275"/>
      <c r="O215" s="1276"/>
    </row>
    <row r="216" spans="1:15" ht="12.75" hidden="1" x14ac:dyDescent="0.2">
      <c r="A216" s="239" t="str">
        <f>A99</f>
        <v>Të tjera</v>
      </c>
      <c r="B216" s="1229" t="str">
        <f>B99</f>
        <v>69 / ?</v>
      </c>
      <c r="C216" s="1230">
        <f>C99</f>
        <v>0</v>
      </c>
      <c r="D216" s="273" t="str">
        <f>IF(OR(E216&lt;0,F216&lt;0,G216&lt;0),"STOP","OK!")</f>
        <v>OK!</v>
      </c>
      <c r="E216" s="127">
        <f>-E204+E189-(SUM(E206:E215))</f>
        <v>0</v>
      </c>
      <c r="F216" s="270">
        <f>-F204+F189-(SUM(F206:F215))</f>
        <v>0</v>
      </c>
      <c r="G216" s="270">
        <f>-G204+G189-(SUM(G206:G215))</f>
        <v>0</v>
      </c>
      <c r="H216" s="52"/>
      <c r="I216" s="365">
        <f>N187</f>
        <v>2023</v>
      </c>
      <c r="J216" s="1271"/>
      <c r="K216" s="1272"/>
      <c r="L216" s="1272"/>
      <c r="M216" s="1272"/>
      <c r="N216" s="1272"/>
      <c r="O216" s="1273"/>
    </row>
    <row r="217" spans="1:15" ht="12.75" hidden="1" x14ac:dyDescent="0.2">
      <c r="A217" s="121" t="str">
        <f>A100</f>
        <v>SHPENZIME KORRENTE</v>
      </c>
      <c r="B217" s="1262"/>
      <c r="C217" s="1263"/>
      <c r="D217" s="1264"/>
      <c r="E217" s="126">
        <f>SUM(E206:E216)</f>
        <v>0</v>
      </c>
      <c r="F217" s="126">
        <f>SUM(F206:F216)</f>
        <v>0</v>
      </c>
      <c r="G217" s="126">
        <f>SUM(G206:G216)</f>
        <v>0</v>
      </c>
      <c r="H217" s="52"/>
      <c r="I217" s="366"/>
      <c r="J217" s="1277"/>
      <c r="K217" s="1278"/>
      <c r="L217" s="1278"/>
      <c r="M217" s="1278"/>
      <c r="N217" s="1278"/>
      <c r="O217" s="1279"/>
    </row>
    <row r="218" spans="1:15" ht="12.75" hidden="1" x14ac:dyDescent="0.2">
      <c r="A218" s="122"/>
      <c r="B218" s="201"/>
      <c r="C218" s="123"/>
      <c r="D218" s="123"/>
      <c r="E218" s="10"/>
      <c r="F218" s="10"/>
      <c r="G218" s="130"/>
      <c r="H218" s="52"/>
      <c r="I218" s="365">
        <f>O187</f>
        <v>2024</v>
      </c>
      <c r="J218" s="1271"/>
      <c r="K218" s="1272"/>
      <c r="L218" s="1272"/>
      <c r="M218" s="1272"/>
      <c r="N218" s="1272"/>
      <c r="O218" s="1273"/>
    </row>
    <row r="219" spans="1:15" ht="12.75" hidden="1" x14ac:dyDescent="0.2">
      <c r="A219" s="134" t="str">
        <f>A102</f>
        <v>SHPENZIME TË PRITSHME</v>
      </c>
      <c r="B219" s="33">
        <f>B189</f>
        <v>0</v>
      </c>
      <c r="C219" s="33">
        <f>C189</f>
        <v>0</v>
      </c>
      <c r="D219" s="33">
        <f>D189</f>
        <v>0</v>
      </c>
      <c r="E219" s="126">
        <f>E204+E217</f>
        <v>0</v>
      </c>
      <c r="F219" s="126">
        <f>F204+F217</f>
        <v>0</v>
      </c>
      <c r="G219" s="126">
        <f>G204+G217</f>
        <v>0</v>
      </c>
      <c r="H219" s="52"/>
      <c r="I219" s="366"/>
      <c r="J219" s="1277"/>
      <c r="K219" s="1278"/>
      <c r="L219" s="1278"/>
      <c r="M219" s="1278"/>
      <c r="N219" s="1278"/>
      <c r="O219" s="1279"/>
    </row>
    <row r="220" spans="1:15" ht="17.25" hidden="1" customHeight="1" x14ac:dyDescent="0.2"/>
    <row r="221" spans="1:15" ht="17.25" hidden="1" customHeight="1" x14ac:dyDescent="0.2"/>
    <row r="222" spans="1:15" ht="17.25" customHeight="1" x14ac:dyDescent="0.2">
      <c r="A222" s="204" t="str">
        <f t="shared" ref="A222:O222" si="56">A66</f>
        <v>Nënfunksioni 6</v>
      </c>
      <c r="B222" s="1225" t="str">
        <f t="shared" si="56"/>
        <v>041 Çështjet e përgjithshme ekonomike, tregtare dhe të punës</v>
      </c>
      <c r="C222" s="1225">
        <f t="shared" si="56"/>
        <v>0</v>
      </c>
      <c r="D222" s="1225">
        <f t="shared" si="56"/>
        <v>0</v>
      </c>
      <c r="E222" s="1225">
        <f t="shared" si="56"/>
        <v>0</v>
      </c>
      <c r="F222" s="1225">
        <f t="shared" si="56"/>
        <v>0</v>
      </c>
      <c r="G222" s="1225">
        <f t="shared" si="56"/>
        <v>0</v>
      </c>
      <c r="H222" s="1225">
        <f t="shared" si="56"/>
        <v>0</v>
      </c>
      <c r="I222" s="1225">
        <f t="shared" si="56"/>
        <v>0</v>
      </c>
      <c r="J222" s="1225">
        <f t="shared" si="56"/>
        <v>0</v>
      </c>
      <c r="K222" s="1225">
        <f t="shared" si="56"/>
        <v>0</v>
      </c>
      <c r="L222" s="1225">
        <f t="shared" si="56"/>
        <v>0</v>
      </c>
      <c r="M222" s="1225">
        <f t="shared" si="56"/>
        <v>0</v>
      </c>
      <c r="N222" s="1225">
        <f t="shared" si="56"/>
        <v>0</v>
      </c>
      <c r="O222" s="1225">
        <f t="shared" si="56"/>
        <v>0</v>
      </c>
    </row>
    <row r="223" spans="1:15" ht="17.25" customHeight="1" x14ac:dyDescent="0.2">
      <c r="A223" s="262" t="str">
        <f>A10</f>
        <v>Programi 6e</v>
      </c>
      <c r="B223" s="1225" t="str">
        <f>C10</f>
        <v>Shërbimet e tregjeve, akreditimi dhe inspektimi</v>
      </c>
      <c r="C223" s="1225" t="e">
        <f>#REF!</f>
        <v>#REF!</v>
      </c>
      <c r="D223" s="1225" t="e">
        <f>#REF!</f>
        <v>#REF!</v>
      </c>
      <c r="E223" s="1225" t="e">
        <f>#REF!</f>
        <v>#REF!</v>
      </c>
      <c r="F223" s="1225" t="e">
        <f>#REF!</f>
        <v>#REF!</v>
      </c>
      <c r="G223" s="1225" t="e">
        <f>#REF!</f>
        <v>#REF!</v>
      </c>
      <c r="H223" s="1225" t="e">
        <f>#REF!</f>
        <v>#REF!</v>
      </c>
      <c r="I223" s="1225" t="e">
        <f>#REF!</f>
        <v>#REF!</v>
      </c>
      <c r="J223" s="1225" t="e">
        <f>#REF!</f>
        <v>#REF!</v>
      </c>
      <c r="K223" s="1225" t="e">
        <f>#REF!</f>
        <v>#REF!</v>
      </c>
      <c r="L223" s="1225" t="e">
        <f>#REF!</f>
        <v>#REF!</v>
      </c>
      <c r="M223" s="1225" t="e">
        <f>#REF!</f>
        <v>#REF!</v>
      </c>
      <c r="N223" s="1225" t="e">
        <f>#REF!</f>
        <v>#REF!</v>
      </c>
      <c r="O223" s="1225" t="e">
        <f>#REF!</f>
        <v>#REF!</v>
      </c>
    </row>
    <row r="224" spans="1:15" ht="17.25" customHeight="1" x14ac:dyDescent="0.2">
      <c r="A224" s="562" t="str">
        <f>'(B3) Struktura Funksionale'!B39</f>
        <v>04160</v>
      </c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  <c r="L224" s="485"/>
      <c r="M224" s="485"/>
      <c r="N224" s="485"/>
      <c r="O224" s="486"/>
    </row>
    <row r="225" spans="1:15" ht="21.75" customHeight="1" x14ac:dyDescent="0.2">
      <c r="A225" s="1252" t="str">
        <f t="shared" ref="A225:G225" si="57">A69</f>
        <v>SHPENZIME TË PRITSHME</v>
      </c>
      <c r="B225" s="1253">
        <f t="shared" si="57"/>
        <v>0</v>
      </c>
      <c r="C225" s="1253">
        <f t="shared" si="57"/>
        <v>0</v>
      </c>
      <c r="D225" s="1253">
        <f t="shared" si="57"/>
        <v>0</v>
      </c>
      <c r="E225" s="1253">
        <f t="shared" si="57"/>
        <v>0</v>
      </c>
      <c r="F225" s="1253">
        <f t="shared" si="57"/>
        <v>0</v>
      </c>
      <c r="G225" s="1254">
        <f t="shared" si="57"/>
        <v>0</v>
      </c>
      <c r="H225" s="128"/>
      <c r="I225" s="1255" t="str">
        <f t="shared" ref="I225:O225" si="58">I69</f>
        <v xml:space="preserve">TË ARDHURAT E PRITSHME </v>
      </c>
      <c r="J225" s="1253">
        <f t="shared" si="58"/>
        <v>0</v>
      </c>
      <c r="K225" s="1253">
        <f t="shared" si="58"/>
        <v>0</v>
      </c>
      <c r="L225" s="1253">
        <f t="shared" si="58"/>
        <v>0</v>
      </c>
      <c r="M225" s="1253">
        <f t="shared" si="58"/>
        <v>0</v>
      </c>
      <c r="N225" s="1253">
        <f t="shared" si="58"/>
        <v>0</v>
      </c>
      <c r="O225" s="1254">
        <f t="shared" si="58"/>
        <v>0</v>
      </c>
    </row>
    <row r="226" spans="1:15" ht="18.75" customHeight="1" x14ac:dyDescent="0.2">
      <c r="A226" s="202"/>
      <c r="B226" s="363">
        <f t="shared" ref="B226:G226" si="59">B70</f>
        <v>2019</v>
      </c>
      <c r="C226" s="363">
        <f t="shared" si="59"/>
        <v>2020</v>
      </c>
      <c r="D226" s="363">
        <f t="shared" si="59"/>
        <v>2021</v>
      </c>
      <c r="E226" s="238">
        <f t="shared" si="59"/>
        <v>2022</v>
      </c>
      <c r="F226" s="238">
        <f t="shared" si="59"/>
        <v>2023</v>
      </c>
      <c r="G226" s="238">
        <f t="shared" si="59"/>
        <v>2024</v>
      </c>
      <c r="H226" s="203"/>
      <c r="I226" s="360"/>
      <c r="J226" s="363">
        <f t="shared" ref="J226:O226" si="60">J70</f>
        <v>2019</v>
      </c>
      <c r="K226" s="363">
        <f t="shared" si="60"/>
        <v>2020</v>
      </c>
      <c r="L226" s="363">
        <f t="shared" si="60"/>
        <v>2021</v>
      </c>
      <c r="M226" s="238">
        <f t="shared" si="60"/>
        <v>2022</v>
      </c>
      <c r="N226" s="238">
        <f t="shared" si="60"/>
        <v>2023</v>
      </c>
      <c r="O226" s="238">
        <f t="shared" si="60"/>
        <v>2024</v>
      </c>
    </row>
    <row r="227" spans="1:15" ht="12.75" x14ac:dyDescent="0.2">
      <c r="A227" s="380"/>
      <c r="B227" s="200"/>
      <c r="C227" s="368"/>
      <c r="D227" s="281"/>
      <c r="E227" s="8"/>
      <c r="F227" s="8"/>
      <c r="G227" s="381"/>
      <c r="H227" s="128"/>
      <c r="I227" s="369"/>
      <c r="J227" s="305"/>
      <c r="K227" s="305"/>
      <c r="L227" s="305"/>
      <c r="M227" s="305"/>
      <c r="N227" s="305"/>
      <c r="O227" s="306"/>
    </row>
    <row r="228" spans="1:15" ht="12.75" x14ac:dyDescent="0.2">
      <c r="A228" s="134" t="str">
        <f>A72</f>
        <v>SHPENZIME TË PRITSHME</v>
      </c>
      <c r="B228" s="33">
        <f>VLOOKUP(A223,'(C1) Shpenzimet vitet e kaluara'!A$9:O$177,5,FALSE)</f>
        <v>0</v>
      </c>
      <c r="C228" s="33">
        <f>VLOOKUP(A223,'(C1) Shpenzimet vitet e kaluara'!A$9:O$177,9,FALSE)</f>
        <v>0</v>
      </c>
      <c r="D228" s="33">
        <f>VLOOKUP(A223,'(C1) Shpenzimet vitet e kaluara'!A$9:O$177,13,FALSE)</f>
        <v>0</v>
      </c>
      <c r="E228" s="36"/>
      <c r="F228" s="36"/>
      <c r="G228" s="36"/>
      <c r="H228" s="128"/>
      <c r="I228" s="1226" t="str">
        <f t="shared" ref="I228:O228" si="61">I72</f>
        <v>VLERËSIM I ARDHURAVE NGA TARIFAT</v>
      </c>
      <c r="J228" s="1227">
        <f t="shared" si="61"/>
        <v>0</v>
      </c>
      <c r="K228" s="1227">
        <f t="shared" si="61"/>
        <v>0</v>
      </c>
      <c r="L228" s="1227">
        <f t="shared" si="61"/>
        <v>0</v>
      </c>
      <c r="M228" s="1227">
        <f t="shared" si="61"/>
        <v>0</v>
      </c>
      <c r="N228" s="1227">
        <f t="shared" si="61"/>
        <v>0</v>
      </c>
      <c r="O228" s="1228">
        <f t="shared" si="61"/>
        <v>0</v>
      </c>
    </row>
    <row r="229" spans="1:15" ht="12.75" x14ac:dyDescent="0.2">
      <c r="A229" s="122"/>
      <c r="B229" s="201"/>
      <c r="C229" s="123"/>
      <c r="D229" s="123"/>
      <c r="E229" s="10"/>
      <c r="F229" s="10"/>
      <c r="G229" s="130"/>
      <c r="H229" s="10"/>
      <c r="I229" s="134" t="str">
        <f>I73</f>
        <v>VLERËSIM I ARDHURAVE NGA TARIFAT</v>
      </c>
      <c r="J229" s="34">
        <f>VLOOKUP($A223,'(C1) Shpenzimet vitet e kaluara'!$A$9:$O$177,6,FALSE)</f>
        <v>0</v>
      </c>
      <c r="K229" s="34">
        <f>VLOOKUP($A223,'(C1) Shpenzimet vitet e kaluara'!$A$9:$O$177,10,FALSE)</f>
        <v>0</v>
      </c>
      <c r="L229" s="34">
        <f>VLOOKUP($A223,'(C1) Shpenzimet vitet e kaluara'!$A$9:$O$177,14,FALSE)</f>
        <v>0</v>
      </c>
      <c r="M229" s="36"/>
      <c r="N229" s="36"/>
      <c r="O229" s="36"/>
    </row>
    <row r="230" spans="1:15" ht="12.75" x14ac:dyDescent="0.2">
      <c r="A230" s="1232" t="str">
        <f t="shared" ref="A230:G231" si="62">A74</f>
        <v>SHPENZIME TË PRITSHME</v>
      </c>
      <c r="B230" s="1233">
        <f t="shared" si="62"/>
        <v>0</v>
      </c>
      <c r="C230" s="1233">
        <f t="shared" si="62"/>
        <v>0</v>
      </c>
      <c r="D230" s="1233">
        <f t="shared" si="62"/>
        <v>0</v>
      </c>
      <c r="E230" s="1233">
        <f t="shared" si="62"/>
        <v>0</v>
      </c>
      <c r="F230" s="1233">
        <f t="shared" si="62"/>
        <v>0</v>
      </c>
      <c r="G230" s="1234">
        <f t="shared" si="62"/>
        <v>0</v>
      </c>
      <c r="H230" s="10"/>
    </row>
    <row r="231" spans="1:15" ht="12.75" x14ac:dyDescent="0.2">
      <c r="A231" s="1226" t="str">
        <f t="shared" si="62"/>
        <v>KOSTO DIREKTE PËR PROJEKTET DHE SHPENZIMET KAPITALE</v>
      </c>
      <c r="B231" s="1227">
        <f t="shared" si="62"/>
        <v>0</v>
      </c>
      <c r="C231" s="1227">
        <f t="shared" si="62"/>
        <v>0</v>
      </c>
      <c r="D231" s="1227">
        <f t="shared" si="62"/>
        <v>0</v>
      </c>
      <c r="E231" s="1227">
        <f t="shared" si="62"/>
        <v>0</v>
      </c>
      <c r="F231" s="1227">
        <f t="shared" si="62"/>
        <v>0</v>
      </c>
      <c r="G231" s="1228">
        <f t="shared" si="62"/>
        <v>0</v>
      </c>
      <c r="H231" s="30"/>
      <c r="I231" s="1226" t="str">
        <f t="shared" ref="I231:I236" si="63">I75</f>
        <v>VLERËSIMI I TË ARDHURAVE ME DESTINACION</v>
      </c>
      <c r="J231" s="1227"/>
      <c r="K231" s="1227"/>
      <c r="L231" s="1227"/>
      <c r="M231" s="1227"/>
      <c r="N231" s="1227"/>
      <c r="O231" s="1228"/>
    </row>
    <row r="232" spans="1:15" ht="12.75" x14ac:dyDescent="0.2">
      <c r="A232" s="121" t="str">
        <f t="shared" ref="A232:D254" si="64">A76</f>
        <v>Pagat</v>
      </c>
      <c r="B232" s="1229">
        <f t="shared" si="64"/>
        <v>600</v>
      </c>
      <c r="C232" s="1230">
        <f t="shared" si="64"/>
        <v>0</v>
      </c>
      <c r="D232" s="1231">
        <f t="shared" si="64"/>
        <v>0</v>
      </c>
      <c r="E232" s="126"/>
      <c r="F232" s="126"/>
      <c r="G232" s="126"/>
      <c r="H232" s="30"/>
      <c r="I232" s="339" t="str">
        <f t="shared" si="63"/>
        <v>Transferta e kushtëzuar</v>
      </c>
      <c r="J232" s="336"/>
      <c r="K232" s="338"/>
      <c r="L232" s="337"/>
      <c r="M232" s="125"/>
      <c r="N232" s="125"/>
      <c r="O232" s="129"/>
    </row>
    <row r="233" spans="1:15" ht="12.75" x14ac:dyDescent="0.2">
      <c r="A233" s="121" t="str">
        <f t="shared" si="64"/>
        <v>Sigurimet Shoqërore</v>
      </c>
      <c r="B233" s="1229">
        <f t="shared" si="64"/>
        <v>601</v>
      </c>
      <c r="C233" s="1230">
        <f t="shared" si="64"/>
        <v>0</v>
      </c>
      <c r="D233" s="1231">
        <f t="shared" si="64"/>
        <v>0</v>
      </c>
      <c r="E233" s="126"/>
      <c r="F233" s="126"/>
      <c r="G233" s="126"/>
      <c r="H233" s="30"/>
      <c r="I233" s="339" t="str">
        <f t="shared" si="63"/>
        <v>Trasferta Specifike</v>
      </c>
      <c r="J233" s="336"/>
      <c r="K233" s="338"/>
      <c r="L233" s="337"/>
      <c r="M233" s="125"/>
      <c r="N233" s="125"/>
      <c r="O233" s="129"/>
    </row>
    <row r="234" spans="1:15" ht="12.75" x14ac:dyDescent="0.2">
      <c r="A234" s="121" t="str">
        <f t="shared" si="64"/>
        <v>Mallra dhe shërbime</v>
      </c>
      <c r="B234" s="1229">
        <f t="shared" si="64"/>
        <v>602</v>
      </c>
      <c r="C234" s="1230">
        <f t="shared" si="64"/>
        <v>0</v>
      </c>
      <c r="D234" s="1231">
        <f t="shared" si="64"/>
        <v>0</v>
      </c>
      <c r="E234" s="126"/>
      <c r="F234" s="126"/>
      <c r="G234" s="126"/>
      <c r="H234" s="52"/>
      <c r="I234" s="339" t="str">
        <f t="shared" si="63"/>
        <v>Trashëgimi me destinacion</v>
      </c>
      <c r="J234" s="336"/>
      <c r="K234" s="338"/>
      <c r="L234" s="337"/>
      <c r="M234" s="264">
        <f>VLOOKUP($A223,'(C4) Trashëgimi me destinacion'!$A$8:$F$168,4,FALSE)</f>
        <v>0</v>
      </c>
      <c r="N234" s="479">
        <f>VLOOKUP($A223,'(C4) Trashëgimi me destinacion'!$A$8:$F$168,5,FALSE)</f>
        <v>0</v>
      </c>
      <c r="O234" s="481">
        <f>VLOOKUP($A223,'(C4) Trashëgimi me destinacion'!$A$8:$F$168,6,FALSE)</f>
        <v>0</v>
      </c>
    </row>
    <row r="235" spans="1:15" ht="12.75" x14ac:dyDescent="0.2">
      <c r="A235" s="121" t="str">
        <f t="shared" si="64"/>
        <v>Subvencione</v>
      </c>
      <c r="B235" s="1229">
        <f t="shared" si="64"/>
        <v>603</v>
      </c>
      <c r="C235" s="1230">
        <f t="shared" si="64"/>
        <v>0</v>
      </c>
      <c r="D235" s="1231">
        <f t="shared" si="64"/>
        <v>0</v>
      </c>
      <c r="E235" s="126"/>
      <c r="F235" s="126"/>
      <c r="G235" s="126"/>
      <c r="H235" s="8"/>
      <c r="I235" s="339" t="str">
        <f t="shared" si="63"/>
        <v>Burime të tjera (përfshirë gjobat)</v>
      </c>
      <c r="J235" s="336"/>
      <c r="K235" s="338"/>
      <c r="L235" s="337"/>
      <c r="M235" s="125"/>
      <c r="N235" s="125"/>
      <c r="O235" s="129"/>
    </row>
    <row r="236" spans="1:15" ht="12.75" x14ac:dyDescent="0.2">
      <c r="A236" s="121" t="str">
        <f t="shared" si="64"/>
        <v>Të tjera transferta korrente të brendshme</v>
      </c>
      <c r="B236" s="1229">
        <f t="shared" si="64"/>
        <v>604</v>
      </c>
      <c r="C236" s="1230">
        <f t="shared" si="64"/>
        <v>0</v>
      </c>
      <c r="D236" s="1231">
        <f t="shared" si="64"/>
        <v>0</v>
      </c>
      <c r="E236" s="126"/>
      <c r="F236" s="126"/>
      <c r="G236" s="126"/>
      <c r="H236" s="52"/>
      <c r="I236" s="339" t="str">
        <f t="shared" si="63"/>
        <v>VLERËSIMI I TË ARDHURAVE ME DESTINACION</v>
      </c>
      <c r="J236" s="34">
        <f>VLOOKUP($A223,'(C1) Shpenzimet vitet e kaluara'!$A$9:$O$177,7,FALSE)</f>
        <v>0</v>
      </c>
      <c r="K236" s="34">
        <f>VLOOKUP($A223,'(C1) Shpenzimet vitet e kaluara'!$A$9:$O$177,11,FALSE)</f>
        <v>0</v>
      </c>
      <c r="L236" s="34">
        <f>VLOOKUP($A223,'(C1) Shpenzimet vitet e kaluara'!$A$9:$O$177,15,FALSE)</f>
        <v>0</v>
      </c>
      <c r="M236" s="126">
        <f>SUM(M232:M235)</f>
        <v>0</v>
      </c>
      <c r="N236" s="126">
        <f>SUM(N232:N235)</f>
        <v>0</v>
      </c>
      <c r="O236" s="126">
        <f>SUM(O232:O235)</f>
        <v>0</v>
      </c>
    </row>
    <row r="237" spans="1:15" ht="12.75" x14ac:dyDescent="0.2">
      <c r="A237" s="121" t="str">
        <f t="shared" si="64"/>
        <v>Transferta korrente të huaja</v>
      </c>
      <c r="B237" s="1229">
        <f t="shared" si="64"/>
        <v>605</v>
      </c>
      <c r="C237" s="1230">
        <f t="shared" si="64"/>
        <v>0</v>
      </c>
      <c r="D237" s="1231">
        <f t="shared" si="64"/>
        <v>0</v>
      </c>
      <c r="E237" s="126"/>
      <c r="F237" s="126"/>
      <c r="G237" s="126"/>
      <c r="H237" s="52"/>
    </row>
    <row r="238" spans="1:15" ht="12.75" x14ac:dyDescent="0.2">
      <c r="A238" s="121" t="str">
        <f t="shared" si="64"/>
        <v>Transferta për Buxhetet Familiare dhe Individët</v>
      </c>
      <c r="B238" s="1229">
        <f t="shared" si="64"/>
        <v>606</v>
      </c>
      <c r="C238" s="1230">
        <f t="shared" si="64"/>
        <v>0</v>
      </c>
      <c r="D238" s="1231">
        <f t="shared" si="64"/>
        <v>0</v>
      </c>
      <c r="E238" s="126"/>
      <c r="F238" s="126"/>
      <c r="G238" s="126"/>
      <c r="H238" s="52"/>
      <c r="I238" s="134" t="str">
        <f>I82</f>
        <v xml:space="preserve">TË ARDHURAT E PRITSHME </v>
      </c>
      <c r="J238" s="33">
        <f>J229+J236</f>
        <v>0</v>
      </c>
      <c r="K238" s="33">
        <f>K229+K236</f>
        <v>0</v>
      </c>
      <c r="L238" s="33">
        <f>L229+L236</f>
        <v>0</v>
      </c>
      <c r="M238" s="126">
        <f>M236+M229</f>
        <v>0</v>
      </c>
      <c r="N238" s="126">
        <f>N236+N229</f>
        <v>0</v>
      </c>
      <c r="O238" s="126">
        <f>O236+O229</f>
        <v>0</v>
      </c>
    </row>
    <row r="239" spans="1:15" ht="12.75" x14ac:dyDescent="0.2">
      <c r="A239" s="121" t="str">
        <f t="shared" si="64"/>
        <v>Shpenzimet kapitale</v>
      </c>
      <c r="B239" s="1229" t="str">
        <f t="shared" si="64"/>
        <v>230 / 231</v>
      </c>
      <c r="C239" s="1230">
        <f t="shared" si="64"/>
        <v>0</v>
      </c>
      <c r="D239" s="1231">
        <f t="shared" si="64"/>
        <v>0</v>
      </c>
      <c r="E239" s="36"/>
      <c r="F239" s="36"/>
      <c r="G239" s="36"/>
      <c r="H239" s="52"/>
    </row>
    <row r="240" spans="1:15" ht="12.75" x14ac:dyDescent="0.2">
      <c r="A240" s="121" t="str">
        <f t="shared" si="64"/>
        <v>Rezerva</v>
      </c>
      <c r="B240" s="1229">
        <f t="shared" si="64"/>
        <v>609</v>
      </c>
      <c r="C240" s="1230">
        <f t="shared" si="64"/>
        <v>0</v>
      </c>
      <c r="D240" s="1231">
        <f t="shared" si="64"/>
        <v>0</v>
      </c>
      <c r="E240" s="126"/>
      <c r="F240" s="126"/>
      <c r="G240" s="126"/>
      <c r="H240" s="52"/>
    </row>
    <row r="241" spans="1:15" ht="12.75" x14ac:dyDescent="0.2">
      <c r="A241" s="121" t="str">
        <f t="shared" si="64"/>
        <v>Interesa per kredi direkte ose bono</v>
      </c>
      <c r="B241" s="1229">
        <f t="shared" si="64"/>
        <v>650</v>
      </c>
      <c r="C241" s="1230">
        <f t="shared" si="64"/>
        <v>0</v>
      </c>
      <c r="D241" s="1231">
        <f t="shared" si="64"/>
        <v>0</v>
      </c>
      <c r="E241" s="126"/>
      <c r="F241" s="126"/>
      <c r="G241" s="126"/>
      <c r="H241" s="52"/>
    </row>
    <row r="242" spans="1:15" ht="12.75" x14ac:dyDescent="0.2">
      <c r="A242" s="121" t="str">
        <f t="shared" si="64"/>
        <v>Të tjera</v>
      </c>
      <c r="B242" s="1229" t="str">
        <f t="shared" si="64"/>
        <v>69 / ?</v>
      </c>
      <c r="C242" s="1230">
        <f t="shared" si="64"/>
        <v>0</v>
      </c>
      <c r="D242" s="1231">
        <f t="shared" si="64"/>
        <v>0</v>
      </c>
      <c r="E242" s="126"/>
      <c r="F242" s="126"/>
      <c r="G242" s="126"/>
      <c r="H242" s="52"/>
      <c r="I242" s="1235" t="str">
        <f t="shared" ref="I242:O243" si="65">I86</f>
        <v>SHUMA E KËRKUAR NETO</v>
      </c>
      <c r="J242" s="1236">
        <f t="shared" si="65"/>
        <v>0</v>
      </c>
      <c r="K242" s="1236">
        <f t="shared" si="65"/>
        <v>0</v>
      </c>
      <c r="L242" s="1236">
        <f t="shared" si="65"/>
        <v>0</v>
      </c>
      <c r="M242" s="1236">
        <f t="shared" si="65"/>
        <v>0</v>
      </c>
      <c r="N242" s="1236">
        <f t="shared" si="65"/>
        <v>0</v>
      </c>
      <c r="O242" s="1237">
        <f t="shared" si="65"/>
        <v>0</v>
      </c>
    </row>
    <row r="243" spans="1:15" ht="12.75" customHeight="1" x14ac:dyDescent="0.2">
      <c r="A243" s="268" t="str">
        <f t="shared" si="64"/>
        <v>KOSTO DIREKTE PËR PROJEKTET DHE SHPENZIMET KAPITALE</v>
      </c>
      <c r="B243" s="1229">
        <f t="shared" si="64"/>
        <v>0</v>
      </c>
      <c r="C243" s="1230">
        <f t="shared" si="64"/>
        <v>0</v>
      </c>
      <c r="D243" s="1231">
        <f t="shared" si="64"/>
        <v>0</v>
      </c>
      <c r="E243" s="126">
        <f>SUM(E232:E242)</f>
        <v>0</v>
      </c>
      <c r="F243" s="126">
        <f>SUM(F232:F242)</f>
        <v>0</v>
      </c>
      <c r="G243" s="126">
        <f>SUM(G232:G242)</f>
        <v>0</v>
      </c>
      <c r="H243" s="52"/>
      <c r="I243" s="1238">
        <f t="shared" si="65"/>
        <v>0</v>
      </c>
      <c r="J243" s="1239">
        <f t="shared" si="65"/>
        <v>0</v>
      </c>
      <c r="K243" s="1239">
        <f t="shared" si="65"/>
        <v>0</v>
      </c>
      <c r="L243" s="1239">
        <f t="shared" si="65"/>
        <v>0</v>
      </c>
      <c r="M243" s="1239">
        <f t="shared" si="65"/>
        <v>0</v>
      </c>
      <c r="N243" s="1239">
        <f t="shared" si="65"/>
        <v>0</v>
      </c>
      <c r="O243" s="1240">
        <f t="shared" si="65"/>
        <v>0</v>
      </c>
    </row>
    <row r="244" spans="1:15" ht="12.75" x14ac:dyDescent="0.2">
      <c r="A244" s="1226" t="str">
        <f t="shared" si="64"/>
        <v>SHPENZIME KORRENTE</v>
      </c>
      <c r="B244" s="1227">
        <f t="shared" si="64"/>
        <v>0</v>
      </c>
      <c r="C244" s="1227">
        <f t="shared" si="64"/>
        <v>0</v>
      </c>
      <c r="D244" s="1227">
        <f t="shared" si="64"/>
        <v>0</v>
      </c>
      <c r="E244" s="1227">
        <f>E88</f>
        <v>0</v>
      </c>
      <c r="F244" s="1227">
        <f>F88</f>
        <v>0</v>
      </c>
      <c r="G244" s="1228">
        <f>G88</f>
        <v>0</v>
      </c>
      <c r="H244" s="52"/>
      <c r="I244" s="17" t="str">
        <f>I88</f>
        <v>SHUMA E KËRKUAR NETO</v>
      </c>
      <c r="J244" s="18">
        <f t="shared" ref="J244:O244" si="66">B228-J238</f>
        <v>0</v>
      </c>
      <c r="K244" s="18">
        <f t="shared" si="66"/>
        <v>0</v>
      </c>
      <c r="L244" s="18">
        <f t="shared" si="66"/>
        <v>0</v>
      </c>
      <c r="M244" s="18">
        <f t="shared" si="66"/>
        <v>0</v>
      </c>
      <c r="N244" s="18">
        <f t="shared" si="66"/>
        <v>0</v>
      </c>
      <c r="O244" s="18">
        <f t="shared" si="66"/>
        <v>0</v>
      </c>
    </row>
    <row r="245" spans="1:15" ht="12.75" x14ac:dyDescent="0.2">
      <c r="A245" s="121" t="str">
        <f t="shared" si="64"/>
        <v>Pagat</v>
      </c>
      <c r="B245" s="1229">
        <f t="shared" si="64"/>
        <v>600</v>
      </c>
      <c r="C245" s="1230">
        <f t="shared" si="64"/>
        <v>0</v>
      </c>
      <c r="D245" s="1231">
        <f t="shared" si="64"/>
        <v>0</v>
      </c>
      <c r="E245" s="36"/>
      <c r="F245" s="36"/>
      <c r="G245" s="36"/>
      <c r="H245" s="52"/>
      <c r="I245" s="52"/>
      <c r="J245" s="52"/>
      <c r="K245" s="52"/>
      <c r="L245" s="14"/>
      <c r="M245" s="53"/>
    </row>
    <row r="246" spans="1:15" ht="12.75" x14ac:dyDescent="0.2">
      <c r="A246" s="121" t="str">
        <f t="shared" si="64"/>
        <v>Sigurimet Shoqërore</v>
      </c>
      <c r="B246" s="1229">
        <f t="shared" si="64"/>
        <v>601</v>
      </c>
      <c r="C246" s="1230">
        <f t="shared" si="64"/>
        <v>0</v>
      </c>
      <c r="D246" s="1231">
        <f t="shared" si="64"/>
        <v>0</v>
      </c>
      <c r="E246" s="36"/>
      <c r="F246" s="36"/>
      <c r="G246" s="36"/>
      <c r="H246" s="52"/>
    </row>
    <row r="247" spans="1:15" ht="12.75" x14ac:dyDescent="0.2">
      <c r="A247" s="121" t="str">
        <f t="shared" si="64"/>
        <v>Mallra dhe shërbime</v>
      </c>
      <c r="B247" s="1229">
        <f t="shared" si="64"/>
        <v>602</v>
      </c>
      <c r="C247" s="1230">
        <f t="shared" si="64"/>
        <v>0</v>
      </c>
      <c r="D247" s="1231">
        <f t="shared" si="64"/>
        <v>0</v>
      </c>
      <c r="E247" s="36"/>
      <c r="F247" s="36"/>
      <c r="G247" s="36"/>
      <c r="H247" s="52"/>
      <c r="I247" s="239" t="str">
        <f>I208</f>
        <v>Angazhimet</v>
      </c>
      <c r="J247" s="1290" t="str">
        <f>J208</f>
        <v>Vlera Totale për Aktivitet</v>
      </c>
      <c r="K247" s="1291"/>
      <c r="L247" s="1292"/>
      <c r="M247" s="126">
        <f>VLOOKUP($A223,'(C5) Angazhimet'!$A$8:$F$168,4,FALSE)</f>
        <v>0</v>
      </c>
      <c r="N247" s="126">
        <f>VLOOKUP($A223,'(C5) Angazhimet'!$A$8:$F$168,5,FALSE)</f>
        <v>0</v>
      </c>
      <c r="O247" s="126">
        <f>VLOOKUP($A223,'(C5) Angazhimet'!$A$8:$F$168,6,FALSE)</f>
        <v>0</v>
      </c>
    </row>
    <row r="248" spans="1:15" ht="12.75" x14ac:dyDescent="0.2">
      <c r="A248" s="121" t="str">
        <f t="shared" si="64"/>
        <v>Subvencione</v>
      </c>
      <c r="B248" s="1229">
        <f t="shared" si="64"/>
        <v>603</v>
      </c>
      <c r="C248" s="1230">
        <f t="shared" si="64"/>
        <v>0</v>
      </c>
      <c r="D248" s="1231">
        <f t="shared" si="64"/>
        <v>0</v>
      </c>
      <c r="E248" s="36"/>
      <c r="F248" s="36"/>
      <c r="G248" s="36"/>
      <c r="H248" s="52"/>
      <c r="I248" s="279" t="str">
        <f>I209</f>
        <v>Qëllime</v>
      </c>
      <c r="J248" s="1290" t="str">
        <f>J209</f>
        <v>Shpenzimet kapitale</v>
      </c>
      <c r="K248" s="1291"/>
      <c r="L248" s="1292"/>
      <c r="M248" s="125"/>
      <c r="N248" s="125"/>
      <c r="O248" s="129"/>
    </row>
    <row r="249" spans="1:15" ht="12.75" x14ac:dyDescent="0.2">
      <c r="A249" s="121" t="str">
        <f t="shared" si="64"/>
        <v>Të tjera transferta korrente të brendshme</v>
      </c>
      <c r="B249" s="1229">
        <f t="shared" si="64"/>
        <v>604</v>
      </c>
      <c r="C249" s="1230">
        <f t="shared" si="64"/>
        <v>0</v>
      </c>
      <c r="D249" s="1231">
        <f t="shared" si="64"/>
        <v>0</v>
      </c>
      <c r="E249" s="36"/>
      <c r="F249" s="36"/>
      <c r="G249" s="36"/>
      <c r="H249" s="52"/>
      <c r="I249" s="276"/>
      <c r="J249" s="1290" t="str">
        <f>J210</f>
        <v>Mallra dhe shërbime</v>
      </c>
      <c r="K249" s="1291"/>
      <c r="L249" s="1292"/>
      <c r="M249" s="125"/>
      <c r="N249" s="125"/>
      <c r="O249" s="129"/>
    </row>
    <row r="250" spans="1:15" ht="12.75" x14ac:dyDescent="0.2">
      <c r="A250" s="121" t="str">
        <f t="shared" si="64"/>
        <v>Transferta korrente të huaja</v>
      </c>
      <c r="B250" s="1229">
        <f t="shared" si="64"/>
        <v>605</v>
      </c>
      <c r="C250" s="1230">
        <f t="shared" si="64"/>
        <v>0</v>
      </c>
      <c r="D250" s="1231">
        <f t="shared" si="64"/>
        <v>0</v>
      </c>
      <c r="E250" s="36"/>
      <c r="F250" s="36"/>
      <c r="G250" s="36"/>
      <c r="H250" s="52"/>
      <c r="I250" s="276"/>
      <c r="J250" s="1290" t="str">
        <f>J211</f>
        <v>Qëllime të mëtejshme</v>
      </c>
      <c r="K250" s="1291"/>
      <c r="L250" s="1292"/>
      <c r="M250" s="125"/>
      <c r="N250" s="125"/>
      <c r="O250" s="129"/>
    </row>
    <row r="251" spans="1:15" ht="12.75" x14ac:dyDescent="0.2">
      <c r="A251" s="121" t="str">
        <f t="shared" si="64"/>
        <v>Transferta për Buxhetet Familiare dhe Individët</v>
      </c>
      <c r="B251" s="1229">
        <f t="shared" si="64"/>
        <v>606</v>
      </c>
      <c r="C251" s="1230">
        <f t="shared" si="64"/>
        <v>0</v>
      </c>
      <c r="D251" s="1231">
        <f t="shared" si="64"/>
        <v>0</v>
      </c>
      <c r="E251" s="36"/>
      <c r="F251" s="36"/>
      <c r="G251" s="36"/>
      <c r="H251" s="52"/>
      <c r="I251" s="276"/>
      <c r="J251" s="1286"/>
      <c r="K251" s="1286"/>
      <c r="L251" s="1286"/>
      <c r="M251" s="300" t="str">
        <f>IF(SUM(M248:M250)=M247,"OK","STOP")</f>
        <v>OK</v>
      </c>
      <c r="N251" s="300" t="str">
        <f>IF(SUM(N248:N250)=N247,"OK","STOP")</f>
        <v>OK</v>
      </c>
      <c r="O251" s="300" t="str">
        <f>IF(SUM(O248:O250)=O247,"OK","STOP")</f>
        <v>OK</v>
      </c>
    </row>
    <row r="252" spans="1:15" ht="12.75" x14ac:dyDescent="0.2">
      <c r="A252" s="564" t="str">
        <f t="shared" si="64"/>
        <v>Shpenzimet kapitale</v>
      </c>
      <c r="B252" s="1256" t="str">
        <f t="shared" si="64"/>
        <v>230 / 231</v>
      </c>
      <c r="C252" s="1257">
        <f t="shared" si="64"/>
        <v>0</v>
      </c>
      <c r="D252" s="1258">
        <f t="shared" si="64"/>
        <v>0</v>
      </c>
      <c r="E252" s="126"/>
      <c r="F252" s="126"/>
      <c r="G252" s="126"/>
      <c r="H252" s="52"/>
      <c r="I252" s="367" t="str">
        <f>I213</f>
        <v>Shpjegimet teknike</v>
      </c>
      <c r="J252" s="10"/>
      <c r="K252" s="10"/>
      <c r="L252" s="10"/>
      <c r="M252" s="10"/>
      <c r="N252" s="10"/>
      <c r="O252" s="10"/>
    </row>
    <row r="253" spans="1:15" ht="12.75" x14ac:dyDescent="0.2">
      <c r="A253" s="121" t="str">
        <f t="shared" si="64"/>
        <v>Rezerva</v>
      </c>
      <c r="B253" s="1229">
        <f t="shared" si="64"/>
        <v>609</v>
      </c>
      <c r="C253" s="1230">
        <f t="shared" si="64"/>
        <v>0</v>
      </c>
      <c r="D253" s="1231">
        <f t="shared" si="64"/>
        <v>0</v>
      </c>
      <c r="E253" s="36"/>
      <c r="F253" s="36"/>
      <c r="G253" s="36"/>
      <c r="H253" s="52"/>
      <c r="I253" s="365">
        <f>M226</f>
        <v>2022</v>
      </c>
      <c r="J253" s="1271"/>
      <c r="K253" s="1272"/>
      <c r="L253" s="1272"/>
      <c r="M253" s="1272"/>
      <c r="N253" s="1272"/>
      <c r="O253" s="1273"/>
    </row>
    <row r="254" spans="1:15" ht="12.75" x14ac:dyDescent="0.2">
      <c r="A254" s="121" t="str">
        <f t="shared" si="64"/>
        <v>Interesa per kredi direkte ose bono</v>
      </c>
      <c r="B254" s="1259">
        <f t="shared" si="64"/>
        <v>650</v>
      </c>
      <c r="C254" s="1260">
        <f t="shared" si="64"/>
        <v>0</v>
      </c>
      <c r="D254" s="1261">
        <f t="shared" si="64"/>
        <v>0</v>
      </c>
      <c r="E254" s="36"/>
      <c r="F254" s="36"/>
      <c r="G254" s="36"/>
      <c r="H254" s="52"/>
      <c r="I254" s="366"/>
      <c r="J254" s="1274"/>
      <c r="K254" s="1275"/>
      <c r="L254" s="1275"/>
      <c r="M254" s="1275"/>
      <c r="N254" s="1275"/>
      <c r="O254" s="1276"/>
    </row>
    <row r="255" spans="1:15" ht="12.75" x14ac:dyDescent="0.2">
      <c r="A255" s="239" t="str">
        <f>A99</f>
        <v>Të tjera</v>
      </c>
      <c r="B255" s="1229" t="str">
        <f>B99</f>
        <v>69 / ?</v>
      </c>
      <c r="C255" s="1230">
        <f>C99</f>
        <v>0</v>
      </c>
      <c r="D255" s="273" t="str">
        <f>IF(OR(E255&lt;0,F255&lt;0,G255&lt;0),"STOP","OK!")</f>
        <v>OK!</v>
      </c>
      <c r="E255" s="127">
        <f>-E243+E228-(SUM(E245:E254))</f>
        <v>0</v>
      </c>
      <c r="F255" s="270">
        <f>-F243+F228-(SUM(F245:F254))</f>
        <v>0</v>
      </c>
      <c r="G255" s="270">
        <f>-G243+G228-(SUM(G245:G254))</f>
        <v>0</v>
      </c>
      <c r="H255" s="52"/>
      <c r="I255" s="365">
        <f>N226</f>
        <v>2023</v>
      </c>
      <c r="J255" s="1271"/>
      <c r="K255" s="1272"/>
      <c r="L255" s="1272"/>
      <c r="M255" s="1272"/>
      <c r="N255" s="1272"/>
      <c r="O255" s="1273"/>
    </row>
    <row r="256" spans="1:15" ht="12.75" x14ac:dyDescent="0.2">
      <c r="A256" s="121" t="str">
        <f>A100</f>
        <v>SHPENZIME KORRENTE</v>
      </c>
      <c r="B256" s="1262"/>
      <c r="C256" s="1263"/>
      <c r="D256" s="1264"/>
      <c r="E256" s="126">
        <f>SUM(E245:E255)</f>
        <v>0</v>
      </c>
      <c r="F256" s="126">
        <f>SUM(F245:F255)</f>
        <v>0</v>
      </c>
      <c r="G256" s="126">
        <f>SUM(G245:G255)</f>
        <v>0</v>
      </c>
      <c r="H256" s="52"/>
      <c r="I256" s="366"/>
      <c r="J256" s="1277"/>
      <c r="K256" s="1278"/>
      <c r="L256" s="1278"/>
      <c r="M256" s="1278"/>
      <c r="N256" s="1278"/>
      <c r="O256" s="1279"/>
    </row>
    <row r="257" spans="1:15" ht="12.75" x14ac:dyDescent="0.2">
      <c r="A257" s="122"/>
      <c r="B257" s="201"/>
      <c r="C257" s="123"/>
      <c r="D257" s="123"/>
      <c r="E257" s="10"/>
      <c r="F257" s="10"/>
      <c r="G257" s="130"/>
      <c r="H257" s="52"/>
      <c r="I257" s="365">
        <f>O226</f>
        <v>2024</v>
      </c>
      <c r="J257" s="1271"/>
      <c r="K257" s="1272"/>
      <c r="L257" s="1272"/>
      <c r="M257" s="1272"/>
      <c r="N257" s="1272"/>
      <c r="O257" s="1273"/>
    </row>
    <row r="258" spans="1:15" ht="12.75" x14ac:dyDescent="0.2">
      <c r="A258" s="134" t="str">
        <f>A102</f>
        <v>SHPENZIME TË PRITSHME</v>
      </c>
      <c r="B258" s="33">
        <f>B228</f>
        <v>0</v>
      </c>
      <c r="C258" s="33">
        <f>C228</f>
        <v>0</v>
      </c>
      <c r="D258" s="33">
        <f>D228</f>
        <v>0</v>
      </c>
      <c r="E258" s="126">
        <f>E243+E256</f>
        <v>0</v>
      </c>
      <c r="F258" s="126">
        <f>F243+F256</f>
        <v>0</v>
      </c>
      <c r="G258" s="126">
        <f>G243+G256</f>
        <v>0</v>
      </c>
      <c r="H258" s="52"/>
      <c r="I258" s="366"/>
      <c r="J258" s="1277"/>
      <c r="K258" s="1278"/>
      <c r="L258" s="1278"/>
      <c r="M258" s="1278"/>
      <c r="N258" s="1278"/>
      <c r="O258" s="1279"/>
    </row>
    <row r="261" spans="1:15" ht="17.25" customHeight="1" x14ac:dyDescent="0.2">
      <c r="A261" s="204" t="str">
        <f t="shared" ref="A261:O261" si="67">A105</f>
        <v>Nënfunksioni 6</v>
      </c>
      <c r="B261" s="1225" t="str">
        <f t="shared" si="67"/>
        <v>041 Çështjet e përgjithshme ekonomike, tregtare dhe të punës</v>
      </c>
      <c r="C261" s="1225">
        <f t="shared" si="67"/>
        <v>0</v>
      </c>
      <c r="D261" s="1225">
        <f t="shared" si="67"/>
        <v>0</v>
      </c>
      <c r="E261" s="1225">
        <f t="shared" si="67"/>
        <v>0</v>
      </c>
      <c r="F261" s="1225">
        <f t="shared" si="67"/>
        <v>0</v>
      </c>
      <c r="G261" s="1225">
        <f t="shared" si="67"/>
        <v>0</v>
      </c>
      <c r="H261" s="1225">
        <f t="shared" si="67"/>
        <v>0</v>
      </c>
      <c r="I261" s="1225">
        <f t="shared" si="67"/>
        <v>0</v>
      </c>
      <c r="J261" s="1225">
        <f t="shared" si="67"/>
        <v>0</v>
      </c>
      <c r="K261" s="1225">
        <f t="shared" si="67"/>
        <v>0</v>
      </c>
      <c r="L261" s="1225">
        <f t="shared" si="67"/>
        <v>0</v>
      </c>
      <c r="M261" s="1225">
        <f t="shared" si="67"/>
        <v>0</v>
      </c>
      <c r="N261" s="1225">
        <f t="shared" si="67"/>
        <v>0</v>
      </c>
      <c r="O261" s="1225">
        <f t="shared" si="67"/>
        <v>0</v>
      </c>
    </row>
    <row r="262" spans="1:15" ht="17.25" customHeight="1" x14ac:dyDescent="0.2">
      <c r="A262" s="262" t="str">
        <f>A11</f>
        <v>Programi 6f</v>
      </c>
      <c r="B262" s="1225">
        <f>C11</f>
        <v>0</v>
      </c>
      <c r="C262" s="1225" t="e">
        <f>#REF!</f>
        <v>#REF!</v>
      </c>
      <c r="D262" s="1225" t="e">
        <f>#REF!</f>
        <v>#REF!</v>
      </c>
      <c r="E262" s="1225" t="e">
        <f>#REF!</f>
        <v>#REF!</v>
      </c>
      <c r="F262" s="1225" t="e">
        <f>#REF!</f>
        <v>#REF!</v>
      </c>
      <c r="G262" s="1225" t="e">
        <f>#REF!</f>
        <v>#REF!</v>
      </c>
      <c r="H262" s="1225" t="e">
        <f>#REF!</f>
        <v>#REF!</v>
      </c>
      <c r="I262" s="1225" t="e">
        <f>#REF!</f>
        <v>#REF!</v>
      </c>
      <c r="J262" s="1225" t="e">
        <f>#REF!</f>
        <v>#REF!</v>
      </c>
      <c r="K262" s="1225" t="e">
        <f>#REF!</f>
        <v>#REF!</v>
      </c>
      <c r="L262" s="1225" t="e">
        <f>#REF!</f>
        <v>#REF!</v>
      </c>
      <c r="M262" s="1225" t="e">
        <f>#REF!</f>
        <v>#REF!</v>
      </c>
      <c r="N262" s="1225" t="e">
        <f>#REF!</f>
        <v>#REF!</v>
      </c>
      <c r="O262" s="1225" t="e">
        <f>#REF!</f>
        <v>#REF!</v>
      </c>
    </row>
    <row r="263" spans="1:15" ht="17.25" customHeight="1" x14ac:dyDescent="0.2">
      <c r="A263" s="562">
        <f>'(B3) Struktura Funksionale'!B40</f>
        <v>0</v>
      </c>
      <c r="B263" s="485"/>
      <c r="C263" s="485"/>
      <c r="D263" s="485"/>
      <c r="E263" s="485"/>
      <c r="F263" s="485"/>
      <c r="G263" s="485"/>
      <c r="H263" s="485"/>
      <c r="I263" s="485"/>
      <c r="J263" s="485"/>
      <c r="K263" s="485"/>
      <c r="L263" s="485"/>
      <c r="M263" s="485"/>
      <c r="N263" s="485"/>
      <c r="O263" s="486"/>
    </row>
    <row r="264" spans="1:15" ht="22.5" customHeight="1" x14ac:dyDescent="0.2">
      <c r="A264" s="1252" t="str">
        <f t="shared" ref="A264:G264" si="68">A108</f>
        <v>SHPENZIME TË PRITSHME</v>
      </c>
      <c r="B264" s="1253">
        <f t="shared" si="68"/>
        <v>0</v>
      </c>
      <c r="C264" s="1253">
        <f t="shared" si="68"/>
        <v>0</v>
      </c>
      <c r="D264" s="1253">
        <f t="shared" si="68"/>
        <v>0</v>
      </c>
      <c r="E264" s="1253">
        <f t="shared" si="68"/>
        <v>0</v>
      </c>
      <c r="F264" s="1253">
        <f t="shared" si="68"/>
        <v>0</v>
      </c>
      <c r="G264" s="1254">
        <f t="shared" si="68"/>
        <v>0</v>
      </c>
      <c r="H264" s="128"/>
      <c r="I264" s="1255" t="str">
        <f t="shared" ref="I264:O264" si="69">I108</f>
        <v xml:space="preserve">TË ARDHURAT E PRITSHME </v>
      </c>
      <c r="J264" s="1253">
        <f t="shared" si="69"/>
        <v>0</v>
      </c>
      <c r="K264" s="1253">
        <f t="shared" si="69"/>
        <v>0</v>
      </c>
      <c r="L264" s="1253">
        <f t="shared" si="69"/>
        <v>0</v>
      </c>
      <c r="M264" s="1253">
        <f t="shared" si="69"/>
        <v>0</v>
      </c>
      <c r="N264" s="1253">
        <f t="shared" si="69"/>
        <v>0</v>
      </c>
      <c r="O264" s="1254">
        <f t="shared" si="69"/>
        <v>0</v>
      </c>
    </row>
    <row r="265" spans="1:15" ht="20.25" customHeight="1" x14ac:dyDescent="0.2">
      <c r="A265" s="202"/>
      <c r="B265" s="363">
        <f t="shared" ref="B265:G265" si="70">B109</f>
        <v>2019</v>
      </c>
      <c r="C265" s="363">
        <f t="shared" si="70"/>
        <v>2020</v>
      </c>
      <c r="D265" s="363">
        <f t="shared" si="70"/>
        <v>2021</v>
      </c>
      <c r="E265" s="238">
        <f t="shared" si="70"/>
        <v>2022</v>
      </c>
      <c r="F265" s="238">
        <f t="shared" si="70"/>
        <v>2023</v>
      </c>
      <c r="G265" s="238">
        <f t="shared" si="70"/>
        <v>2024</v>
      </c>
      <c r="H265" s="203"/>
      <c r="I265" s="360"/>
      <c r="J265" s="363">
        <f t="shared" ref="J265:O265" si="71">J109</f>
        <v>2019</v>
      </c>
      <c r="K265" s="363">
        <f t="shared" si="71"/>
        <v>2020</v>
      </c>
      <c r="L265" s="363">
        <f t="shared" si="71"/>
        <v>2021</v>
      </c>
      <c r="M265" s="238">
        <f t="shared" si="71"/>
        <v>2022</v>
      </c>
      <c r="N265" s="238">
        <f t="shared" si="71"/>
        <v>2023</v>
      </c>
      <c r="O265" s="238">
        <f t="shared" si="71"/>
        <v>2024</v>
      </c>
    </row>
    <row r="266" spans="1:15" ht="12.75" x14ac:dyDescent="0.2">
      <c r="A266" s="380"/>
      <c r="B266" s="200"/>
      <c r="C266" s="368"/>
      <c r="D266" s="281"/>
      <c r="E266" s="8"/>
      <c r="F266" s="8"/>
      <c r="G266" s="381"/>
      <c r="H266" s="128"/>
      <c r="I266" s="369"/>
      <c r="J266" s="305"/>
      <c r="K266" s="305"/>
      <c r="L266" s="305"/>
      <c r="M266" s="305"/>
      <c r="N266" s="305"/>
      <c r="O266" s="306"/>
    </row>
    <row r="267" spans="1:15" ht="12.75" x14ac:dyDescent="0.2">
      <c r="A267" s="134" t="str">
        <f>A111</f>
        <v>SHPENZIME TË PRITSHME</v>
      </c>
      <c r="B267" s="33">
        <f>VLOOKUP(A262,'(C1) Shpenzimet vitet e kaluara'!A$9:O$177,5,FALSE)</f>
        <v>0</v>
      </c>
      <c r="C267" s="33">
        <f>VLOOKUP(A262,'(C1) Shpenzimet vitet e kaluara'!A$9:O$177,9,FALSE)</f>
        <v>0</v>
      </c>
      <c r="D267" s="33">
        <f>VLOOKUP(A262,'(C1) Shpenzimet vitet e kaluara'!A$9:O$177,13,FALSE)</f>
        <v>0</v>
      </c>
      <c r="E267" s="36"/>
      <c r="F267" s="36"/>
      <c r="G267" s="36"/>
      <c r="H267" s="128"/>
      <c r="I267" s="1226" t="str">
        <f t="shared" ref="I267:O267" si="72">I111</f>
        <v>VLERËSIM I ARDHURAVE NGA TARIFAT</v>
      </c>
      <c r="J267" s="1227">
        <f t="shared" si="72"/>
        <v>0</v>
      </c>
      <c r="K267" s="1227">
        <f t="shared" si="72"/>
        <v>0</v>
      </c>
      <c r="L267" s="1227">
        <f t="shared" si="72"/>
        <v>0</v>
      </c>
      <c r="M267" s="1227">
        <f t="shared" si="72"/>
        <v>0</v>
      </c>
      <c r="N267" s="1227">
        <f t="shared" si="72"/>
        <v>0</v>
      </c>
      <c r="O267" s="1228">
        <f t="shared" si="72"/>
        <v>0</v>
      </c>
    </row>
    <row r="268" spans="1:15" ht="12.75" x14ac:dyDescent="0.2">
      <c r="A268" s="122"/>
      <c r="B268" s="201"/>
      <c r="C268" s="123"/>
      <c r="D268" s="123"/>
      <c r="E268" s="10"/>
      <c r="F268" s="10"/>
      <c r="G268" s="130"/>
      <c r="H268" s="10"/>
      <c r="I268" s="134" t="str">
        <f>I112</f>
        <v>VLERËSIM I ARDHURAVE NGA TARIFAT</v>
      </c>
      <c r="J268" s="34">
        <f>VLOOKUP($A262,'(C1) Shpenzimet vitet e kaluara'!$A$9:$O$177,6,FALSE)</f>
        <v>0</v>
      </c>
      <c r="K268" s="34">
        <f>VLOOKUP($A262,'(C1) Shpenzimet vitet e kaluara'!$A$9:$O$177,10,FALSE)</f>
        <v>0</v>
      </c>
      <c r="L268" s="34">
        <f>VLOOKUP($A262,'(C1) Shpenzimet vitet e kaluara'!$A$9:$O$177,14,FALSE)</f>
        <v>0</v>
      </c>
      <c r="M268" s="36"/>
      <c r="N268" s="36"/>
      <c r="O268" s="36"/>
    </row>
    <row r="269" spans="1:15" ht="12.75" x14ac:dyDescent="0.2">
      <c r="A269" s="1232" t="str">
        <f t="shared" ref="A269:G269" si="73">A113</f>
        <v>SHPENZIME TË PRITSHME</v>
      </c>
      <c r="B269" s="1233">
        <f t="shared" si="73"/>
        <v>0</v>
      </c>
      <c r="C269" s="1233">
        <f t="shared" si="73"/>
        <v>0</v>
      </c>
      <c r="D269" s="1233">
        <f t="shared" si="73"/>
        <v>0</v>
      </c>
      <c r="E269" s="1233">
        <f t="shared" si="73"/>
        <v>0</v>
      </c>
      <c r="F269" s="1233">
        <f t="shared" si="73"/>
        <v>0</v>
      </c>
      <c r="G269" s="1234">
        <f t="shared" si="73"/>
        <v>0</v>
      </c>
      <c r="H269" s="10"/>
    </row>
    <row r="270" spans="1:15" ht="12.75" x14ac:dyDescent="0.2">
      <c r="A270" s="1226" t="str">
        <f t="shared" ref="A270:G270" si="74">A114</f>
        <v>KOSTO DIREKTE PËR PROJEKTET DHE SHPENZIMET KAPITALE</v>
      </c>
      <c r="B270" s="1227">
        <f t="shared" si="74"/>
        <v>0</v>
      </c>
      <c r="C270" s="1227">
        <f t="shared" si="74"/>
        <v>0</v>
      </c>
      <c r="D270" s="1227">
        <f t="shared" si="74"/>
        <v>0</v>
      </c>
      <c r="E270" s="1227">
        <f t="shared" si="74"/>
        <v>0</v>
      </c>
      <c r="F270" s="1227">
        <f t="shared" si="74"/>
        <v>0</v>
      </c>
      <c r="G270" s="1228">
        <f t="shared" si="74"/>
        <v>0</v>
      </c>
      <c r="H270" s="30"/>
      <c r="I270" s="1226" t="str">
        <f t="shared" ref="I270:I275" si="75">I114</f>
        <v>VLERËSIMI I TË ARDHURAVE ME DESTINACION</v>
      </c>
      <c r="J270" s="1227"/>
      <c r="K270" s="1227"/>
      <c r="L270" s="1227"/>
      <c r="M270" s="1227"/>
      <c r="N270" s="1227"/>
      <c r="O270" s="1228"/>
    </row>
    <row r="271" spans="1:15" ht="12.75" x14ac:dyDescent="0.2">
      <c r="A271" s="121" t="str">
        <f t="shared" ref="A271:D293" si="76">A115</f>
        <v>Pagat</v>
      </c>
      <c r="B271" s="1229">
        <f t="shared" si="76"/>
        <v>600</v>
      </c>
      <c r="C271" s="1230">
        <f t="shared" si="76"/>
        <v>0</v>
      </c>
      <c r="D271" s="1231">
        <f t="shared" si="76"/>
        <v>0</v>
      </c>
      <c r="E271" s="126"/>
      <c r="F271" s="126"/>
      <c r="G271" s="126"/>
      <c r="H271" s="30"/>
      <c r="I271" s="477" t="str">
        <f t="shared" si="75"/>
        <v>Transferta e kushtëzuar</v>
      </c>
      <c r="J271" s="336"/>
      <c r="K271" s="338"/>
      <c r="L271" s="337"/>
      <c r="M271" s="125"/>
      <c r="N271" s="125"/>
      <c r="O271" s="129"/>
    </row>
    <row r="272" spans="1:15" ht="12.75" x14ac:dyDescent="0.2">
      <c r="A272" s="121" t="str">
        <f t="shared" si="76"/>
        <v>Sigurimet Shoqërore</v>
      </c>
      <c r="B272" s="1229">
        <f t="shared" si="76"/>
        <v>601</v>
      </c>
      <c r="C272" s="1230">
        <f t="shared" si="76"/>
        <v>0</v>
      </c>
      <c r="D272" s="1231">
        <f t="shared" si="76"/>
        <v>0</v>
      </c>
      <c r="E272" s="126"/>
      <c r="F272" s="126"/>
      <c r="G272" s="126"/>
      <c r="H272" s="30"/>
      <c r="I272" s="477" t="str">
        <f t="shared" si="75"/>
        <v>Trasferta Specifike</v>
      </c>
      <c r="J272" s="336"/>
      <c r="K272" s="338"/>
      <c r="L272" s="337"/>
      <c r="M272" s="125"/>
      <c r="N272" s="125"/>
      <c r="O272" s="129"/>
    </row>
    <row r="273" spans="1:15" ht="12.75" x14ac:dyDescent="0.2">
      <c r="A273" s="121" t="str">
        <f t="shared" si="76"/>
        <v>Mallra dhe shërbime</v>
      </c>
      <c r="B273" s="1229">
        <f t="shared" si="76"/>
        <v>602</v>
      </c>
      <c r="C273" s="1230">
        <f t="shared" si="76"/>
        <v>0</v>
      </c>
      <c r="D273" s="1231">
        <f t="shared" si="76"/>
        <v>0</v>
      </c>
      <c r="E273" s="126"/>
      <c r="F273" s="126"/>
      <c r="G273" s="126"/>
      <c r="H273" s="52"/>
      <c r="I273" s="477" t="str">
        <f t="shared" si="75"/>
        <v>Trashëgimi me destinacion</v>
      </c>
      <c r="J273" s="336"/>
      <c r="K273" s="338"/>
      <c r="L273" s="337"/>
      <c r="M273" s="264">
        <f>VLOOKUP($A262,'(C4) Trashëgimi me destinacion'!$A$8:$F$168,4,FALSE)</f>
        <v>0</v>
      </c>
      <c r="N273" s="479">
        <f>VLOOKUP($A262,'(C4) Trashëgimi me destinacion'!$A$8:$F$168,5,FALSE)</f>
        <v>0</v>
      </c>
      <c r="O273" s="481">
        <f>VLOOKUP($A262,'(C4) Trashëgimi me destinacion'!$A$8:$F$168,6,FALSE)</f>
        <v>0</v>
      </c>
    </row>
    <row r="274" spans="1:15" ht="12.75" x14ac:dyDescent="0.2">
      <c r="A274" s="121" t="str">
        <f t="shared" si="76"/>
        <v>Subvencione</v>
      </c>
      <c r="B274" s="1229">
        <f t="shared" si="76"/>
        <v>603</v>
      </c>
      <c r="C274" s="1230">
        <f t="shared" si="76"/>
        <v>0</v>
      </c>
      <c r="D274" s="1231">
        <f t="shared" si="76"/>
        <v>0</v>
      </c>
      <c r="E274" s="126"/>
      <c r="F274" s="126"/>
      <c r="G274" s="126"/>
      <c r="H274" s="8"/>
      <c r="I274" s="477" t="str">
        <f t="shared" si="75"/>
        <v>Burime të tjera (përfshirë gjobat)</v>
      </c>
      <c r="J274" s="336"/>
      <c r="K274" s="338"/>
      <c r="L274" s="337"/>
      <c r="M274" s="125"/>
      <c r="N274" s="125"/>
      <c r="O274" s="129"/>
    </row>
    <row r="275" spans="1:15" ht="12.75" x14ac:dyDescent="0.2">
      <c r="A275" s="121" t="str">
        <f t="shared" si="76"/>
        <v>Të tjera transferta korrente të brendshme</v>
      </c>
      <c r="B275" s="1229">
        <f t="shared" si="76"/>
        <v>604</v>
      </c>
      <c r="C275" s="1230">
        <f t="shared" si="76"/>
        <v>0</v>
      </c>
      <c r="D275" s="1231">
        <f t="shared" si="76"/>
        <v>0</v>
      </c>
      <c r="E275" s="126"/>
      <c r="F275" s="126"/>
      <c r="G275" s="126"/>
      <c r="H275" s="52"/>
      <c r="I275" s="477" t="str">
        <f t="shared" si="75"/>
        <v>VLERËSIMI I TË ARDHURAVE ME DESTINACION</v>
      </c>
      <c r="J275" s="34">
        <f>VLOOKUP($A262,'(C1) Shpenzimet vitet e kaluara'!$A$9:$O$177,7,FALSE)</f>
        <v>0</v>
      </c>
      <c r="K275" s="34">
        <f>VLOOKUP($A262,'(C1) Shpenzimet vitet e kaluara'!$A$9:$O$177,11,FALSE)</f>
        <v>0</v>
      </c>
      <c r="L275" s="34">
        <f>VLOOKUP($A262,'(C1) Shpenzimet vitet e kaluara'!$A$9:$O$177,15,FALSE)</f>
        <v>0</v>
      </c>
      <c r="M275" s="126">
        <f>SUM(M271:M274)</f>
        <v>0</v>
      </c>
      <c r="N275" s="126">
        <f>SUM(N271:N274)</f>
        <v>0</v>
      </c>
      <c r="O275" s="126">
        <f>SUM(O271:O274)</f>
        <v>0</v>
      </c>
    </row>
    <row r="276" spans="1:15" ht="12.75" x14ac:dyDescent="0.2">
      <c r="A276" s="121" t="str">
        <f t="shared" si="76"/>
        <v>Transferta korrente të huaja</v>
      </c>
      <c r="B276" s="1229">
        <f t="shared" si="76"/>
        <v>605</v>
      </c>
      <c r="C276" s="1230">
        <f t="shared" si="76"/>
        <v>0</v>
      </c>
      <c r="D276" s="1231">
        <f t="shared" si="76"/>
        <v>0</v>
      </c>
      <c r="E276" s="126"/>
      <c r="F276" s="126"/>
      <c r="G276" s="126"/>
      <c r="H276" s="52"/>
    </row>
    <row r="277" spans="1:15" ht="12.75" x14ac:dyDescent="0.2">
      <c r="A277" s="121" t="str">
        <f t="shared" si="76"/>
        <v>Transferta për Buxhetet Familiare dhe Individët</v>
      </c>
      <c r="B277" s="1229">
        <f t="shared" si="76"/>
        <v>606</v>
      </c>
      <c r="C277" s="1230">
        <f t="shared" si="76"/>
        <v>0</v>
      </c>
      <c r="D277" s="1231">
        <f t="shared" si="76"/>
        <v>0</v>
      </c>
      <c r="E277" s="126"/>
      <c r="F277" s="126"/>
      <c r="G277" s="126"/>
      <c r="H277" s="52"/>
      <c r="I277" s="134" t="str">
        <f>I121</f>
        <v xml:space="preserve">TË ARDHURAT E PRITSHME </v>
      </c>
      <c r="J277" s="33">
        <f>J268+J275</f>
        <v>0</v>
      </c>
      <c r="K277" s="33">
        <f>K268+K275</f>
        <v>0</v>
      </c>
      <c r="L277" s="33">
        <f>L268+L275</f>
        <v>0</v>
      </c>
      <c r="M277" s="126">
        <f>M275+M268</f>
        <v>0</v>
      </c>
      <c r="N277" s="126">
        <f>N275+N268</f>
        <v>0</v>
      </c>
      <c r="O277" s="126">
        <f>O275+O268</f>
        <v>0</v>
      </c>
    </row>
    <row r="278" spans="1:15" ht="12.75" x14ac:dyDescent="0.2">
      <c r="A278" s="121" t="str">
        <f t="shared" si="76"/>
        <v>Shpenzimet kapitale</v>
      </c>
      <c r="B278" s="1229" t="str">
        <f t="shared" si="76"/>
        <v>230 / 231</v>
      </c>
      <c r="C278" s="1230">
        <f t="shared" si="76"/>
        <v>0</v>
      </c>
      <c r="D278" s="1231">
        <f t="shared" si="76"/>
        <v>0</v>
      </c>
      <c r="E278" s="36"/>
      <c r="F278" s="36"/>
      <c r="G278" s="36"/>
      <c r="H278" s="52"/>
    </row>
    <row r="279" spans="1:15" ht="12.75" x14ac:dyDescent="0.2">
      <c r="A279" s="121" t="str">
        <f t="shared" si="76"/>
        <v>Rezerva</v>
      </c>
      <c r="B279" s="1229">
        <f t="shared" si="76"/>
        <v>609</v>
      </c>
      <c r="C279" s="1230">
        <f t="shared" si="76"/>
        <v>0</v>
      </c>
      <c r="D279" s="1231">
        <f t="shared" si="76"/>
        <v>0</v>
      </c>
      <c r="E279" s="126"/>
      <c r="F279" s="126"/>
      <c r="G279" s="126"/>
      <c r="H279" s="52"/>
    </row>
    <row r="280" spans="1:15" ht="12.75" x14ac:dyDescent="0.2">
      <c r="A280" s="121" t="str">
        <f t="shared" si="76"/>
        <v>Interesa per kredi direkte ose bono</v>
      </c>
      <c r="B280" s="1229">
        <f t="shared" si="76"/>
        <v>650</v>
      </c>
      <c r="C280" s="1230">
        <f t="shared" si="76"/>
        <v>0</v>
      </c>
      <c r="D280" s="1231">
        <f t="shared" si="76"/>
        <v>0</v>
      </c>
      <c r="E280" s="126"/>
      <c r="F280" s="126"/>
      <c r="G280" s="126"/>
      <c r="H280" s="52"/>
    </row>
    <row r="281" spans="1:15" ht="12.75" customHeight="1" x14ac:dyDescent="0.2">
      <c r="A281" s="121" t="str">
        <f t="shared" si="76"/>
        <v>Të tjera</v>
      </c>
      <c r="B281" s="1229" t="str">
        <f t="shared" si="76"/>
        <v>69 / ?</v>
      </c>
      <c r="C281" s="1230">
        <f t="shared" si="76"/>
        <v>0</v>
      </c>
      <c r="D281" s="1231">
        <f t="shared" si="76"/>
        <v>0</v>
      </c>
      <c r="E281" s="126"/>
      <c r="F281" s="126"/>
      <c r="G281" s="126"/>
      <c r="H281" s="52"/>
      <c r="I281" s="1235" t="str">
        <f t="shared" ref="I281:O281" si="77">I125</f>
        <v>SHUMA E KËRKUAR NETO</v>
      </c>
      <c r="J281" s="1236">
        <f t="shared" si="77"/>
        <v>0</v>
      </c>
      <c r="K281" s="1236">
        <f t="shared" si="77"/>
        <v>0</v>
      </c>
      <c r="L281" s="1236">
        <f t="shared" si="77"/>
        <v>0</v>
      </c>
      <c r="M281" s="1236">
        <f t="shared" si="77"/>
        <v>0</v>
      </c>
      <c r="N281" s="1236">
        <f t="shared" si="77"/>
        <v>0</v>
      </c>
      <c r="O281" s="1237">
        <f t="shared" si="77"/>
        <v>0</v>
      </c>
    </row>
    <row r="282" spans="1:15" ht="12.75" customHeight="1" x14ac:dyDescent="0.2">
      <c r="A282" s="268" t="str">
        <f t="shared" si="76"/>
        <v>KOSTO DIREKTE PËR PROJEKTET DHE SHPENZIMET KAPITALE</v>
      </c>
      <c r="B282" s="1229">
        <f t="shared" si="76"/>
        <v>0</v>
      </c>
      <c r="C282" s="1230">
        <f t="shared" si="76"/>
        <v>0</v>
      </c>
      <c r="D282" s="1231">
        <f t="shared" si="76"/>
        <v>0</v>
      </c>
      <c r="E282" s="126">
        <f>SUM(E271:E281)</f>
        <v>0</v>
      </c>
      <c r="F282" s="126">
        <f>SUM(F271:F281)</f>
        <v>0</v>
      </c>
      <c r="G282" s="126">
        <f>SUM(G271:G281)</f>
        <v>0</v>
      </c>
      <c r="H282" s="52"/>
      <c r="I282" s="1238">
        <f t="shared" ref="I282:O282" si="78">I126</f>
        <v>0</v>
      </c>
      <c r="J282" s="1239">
        <f t="shared" si="78"/>
        <v>0</v>
      </c>
      <c r="K282" s="1239">
        <f t="shared" si="78"/>
        <v>0</v>
      </c>
      <c r="L282" s="1239">
        <f t="shared" si="78"/>
        <v>0</v>
      </c>
      <c r="M282" s="1239">
        <f t="shared" si="78"/>
        <v>0</v>
      </c>
      <c r="N282" s="1239">
        <f t="shared" si="78"/>
        <v>0</v>
      </c>
      <c r="O282" s="1240">
        <f t="shared" si="78"/>
        <v>0</v>
      </c>
    </row>
    <row r="283" spans="1:15" ht="12.75" x14ac:dyDescent="0.2">
      <c r="A283" s="1226" t="str">
        <f t="shared" si="76"/>
        <v>SHPENZIME KORRENTE</v>
      </c>
      <c r="B283" s="1227">
        <f t="shared" si="76"/>
        <v>0</v>
      </c>
      <c r="C283" s="1227">
        <f t="shared" si="76"/>
        <v>0</v>
      </c>
      <c r="D283" s="1227">
        <f t="shared" si="76"/>
        <v>0</v>
      </c>
      <c r="E283" s="1227">
        <f>E127</f>
        <v>0</v>
      </c>
      <c r="F283" s="1227">
        <f>F127</f>
        <v>0</v>
      </c>
      <c r="G283" s="1228">
        <f>G127</f>
        <v>0</v>
      </c>
      <c r="H283" s="52"/>
      <c r="I283" s="17" t="str">
        <f>I127</f>
        <v>SHUMA E KËRKUAR NETO</v>
      </c>
      <c r="J283" s="18">
        <f t="shared" ref="J283:O283" si="79">B267-J277</f>
        <v>0</v>
      </c>
      <c r="K283" s="18">
        <f t="shared" si="79"/>
        <v>0</v>
      </c>
      <c r="L283" s="18">
        <f t="shared" si="79"/>
        <v>0</v>
      </c>
      <c r="M283" s="18">
        <f t="shared" si="79"/>
        <v>0</v>
      </c>
      <c r="N283" s="18">
        <f t="shared" si="79"/>
        <v>0</v>
      </c>
      <c r="O283" s="18">
        <f t="shared" si="79"/>
        <v>0</v>
      </c>
    </row>
    <row r="284" spans="1:15" ht="12.75" x14ac:dyDescent="0.2">
      <c r="A284" s="121" t="str">
        <f t="shared" si="76"/>
        <v>Pagat</v>
      </c>
      <c r="B284" s="1229">
        <f t="shared" si="76"/>
        <v>600</v>
      </c>
      <c r="C284" s="1230">
        <f t="shared" si="76"/>
        <v>0</v>
      </c>
      <c r="D284" s="1231">
        <f t="shared" si="76"/>
        <v>0</v>
      </c>
      <c r="E284" s="36"/>
      <c r="F284" s="36"/>
      <c r="G284" s="36"/>
      <c r="H284" s="52"/>
      <c r="I284" s="52"/>
      <c r="J284" s="52"/>
      <c r="K284" s="52"/>
      <c r="L284" s="14"/>
      <c r="M284" s="53"/>
    </row>
    <row r="285" spans="1:15" ht="12.75" x14ac:dyDescent="0.2">
      <c r="A285" s="121" t="str">
        <f t="shared" si="76"/>
        <v>Sigurimet Shoqërore</v>
      </c>
      <c r="B285" s="1229">
        <f t="shared" si="76"/>
        <v>601</v>
      </c>
      <c r="C285" s="1230">
        <f t="shared" si="76"/>
        <v>0</v>
      </c>
      <c r="D285" s="1231">
        <f t="shared" si="76"/>
        <v>0</v>
      </c>
      <c r="E285" s="36"/>
      <c r="F285" s="36"/>
      <c r="G285" s="36"/>
      <c r="H285" s="52"/>
    </row>
    <row r="286" spans="1:15" ht="12.75" x14ac:dyDescent="0.2">
      <c r="A286" s="121" t="str">
        <f t="shared" si="76"/>
        <v>Mallra dhe shërbime</v>
      </c>
      <c r="B286" s="1229">
        <f t="shared" si="76"/>
        <v>602</v>
      </c>
      <c r="C286" s="1230">
        <f t="shared" si="76"/>
        <v>0</v>
      </c>
      <c r="D286" s="1231">
        <f t="shared" si="76"/>
        <v>0</v>
      </c>
      <c r="E286" s="36"/>
      <c r="F286" s="36"/>
      <c r="G286" s="36"/>
      <c r="H286" s="52"/>
      <c r="I286" s="477" t="str">
        <f>I247</f>
        <v>Angazhimet</v>
      </c>
      <c r="J286" s="1290" t="str">
        <f>J247</f>
        <v>Vlera Totale për Aktivitet</v>
      </c>
      <c r="K286" s="1291"/>
      <c r="L286" s="1292"/>
      <c r="M286" s="126">
        <f>VLOOKUP($A262,'(C5) Angazhimet'!$A$8:$F$168,4,FALSE)</f>
        <v>0</v>
      </c>
      <c r="N286" s="126">
        <f>VLOOKUP($A262,'(C5) Angazhimet'!$A$8:$F$168,5,FALSE)</f>
        <v>0</v>
      </c>
      <c r="O286" s="126">
        <f>VLOOKUP($A262,'(C5) Angazhimet'!$A$8:$F$168,6,FALSE)</f>
        <v>0</v>
      </c>
    </row>
    <row r="287" spans="1:15" ht="12.75" x14ac:dyDescent="0.2">
      <c r="A287" s="121" t="str">
        <f t="shared" si="76"/>
        <v>Subvencione</v>
      </c>
      <c r="B287" s="1229">
        <f t="shared" si="76"/>
        <v>603</v>
      </c>
      <c r="C287" s="1230">
        <f t="shared" si="76"/>
        <v>0</v>
      </c>
      <c r="D287" s="1231">
        <f t="shared" si="76"/>
        <v>0</v>
      </c>
      <c r="E287" s="36"/>
      <c r="F287" s="36"/>
      <c r="G287" s="36"/>
      <c r="H287" s="52"/>
      <c r="I287" s="279" t="str">
        <f>I248</f>
        <v>Qëllime</v>
      </c>
      <c r="J287" s="1290" t="str">
        <f>J248</f>
        <v>Shpenzimet kapitale</v>
      </c>
      <c r="K287" s="1291"/>
      <c r="L287" s="1292"/>
      <c r="M287" s="125"/>
      <c r="N287" s="125"/>
      <c r="O287" s="129"/>
    </row>
    <row r="288" spans="1:15" ht="12.75" x14ac:dyDescent="0.2">
      <c r="A288" s="121" t="str">
        <f t="shared" si="76"/>
        <v>Të tjera transferta korrente të brendshme</v>
      </c>
      <c r="B288" s="1229">
        <f t="shared" si="76"/>
        <v>604</v>
      </c>
      <c r="C288" s="1230">
        <f t="shared" si="76"/>
        <v>0</v>
      </c>
      <c r="D288" s="1231">
        <f t="shared" si="76"/>
        <v>0</v>
      </c>
      <c r="E288" s="36"/>
      <c r="F288" s="36"/>
      <c r="G288" s="36"/>
      <c r="H288" s="52"/>
      <c r="I288" s="276"/>
      <c r="J288" s="1290" t="str">
        <f>J249</f>
        <v>Mallra dhe shërbime</v>
      </c>
      <c r="K288" s="1291"/>
      <c r="L288" s="1292"/>
      <c r="M288" s="125"/>
      <c r="N288" s="125"/>
      <c r="O288" s="129"/>
    </row>
    <row r="289" spans="1:15" ht="12.75" x14ac:dyDescent="0.2">
      <c r="A289" s="121" t="str">
        <f t="shared" si="76"/>
        <v>Transferta korrente të huaja</v>
      </c>
      <c r="B289" s="1229">
        <f t="shared" si="76"/>
        <v>605</v>
      </c>
      <c r="C289" s="1230">
        <f t="shared" si="76"/>
        <v>0</v>
      </c>
      <c r="D289" s="1231">
        <f t="shared" si="76"/>
        <v>0</v>
      </c>
      <c r="E289" s="36"/>
      <c r="F289" s="36"/>
      <c r="G289" s="36"/>
      <c r="H289" s="52"/>
      <c r="I289" s="276"/>
      <c r="J289" s="1290" t="str">
        <f>J250</f>
        <v>Qëllime të mëtejshme</v>
      </c>
      <c r="K289" s="1291"/>
      <c r="L289" s="1292"/>
      <c r="M289" s="125"/>
      <c r="N289" s="125"/>
      <c r="O289" s="129"/>
    </row>
    <row r="290" spans="1:15" ht="12.75" x14ac:dyDescent="0.2">
      <c r="A290" s="121" t="str">
        <f t="shared" si="76"/>
        <v>Transferta për Buxhetet Familiare dhe Individët</v>
      </c>
      <c r="B290" s="1229">
        <f t="shared" si="76"/>
        <v>606</v>
      </c>
      <c r="C290" s="1230">
        <f t="shared" si="76"/>
        <v>0</v>
      </c>
      <c r="D290" s="1231">
        <f t="shared" si="76"/>
        <v>0</v>
      </c>
      <c r="E290" s="36"/>
      <c r="F290" s="36"/>
      <c r="G290" s="36"/>
      <c r="H290" s="52"/>
      <c r="I290" s="276"/>
      <c r="J290" s="1286"/>
      <c r="K290" s="1286"/>
      <c r="L290" s="1286"/>
      <c r="M290" s="300" t="str">
        <f>IF(SUM(M287:M289)=M286,"OK","STOP")</f>
        <v>OK</v>
      </c>
      <c r="N290" s="300" t="str">
        <f>IF(SUM(N287:N289)=N286,"OK","STOP")</f>
        <v>OK</v>
      </c>
      <c r="O290" s="300" t="str">
        <f>IF(SUM(O287:O289)=O286,"OK","STOP")</f>
        <v>OK</v>
      </c>
    </row>
    <row r="291" spans="1:15" ht="12.75" x14ac:dyDescent="0.2">
      <c r="A291" s="564" t="str">
        <f t="shared" si="76"/>
        <v>Shpenzimet kapitale</v>
      </c>
      <c r="B291" s="1256" t="str">
        <f t="shared" si="76"/>
        <v>230 / 231</v>
      </c>
      <c r="C291" s="1257">
        <f t="shared" si="76"/>
        <v>0</v>
      </c>
      <c r="D291" s="1258">
        <f t="shared" si="76"/>
        <v>0</v>
      </c>
      <c r="E291" s="126"/>
      <c r="F291" s="126"/>
      <c r="G291" s="126"/>
      <c r="H291" s="52"/>
      <c r="I291" s="367" t="str">
        <f>I252</f>
        <v>Shpjegimet teknike</v>
      </c>
      <c r="J291" s="10"/>
      <c r="K291" s="10"/>
      <c r="L291" s="10"/>
      <c r="M291" s="10"/>
      <c r="N291" s="10"/>
      <c r="O291" s="10"/>
    </row>
    <row r="292" spans="1:15" ht="12.75" x14ac:dyDescent="0.2">
      <c r="A292" s="121" t="str">
        <f t="shared" si="76"/>
        <v>Rezerva</v>
      </c>
      <c r="B292" s="1229">
        <f t="shared" si="76"/>
        <v>609</v>
      </c>
      <c r="C292" s="1230">
        <f t="shared" si="76"/>
        <v>0</v>
      </c>
      <c r="D292" s="1231">
        <f t="shared" si="76"/>
        <v>0</v>
      </c>
      <c r="E292" s="36"/>
      <c r="F292" s="36"/>
      <c r="G292" s="36"/>
      <c r="H292" s="52"/>
      <c r="I292" s="365">
        <f>M265</f>
        <v>2022</v>
      </c>
      <c r="J292" s="1271"/>
      <c r="K292" s="1272"/>
      <c r="L292" s="1272"/>
      <c r="M292" s="1272"/>
      <c r="N292" s="1272"/>
      <c r="O292" s="1273"/>
    </row>
    <row r="293" spans="1:15" ht="12.75" x14ac:dyDescent="0.2">
      <c r="A293" s="121" t="str">
        <f t="shared" si="76"/>
        <v>Interesa per kredi direkte ose bono</v>
      </c>
      <c r="B293" s="1259">
        <f t="shared" si="76"/>
        <v>650</v>
      </c>
      <c r="C293" s="1260">
        <f t="shared" si="76"/>
        <v>0</v>
      </c>
      <c r="D293" s="1261">
        <f t="shared" si="76"/>
        <v>0</v>
      </c>
      <c r="E293" s="36"/>
      <c r="F293" s="36"/>
      <c r="G293" s="36"/>
      <c r="H293" s="52"/>
      <c r="I293" s="366"/>
      <c r="J293" s="1274"/>
      <c r="K293" s="1275"/>
      <c r="L293" s="1275"/>
      <c r="M293" s="1275"/>
      <c r="N293" s="1275"/>
      <c r="O293" s="1276"/>
    </row>
    <row r="294" spans="1:15" ht="12.75" x14ac:dyDescent="0.2">
      <c r="A294" s="477" t="str">
        <f>A138</f>
        <v>Të tjera</v>
      </c>
      <c r="B294" s="1229" t="str">
        <f>B138</f>
        <v>69 / ?</v>
      </c>
      <c r="C294" s="1230">
        <f>C138</f>
        <v>0</v>
      </c>
      <c r="D294" s="273" t="str">
        <f>IF(OR(E294&lt;0,F294&lt;0,G294&lt;0),"STOP","OK!")</f>
        <v>OK!</v>
      </c>
      <c r="E294" s="127">
        <f>-E282+E267-(SUM(E284:E293))</f>
        <v>0</v>
      </c>
      <c r="F294" s="270">
        <f>-F282+F267-(SUM(F284:F293))</f>
        <v>0</v>
      </c>
      <c r="G294" s="270">
        <f>-G282+G267-(SUM(G284:G293))</f>
        <v>0</v>
      </c>
      <c r="H294" s="52"/>
      <c r="I294" s="365">
        <f>N265</f>
        <v>2023</v>
      </c>
      <c r="J294" s="1271"/>
      <c r="K294" s="1272"/>
      <c r="L294" s="1272"/>
      <c r="M294" s="1272"/>
      <c r="N294" s="1272"/>
      <c r="O294" s="1273"/>
    </row>
    <row r="295" spans="1:15" ht="12.75" x14ac:dyDescent="0.2">
      <c r="A295" s="121" t="str">
        <f>A139</f>
        <v>SHPENZIME KORRENTE</v>
      </c>
      <c r="B295" s="1262"/>
      <c r="C295" s="1263"/>
      <c r="D295" s="1264"/>
      <c r="E295" s="126">
        <f>SUM(E284:E294)</f>
        <v>0</v>
      </c>
      <c r="F295" s="126">
        <f>SUM(F284:F294)</f>
        <v>0</v>
      </c>
      <c r="G295" s="126">
        <f>SUM(G284:G294)</f>
        <v>0</v>
      </c>
      <c r="H295" s="52"/>
      <c r="I295" s="366"/>
      <c r="J295" s="1277"/>
      <c r="K295" s="1278"/>
      <c r="L295" s="1278"/>
      <c r="M295" s="1278"/>
      <c r="N295" s="1278"/>
      <c r="O295" s="1279"/>
    </row>
    <row r="296" spans="1:15" ht="12.75" x14ac:dyDescent="0.2">
      <c r="A296" s="122"/>
      <c r="B296" s="201"/>
      <c r="C296" s="123"/>
      <c r="D296" s="123"/>
      <c r="E296" s="10"/>
      <c r="F296" s="10"/>
      <c r="G296" s="130"/>
      <c r="H296" s="52"/>
      <c r="I296" s="365">
        <f>O265</f>
        <v>2024</v>
      </c>
      <c r="J296" s="1271"/>
      <c r="K296" s="1272"/>
      <c r="L296" s="1272"/>
      <c r="M296" s="1272"/>
      <c r="N296" s="1272"/>
      <c r="O296" s="1273"/>
    </row>
    <row r="297" spans="1:15" ht="12.75" x14ac:dyDescent="0.2">
      <c r="A297" s="134" t="str">
        <f>A141</f>
        <v>SHPENZIME TË PRITSHME</v>
      </c>
      <c r="B297" s="33">
        <f>B267</f>
        <v>0</v>
      </c>
      <c r="C297" s="33">
        <f>C267</f>
        <v>0</v>
      </c>
      <c r="D297" s="33">
        <f>D267</f>
        <v>0</v>
      </c>
      <c r="E297" s="126">
        <f>E282+E295</f>
        <v>0</v>
      </c>
      <c r="F297" s="126">
        <f>F282+F295</f>
        <v>0</v>
      </c>
      <c r="G297" s="126">
        <f>G282+G295</f>
        <v>0</v>
      </c>
      <c r="H297" s="52"/>
      <c r="I297" s="366"/>
      <c r="J297" s="1277"/>
      <c r="K297" s="1278"/>
      <c r="L297" s="1278"/>
      <c r="M297" s="1278"/>
      <c r="N297" s="1278"/>
      <c r="O297" s="1279"/>
    </row>
  </sheetData>
  <sheetProtection selectLockedCells="1"/>
  <mergeCells count="339">
    <mergeCell ref="J296:O297"/>
    <mergeCell ref="I153:O153"/>
    <mergeCell ref="I192:O192"/>
    <mergeCell ref="I231:O231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7:L247"/>
    <mergeCell ref="J248:L248"/>
    <mergeCell ref="J249:L249"/>
    <mergeCell ref="J250:L250"/>
    <mergeCell ref="J251:L251"/>
    <mergeCell ref="J253:O254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90:D290"/>
    <mergeCell ref="B291:D291"/>
    <mergeCell ref="B276:D276"/>
    <mergeCell ref="B277:D277"/>
    <mergeCell ref="B278:D278"/>
    <mergeCell ref="B279:D279"/>
    <mergeCell ref="B280:D280"/>
    <mergeCell ref="B273:D273"/>
    <mergeCell ref="B274:D274"/>
    <mergeCell ref="B275:D275"/>
    <mergeCell ref="A269:G269"/>
    <mergeCell ref="A270:G270"/>
    <mergeCell ref="B271:D271"/>
    <mergeCell ref="B272:D272"/>
    <mergeCell ref="I267:O267"/>
    <mergeCell ref="B255:C255"/>
    <mergeCell ref="B256:D256"/>
    <mergeCell ref="B292:D292"/>
    <mergeCell ref="B293:D293"/>
    <mergeCell ref="B294:C294"/>
    <mergeCell ref="B295:D295"/>
    <mergeCell ref="I281:O282"/>
    <mergeCell ref="B282:D282"/>
    <mergeCell ref="A283:G283"/>
    <mergeCell ref="B284:D284"/>
    <mergeCell ref="B285:D285"/>
    <mergeCell ref="B286:D286"/>
    <mergeCell ref="B287:D287"/>
    <mergeCell ref="B288:D288"/>
    <mergeCell ref="B289:D289"/>
    <mergeCell ref="J286:L286"/>
    <mergeCell ref="J287:L287"/>
    <mergeCell ref="J288:L288"/>
    <mergeCell ref="J289:L289"/>
    <mergeCell ref="J290:L290"/>
    <mergeCell ref="J292:O293"/>
    <mergeCell ref="J294:O295"/>
    <mergeCell ref="B281:D281"/>
    <mergeCell ref="B261:O261"/>
    <mergeCell ref="B262:O262"/>
    <mergeCell ref="A264:G264"/>
    <mergeCell ref="I264:O264"/>
    <mergeCell ref="J255:O256"/>
    <mergeCell ref="J257:O258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41:D241"/>
    <mergeCell ref="B242:D242"/>
    <mergeCell ref="I242:O243"/>
    <mergeCell ref="B243:D243"/>
    <mergeCell ref="A244:G244"/>
    <mergeCell ref="B245:D245"/>
    <mergeCell ref="B236:D236"/>
    <mergeCell ref="B237:D237"/>
    <mergeCell ref="B238:D238"/>
    <mergeCell ref="B239:D239"/>
    <mergeCell ref="B240:D240"/>
    <mergeCell ref="B233:D233"/>
    <mergeCell ref="B234:D234"/>
    <mergeCell ref="B235:D235"/>
    <mergeCell ref="A230:G230"/>
    <mergeCell ref="A231:G231"/>
    <mergeCell ref="B232:D232"/>
    <mergeCell ref="A225:G225"/>
    <mergeCell ref="I225:O225"/>
    <mergeCell ref="I228:O228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B1:O1"/>
    <mergeCell ref="B2:O2"/>
    <mergeCell ref="A3:B3"/>
    <mergeCell ref="C3:O3"/>
    <mergeCell ref="A4:B4"/>
    <mergeCell ref="C4:O4"/>
    <mergeCell ref="A9:B9"/>
    <mergeCell ref="C9:H9"/>
    <mergeCell ref="I9:K9"/>
    <mergeCell ref="L9:O9"/>
    <mergeCell ref="A7:B7"/>
    <mergeCell ref="C7:H7"/>
    <mergeCell ref="I7:K7"/>
    <mergeCell ref="L7:O7"/>
    <mergeCell ref="A8:B8"/>
    <mergeCell ref="C8:H8"/>
    <mergeCell ref="I8:K8"/>
    <mergeCell ref="L8:O8"/>
    <mergeCell ref="I270:O270"/>
    <mergeCell ref="A5:B5"/>
    <mergeCell ref="C5:H5"/>
    <mergeCell ref="I5:K5"/>
    <mergeCell ref="L5:O5"/>
    <mergeCell ref="A6:B6"/>
    <mergeCell ref="C6:H6"/>
    <mergeCell ref="I6:K6"/>
    <mergeCell ref="L6:O6"/>
    <mergeCell ref="A10:B10"/>
    <mergeCell ref="C10:H10"/>
    <mergeCell ref="I10:K10"/>
    <mergeCell ref="L10:O10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6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rgb="FFFF0000"/>
    <pageSetUpPr fitToPage="1"/>
  </sheetPr>
  <dimension ref="A1:O297"/>
  <sheetViews>
    <sheetView showGridLines="0" topLeftCell="A219" workbookViewId="0">
      <selection activeCell="O232" sqref="O232"/>
    </sheetView>
  </sheetViews>
  <sheetFormatPr defaultColWidth="9.140625" defaultRowHeight="17.25" customHeight="1" x14ac:dyDescent="0.2"/>
  <cols>
    <col min="1" max="1" width="25.85546875" style="95" customWidth="1"/>
    <col min="2" max="2" width="10.28515625" style="95" customWidth="1"/>
    <col min="3" max="3" width="9.5703125" style="95" customWidth="1"/>
    <col min="4" max="4" width="10" style="95" customWidth="1"/>
    <col min="5" max="7" width="9" style="95" customWidth="1"/>
    <col min="8" max="8" width="2.7109375" style="95" customWidth="1"/>
    <col min="9" max="9" width="29.7109375" style="95" customWidth="1"/>
    <col min="10" max="10" width="9.85546875" style="95" customWidth="1"/>
    <col min="11" max="11" width="10.42578125" style="95" customWidth="1"/>
    <col min="12" max="12" width="10.140625" style="95" customWidth="1"/>
    <col min="13" max="13" width="10.5703125" style="95" customWidth="1"/>
    <col min="14" max="14" width="11" style="95" customWidth="1"/>
    <col min="15" max="15" width="10.28515625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Fjalori'!A70</f>
        <v>Nënfunksioni 7</v>
      </c>
      <c r="B2" s="1130" t="str">
        <f>+VLOOKUP($A2,'(B2) Struktura Organizative'!$A7:$E33,2,FALSE)</f>
        <v>042 Bujqësia, pyjet, peshkimi dhe gjuetia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 t="str">
        <f>+VLOOKUP($A2,'(B2) Struktura Organizative'!$A7:$E33,4,FALSE)</f>
        <v>Enton Berberi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Funksionale'!A42</f>
        <v>Programi 7a</v>
      </c>
      <c r="B6" s="1203"/>
      <c r="C6" s="1204" t="str">
        <f>VLOOKUP($A6,'(B3) Struktura Funksionale'!$A$7:$E$146,3,FALSE)</f>
        <v>Shërbimet bujqësore, inspektimi, ushqimi dhe mbrojtja e konsumatoreve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hidden="1" customHeight="1" x14ac:dyDescent="0.2">
      <c r="A7" s="1202" t="str">
        <f>'(B3) Struktura Funksionale'!A43</f>
        <v>Programi 7b</v>
      </c>
      <c r="B7" s="1203"/>
      <c r="C7" s="1204" t="str">
        <f>VLOOKUP($A7,'(B3) Struktura Funksionale'!$A$7:$E$146,3,FALSE)</f>
        <v>Këshillimi Bujqësor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hidden="1" customHeight="1" x14ac:dyDescent="0.2">
      <c r="A8" s="1202" t="str">
        <f>'(B3) Struktura Funksionale'!A44</f>
        <v>Programi 7c</v>
      </c>
      <c r="B8" s="1203"/>
      <c r="C8" s="1204" t="str">
        <f>VLOOKUP($A8,'(B3) Struktura Funksionale'!$A$7:$E$146,3,FALSE)</f>
        <v>Veterineria</v>
      </c>
      <c r="D8" s="1205"/>
      <c r="E8" s="1205"/>
      <c r="F8" s="1205"/>
      <c r="G8" s="1205"/>
      <c r="H8" s="1206"/>
      <c r="I8" s="1204" t="str">
        <f>VLOOKUP($A8,'(B3) Struktura Funksionale'!$A$7:$E$146,4,FALSE)</f>
        <v>E detyrueshme</v>
      </c>
      <c r="J8" s="1205"/>
      <c r="K8" s="1206"/>
      <c r="L8" s="1204" t="str">
        <f>VLOOKUP($A8,'(B3) Struktura Funksionale'!$A$7:$E$146,5,FALSE)</f>
        <v>I veti</v>
      </c>
      <c r="M8" s="1205"/>
      <c r="N8" s="1205"/>
      <c r="O8" s="1206"/>
    </row>
    <row r="9" spans="1:15" ht="13.5" customHeight="1" x14ac:dyDescent="0.2">
      <c r="A9" s="1202" t="str">
        <f>'(B3) Struktura Funksionale'!A45</f>
        <v>Programi 7d</v>
      </c>
      <c r="B9" s="1203"/>
      <c r="C9" s="1204" t="str">
        <f>VLOOKUP($A9,'(B3) Struktura Funksionale'!$A$7:$E$146,3,FALSE)</f>
        <v>Menaxhimi i Infrastruktuës së ujitjes dhe kullimit</v>
      </c>
      <c r="D9" s="1205"/>
      <c r="E9" s="1205"/>
      <c r="F9" s="1205"/>
      <c r="G9" s="1205"/>
      <c r="H9" s="1206"/>
      <c r="I9" s="1204" t="str">
        <f>VLOOKUP($A9,'(B3) Struktura Funksionale'!$A$7:$E$146,4,FALSE)</f>
        <v>E detyrueshme</v>
      </c>
      <c r="J9" s="1205"/>
      <c r="K9" s="1206"/>
      <c r="L9" s="1204" t="str">
        <f>VLOOKUP($A9,'(B3) Struktura Funksionale'!$A$7:$E$146,5,FALSE)</f>
        <v>Transferuar</v>
      </c>
      <c r="M9" s="1205"/>
      <c r="N9" s="1205"/>
      <c r="O9" s="1206"/>
    </row>
    <row r="10" spans="1:15" ht="13.5" customHeight="1" x14ac:dyDescent="0.2">
      <c r="A10" s="1202" t="str">
        <f>'(B3) Struktura Funksionale'!A46</f>
        <v>Programi 7e</v>
      </c>
      <c r="B10" s="1203"/>
      <c r="C10" s="1204" t="str">
        <f>VLOOKUP($A10,'(B3) Struktura Funksionale'!$A$7:$E$146,3,FALSE)</f>
        <v>Administrimi i pyjeve dhe kullotave</v>
      </c>
      <c r="D10" s="1205"/>
      <c r="E10" s="1205"/>
      <c r="F10" s="1205"/>
      <c r="G10" s="1205"/>
      <c r="H10" s="1206"/>
      <c r="I10" s="1204" t="str">
        <f>VLOOKUP($A10,'(B3) Struktura Funksionale'!$A$7:$E$146,4,FALSE)</f>
        <v>E detyrueshme</v>
      </c>
      <c r="J10" s="1205"/>
      <c r="K10" s="1206"/>
      <c r="L10" s="1204" t="str">
        <f>VLOOKUP($A10,'(B3) Struktura Funksionale'!$A$7:$E$146,5,FALSE)</f>
        <v>Transferuar</v>
      </c>
      <c r="M10" s="1205"/>
      <c r="N10" s="1205"/>
      <c r="O10" s="1206"/>
    </row>
    <row r="11" spans="1:15" ht="13.5" customHeight="1" x14ac:dyDescent="0.2">
      <c r="A11" s="1202" t="str">
        <f>'(B3) Struktura Funksionale'!A47</f>
        <v>Programi 7f</v>
      </c>
      <c r="B11" s="1203"/>
      <c r="C11" s="1204">
        <f>VLOOKUP($A11,'(B3) Struktura Funksionale'!$A$7:$E$146,3,FALSE)</f>
        <v>0</v>
      </c>
      <c r="D11" s="1205"/>
      <c r="E11" s="1205"/>
      <c r="F11" s="1205"/>
      <c r="G11" s="1205"/>
      <c r="H11" s="1206"/>
      <c r="I11" s="1204">
        <f>VLOOKUP($A11,'(B3) Struktura Funksionale'!$A$7:$E$146,4,FALSE)</f>
        <v>0</v>
      </c>
      <c r="J11" s="1205"/>
      <c r="K11" s="1206"/>
      <c r="L11" s="1204">
        <f>VLOOKUP($A11,'(B3) Struktura Funksionale'!$A$7:$E$146,5,FALSE)</f>
        <v>0</v>
      </c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7</v>
      </c>
      <c r="B14" s="1225" t="str">
        <f>B$2</f>
        <v>042 Bujqësia, pyjet, peshkimi dhe gjuetia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21" t="str">
        <f>A15</f>
        <v>SHPENZIME TË PRITSHME</v>
      </c>
      <c r="B18" s="774">
        <f t="shared" ref="B18:G18" si="1">B72+B111+B150+B189+B228+B267</f>
        <v>5930122</v>
      </c>
      <c r="C18" s="774">
        <f t="shared" si="1"/>
        <v>28000050</v>
      </c>
      <c r="D18" s="774">
        <f t="shared" si="1"/>
        <v>50350489</v>
      </c>
      <c r="E18" s="713">
        <f t="shared" si="1"/>
        <v>42344600</v>
      </c>
      <c r="F18" s="713">
        <f t="shared" si="1"/>
        <v>44176460</v>
      </c>
      <c r="G18" s="713">
        <f t="shared" si="1"/>
        <v>46049240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709"/>
      <c r="B19" s="710"/>
      <c r="C19" s="711"/>
      <c r="D19" s="711"/>
      <c r="E19" s="276"/>
      <c r="F19" s="276"/>
      <c r="G19" s="712"/>
      <c r="H19" s="10"/>
      <c r="I19" s="134" t="str">
        <f>'(G1) Fjalori'!A388</f>
        <v>VLERËSIM I ARDHURAVE NGA TARIFAT</v>
      </c>
      <c r="J19" s="34">
        <f t="shared" ref="J19:O19" si="2">J73+J112+J151+J190+J229+J268</f>
        <v>1335630</v>
      </c>
      <c r="K19" s="34">
        <f t="shared" si="2"/>
        <v>1993372</v>
      </c>
      <c r="L19" s="33">
        <f t="shared" si="2"/>
        <v>2000000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777">
        <f t="shared" ref="E22:G33" si="3">E76+E115+E154+E193+E232+E271</f>
        <v>0</v>
      </c>
      <c r="F22" s="777">
        <f t="shared" si="3"/>
        <v>0</v>
      </c>
      <c r="G22" s="77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777">
        <f t="shared" si="3"/>
        <v>0</v>
      </c>
      <c r="F23" s="777">
        <f t="shared" si="3"/>
        <v>0</v>
      </c>
      <c r="G23" s="77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M76+M115+M154+M193+M232+M271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777">
        <f t="shared" si="3"/>
        <v>0</v>
      </c>
      <c r="F24" s="777">
        <f t="shared" si="3"/>
        <v>0</v>
      </c>
      <c r="G24" s="77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23438000</v>
      </c>
      <c r="N24" s="267">
        <f t="shared" si="4"/>
        <v>23438000</v>
      </c>
      <c r="O24" s="267">
        <f t="shared" si="4"/>
        <v>23438000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777">
        <f t="shared" si="3"/>
        <v>0</v>
      </c>
      <c r="F25" s="777">
        <f t="shared" si="3"/>
        <v>0</v>
      </c>
      <c r="G25" s="77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777">
        <f t="shared" si="3"/>
        <v>0</v>
      </c>
      <c r="F26" s="777">
        <f t="shared" si="3"/>
        <v>0</v>
      </c>
      <c r="G26" s="77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777">
        <f t="shared" si="3"/>
        <v>0</v>
      </c>
      <c r="F27" s="777">
        <f t="shared" si="3"/>
        <v>0</v>
      </c>
      <c r="G27" s="777">
        <f t="shared" si="3"/>
        <v>0</v>
      </c>
      <c r="H27" s="52"/>
      <c r="I27" s="239" t="str">
        <f>'(G1) Fjalori'!A394</f>
        <v>VLERËSIMI I TË ARDHURAVE ME DESTINACION</v>
      </c>
      <c r="J27" s="774">
        <f>J80+J119+J158+J197+J236+J275</f>
        <v>21847196</v>
      </c>
      <c r="K27" s="774">
        <f>K80+K119+K158+K197+K236+K275</f>
        <v>21688000</v>
      </c>
      <c r="L27" s="774">
        <f>L80+L119+L158+L197+L236+L275</f>
        <v>23438000</v>
      </c>
      <c r="M27" s="126">
        <f t="shared" si="4"/>
        <v>23438000</v>
      </c>
      <c r="N27" s="126">
        <f t="shared" si="4"/>
        <v>23438000</v>
      </c>
      <c r="O27" s="126">
        <f t="shared" si="4"/>
        <v>23438000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777">
        <f t="shared" si="3"/>
        <v>0</v>
      </c>
      <c r="F28" s="777">
        <f t="shared" si="3"/>
        <v>0</v>
      </c>
      <c r="G28" s="777">
        <f t="shared" si="3"/>
        <v>0</v>
      </c>
      <c r="H28" s="52"/>
      <c r="J28" s="776"/>
      <c r="K28" s="776"/>
      <c r="L28" s="776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777">
        <f t="shared" si="3"/>
        <v>8350000</v>
      </c>
      <c r="F29" s="777">
        <f t="shared" si="3"/>
        <v>8569600</v>
      </c>
      <c r="G29" s="777">
        <f t="shared" si="3"/>
        <v>8830700</v>
      </c>
      <c r="H29" s="52"/>
      <c r="I29" s="134" t="str">
        <f>'(G1) Fjalori'!A395</f>
        <v xml:space="preserve">TË ARDHURAT E PRITSHME </v>
      </c>
      <c r="J29" s="774">
        <f t="shared" ref="J29:O29" si="5">J82+J121+J160+J199+J238+J277</f>
        <v>23182826</v>
      </c>
      <c r="K29" s="774">
        <f t="shared" si="5"/>
        <v>23681372</v>
      </c>
      <c r="L29" s="774">
        <f t="shared" si="5"/>
        <v>25438000</v>
      </c>
      <c r="M29" s="126">
        <f t="shared" si="5"/>
        <v>23438000</v>
      </c>
      <c r="N29" s="126">
        <f t="shared" si="5"/>
        <v>23438000</v>
      </c>
      <c r="O29" s="126">
        <f t="shared" si="5"/>
        <v>23438000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777">
        <f t="shared" si="3"/>
        <v>0</v>
      </c>
      <c r="F30" s="777">
        <f t="shared" si="3"/>
        <v>0</v>
      </c>
      <c r="G30" s="77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777">
        <f t="shared" si="3"/>
        <v>0</v>
      </c>
      <c r="F31" s="777">
        <f t="shared" si="3"/>
        <v>0</v>
      </c>
      <c r="G31" s="77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777">
        <f t="shared" si="3"/>
        <v>0</v>
      </c>
      <c r="F32" s="777">
        <f t="shared" si="3"/>
        <v>0</v>
      </c>
      <c r="G32" s="77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714" t="str">
        <f>A21</f>
        <v>KOSTO DIREKTE PËR PROJEKTET DHE SHPENZIMET KAPITALE</v>
      </c>
      <c r="B33" s="1229"/>
      <c r="C33" s="1230"/>
      <c r="D33" s="1231"/>
      <c r="E33" s="713">
        <f t="shared" si="3"/>
        <v>8350000</v>
      </c>
      <c r="F33" s="713">
        <f t="shared" si="3"/>
        <v>8569600</v>
      </c>
      <c r="G33" s="713">
        <f t="shared" si="3"/>
        <v>8830700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780">
        <f t="shared" ref="J34:O34" si="6">J88+J127+J166+J205+J244+J283</f>
        <v>-17252704</v>
      </c>
      <c r="K34" s="780">
        <f t="shared" si="6"/>
        <v>4318678</v>
      </c>
      <c r="L34" s="780">
        <f t="shared" si="6"/>
        <v>24912489</v>
      </c>
      <c r="M34" s="780">
        <f t="shared" si="6"/>
        <v>18906600</v>
      </c>
      <c r="N34" s="780">
        <f t="shared" si="6"/>
        <v>20738460</v>
      </c>
      <c r="O34" s="780">
        <f t="shared" si="6"/>
        <v>22611240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777">
        <f t="shared" ref="E35:G46" si="7">E89+E128+E167+E206+E245+E284</f>
        <v>14249332</v>
      </c>
      <c r="F35" s="777">
        <f t="shared" si="7"/>
        <v>14961630</v>
      </c>
      <c r="G35" s="777">
        <f t="shared" si="7"/>
        <v>15738348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777">
        <f t="shared" si="7"/>
        <v>2768970</v>
      </c>
      <c r="F36" s="777">
        <f t="shared" si="7"/>
        <v>2907574</v>
      </c>
      <c r="G36" s="777">
        <f t="shared" si="7"/>
        <v>3024319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777">
        <f t="shared" si="7"/>
        <v>16976298</v>
      </c>
      <c r="F37" s="777">
        <f t="shared" si="7"/>
        <v>17737656</v>
      </c>
      <c r="G37" s="777">
        <f t="shared" si="7"/>
        <v>18455873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M91+M130+M169+M208+M247+M286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777">
        <f t="shared" si="7"/>
        <v>0</v>
      </c>
      <c r="F38" s="777">
        <f t="shared" si="7"/>
        <v>0</v>
      </c>
      <c r="G38" s="77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777">
        <f t="shared" si="7"/>
        <v>0</v>
      </c>
      <c r="F39" s="777">
        <f t="shared" si="7"/>
        <v>0</v>
      </c>
      <c r="G39" s="77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777">
        <f t="shared" si="7"/>
        <v>0</v>
      </c>
      <c r="F40" s="777">
        <f t="shared" si="7"/>
        <v>0</v>
      </c>
      <c r="G40" s="77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777">
        <f t="shared" si="7"/>
        <v>0</v>
      </c>
      <c r="F41" s="777">
        <f t="shared" si="7"/>
        <v>0</v>
      </c>
      <c r="G41" s="77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777">
        <f t="shared" si="7"/>
        <v>0</v>
      </c>
      <c r="F42" s="777">
        <f t="shared" si="7"/>
        <v>0</v>
      </c>
      <c r="G42" s="77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777">
        <f t="shared" si="7"/>
        <v>0</v>
      </c>
      <c r="F43" s="777">
        <f t="shared" si="7"/>
        <v>0</v>
      </c>
      <c r="G43" s="77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777">
        <f t="shared" si="7"/>
        <v>0</v>
      </c>
      <c r="F44" s="777">
        <f t="shared" si="7"/>
        <v>0</v>
      </c>
      <c r="G44" s="77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772" t="str">
        <f t="shared" si="8"/>
        <v>Të tjera</v>
      </c>
      <c r="B45" s="1229" t="str">
        <f t="shared" si="9"/>
        <v>69 / ?</v>
      </c>
      <c r="C45" s="1230"/>
      <c r="D45" s="781" t="str">
        <f>IF(OR(E45&lt;0,F45&lt;0,G45&lt;0),"STOP","OK!")</f>
        <v>OK!</v>
      </c>
      <c r="E45" s="717">
        <f t="shared" si="7"/>
        <v>0</v>
      </c>
      <c r="F45" s="716">
        <f t="shared" si="7"/>
        <v>0</v>
      </c>
      <c r="G45" s="716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713">
        <f t="shared" si="7"/>
        <v>33994600</v>
      </c>
      <c r="F46" s="713">
        <f t="shared" si="7"/>
        <v>35606860</v>
      </c>
      <c r="G46" s="713">
        <f t="shared" si="7"/>
        <v>37218540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709"/>
      <c r="B47" s="710"/>
      <c r="C47" s="711"/>
      <c r="D47" s="711"/>
      <c r="E47" s="276"/>
      <c r="F47" s="276"/>
      <c r="G47" s="712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774">
        <f t="shared" ref="B48:G48" si="11">B102+B141+B180+B219+B258+B297</f>
        <v>5930122</v>
      </c>
      <c r="C48" s="774">
        <f t="shared" si="11"/>
        <v>28000050</v>
      </c>
      <c r="D48" s="774">
        <f t="shared" si="11"/>
        <v>50350489</v>
      </c>
      <c r="E48" s="713">
        <f t="shared" si="11"/>
        <v>42344600</v>
      </c>
      <c r="F48" s="713">
        <f t="shared" si="11"/>
        <v>44176460</v>
      </c>
      <c r="G48" s="713">
        <f t="shared" si="11"/>
        <v>46049240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42344600</v>
      </c>
      <c r="N52" s="135">
        <f>VLOOKUP($A14,'(D1) Tavanet buxhetore'!$A$7:$R$473,8,FALSE)</f>
        <v>44176460</v>
      </c>
      <c r="O52" s="587">
        <f>VLOOKUP($A14,'(D1) Tavanet buxhetore'!$A$7:$R$473,9,FALSE)</f>
        <v>46049240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42344600</v>
      </c>
      <c r="N53" s="136">
        <f>F18</f>
        <v>44176460</v>
      </c>
      <c r="O53" s="588">
        <f>G18</f>
        <v>46049240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17018302</v>
      </c>
      <c r="N55" s="135">
        <f>VLOOKUP($A14,'(D1) Tavanet buxhetore'!$A$7:$R$473,11,FALSE)</f>
        <v>17869204</v>
      </c>
      <c r="O55" s="587">
        <f>VLOOKUP($A14,'(D1) Tavanet buxhetore'!$A$7:$R$473,12,FALSE)</f>
        <v>18762667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17018302</v>
      </c>
      <c r="N56" s="136">
        <f>F22+F35+F23+F36</f>
        <v>17869204</v>
      </c>
      <c r="O56" s="588">
        <f>G22+G35+G23+G36</f>
        <v>18762667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16976298</v>
      </c>
      <c r="N58" s="135">
        <f>VLOOKUP($A14,'(D1) Tavanet buxhetore'!$A$7:$R$473,14,FALSE)</f>
        <v>17737656</v>
      </c>
      <c r="O58" s="587">
        <f>VLOOKUP($A14,'(D1) Tavanet buxhetore'!$A$7:$R$473,15,FALSE)</f>
        <v>18455873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16976298</v>
      </c>
      <c r="N59" s="136">
        <f>N53-N56-N62</f>
        <v>17737656</v>
      </c>
      <c r="O59" s="588">
        <f>O53-O56-O62</f>
        <v>18455873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8350000</v>
      </c>
      <c r="N61" s="135">
        <f>VLOOKUP($A14,'(D1) Tavanet buxhetore'!$A$7:$R$473,17,FALSE)</f>
        <v>8569600</v>
      </c>
      <c r="O61" s="587">
        <f>VLOOKUP($A14,'(D1) Tavanet buxhetore'!$A$7:$R$473,18,FALSE)</f>
        <v>8830700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8350000</v>
      </c>
      <c r="N62" s="136">
        <f>F29+F42</f>
        <v>8569600</v>
      </c>
      <c r="O62" s="588">
        <f>G29+G42</f>
        <v>8830700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IF(AND(M63&lt;0.4,N63&lt;0.4,O63&lt;0.4),"OK!","STOP!")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7</v>
      </c>
      <c r="B66" s="1225" t="str">
        <f t="shared" si="12"/>
        <v>042 Bujqësia, pyjet, peshkimi dhe gjuetia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7a</v>
      </c>
      <c r="B67" s="1225" t="str">
        <f>C6</f>
        <v>Shërbimet bujqësore, inspektimi, ushqimi dhe mbrojtja e konsumatoreve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Funksionale'!B42</f>
        <v>04220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hidden="1" customHeight="1" x14ac:dyDescent="0.2">
      <c r="A105" s="204" t="str">
        <f t="shared" ref="A105:O105" si="22">A66</f>
        <v>Nënfunksioni 7</v>
      </c>
      <c r="B105" s="1225" t="str">
        <f t="shared" si="22"/>
        <v>042 Bujqësia, pyjet, peshkimi dhe gjuetia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hidden="1" customHeight="1" x14ac:dyDescent="0.2">
      <c r="A106" s="262" t="str">
        <f>A7</f>
        <v>Programi 7b</v>
      </c>
      <c r="B106" s="1225" t="str">
        <f>C7</f>
        <v>Këshillimi Bujqësor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hidden="1" customHeight="1" x14ac:dyDescent="0.2">
      <c r="A107" s="562" t="str">
        <f>'(B3) Struktura Funksionale'!B43</f>
        <v>04222</v>
      </c>
      <c r="B107" s="485"/>
      <c r="C107" s="485"/>
      <c r="D107" s="485"/>
      <c r="E107" s="485"/>
      <c r="F107" s="485"/>
      <c r="G107" s="486"/>
      <c r="H107" s="487"/>
      <c r="I107" s="488"/>
      <c r="J107" s="485"/>
      <c r="K107" s="485"/>
      <c r="L107" s="485"/>
      <c r="M107" s="485"/>
      <c r="N107" s="485"/>
      <c r="O107" s="486"/>
    </row>
    <row r="108" spans="1:15" ht="24.75" hidden="1" customHeight="1" x14ac:dyDescent="0.2">
      <c r="A108" s="1221" t="str">
        <f t="shared" ref="A108:G108" si="23">A69</f>
        <v>SHPENZIME TË PRITSHME</v>
      </c>
      <c r="B108" s="1222">
        <f t="shared" si="23"/>
        <v>0</v>
      </c>
      <c r="C108" s="1222">
        <f t="shared" si="23"/>
        <v>0</v>
      </c>
      <c r="D108" s="1222">
        <f t="shared" si="23"/>
        <v>0</v>
      </c>
      <c r="E108" s="1222">
        <f t="shared" si="23"/>
        <v>0</v>
      </c>
      <c r="F108" s="1222">
        <f t="shared" si="23"/>
        <v>0</v>
      </c>
      <c r="G108" s="1242">
        <f t="shared" si="23"/>
        <v>0</v>
      </c>
      <c r="H108" s="128"/>
      <c r="I108" s="1243" t="str">
        <f t="shared" ref="I108:O108" si="24">I69</f>
        <v xml:space="preserve">TË ARDHURAT E PRITSHME </v>
      </c>
      <c r="J108" s="1222">
        <f t="shared" si="24"/>
        <v>0</v>
      </c>
      <c r="K108" s="1222">
        <f t="shared" si="24"/>
        <v>0</v>
      </c>
      <c r="L108" s="1222">
        <f t="shared" si="24"/>
        <v>0</v>
      </c>
      <c r="M108" s="1222">
        <f t="shared" si="24"/>
        <v>0</v>
      </c>
      <c r="N108" s="1222">
        <f t="shared" si="24"/>
        <v>0</v>
      </c>
      <c r="O108" s="1242">
        <f t="shared" si="24"/>
        <v>0</v>
      </c>
    </row>
    <row r="109" spans="1:15" ht="21" hidden="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hidden="1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hidden="1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hidden="1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hidden="1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hidden="1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hidden="1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36"/>
      <c r="F115" s="36"/>
      <c r="G115" s="3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hidden="1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36"/>
      <c r="F116" s="36"/>
      <c r="G116" s="3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hidden="1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36"/>
      <c r="F117" s="36"/>
      <c r="G117" s="3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hidden="1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36"/>
      <c r="F118" s="36"/>
      <c r="G118" s="3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hidden="1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36"/>
      <c r="F119" s="36"/>
      <c r="G119" s="3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hidden="1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36"/>
      <c r="F120" s="36"/>
      <c r="G120" s="36"/>
      <c r="H120" s="52"/>
    </row>
    <row r="121" spans="1:15" ht="12.75" hidden="1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36"/>
      <c r="F121" s="36"/>
      <c r="G121" s="3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hidden="1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hidden="1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36"/>
      <c r="F123" s="36"/>
      <c r="G123" s="36"/>
      <c r="H123" s="52"/>
    </row>
    <row r="124" spans="1:15" ht="12.75" hidden="1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36"/>
      <c r="F124" s="36"/>
      <c r="G124" s="36"/>
      <c r="H124" s="52"/>
    </row>
    <row r="125" spans="1:15" ht="12.75" hidden="1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36"/>
      <c r="F125" s="36"/>
      <c r="G125" s="3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hidden="1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hidden="1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hidden="1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hidden="1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hidden="1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hidden="1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hidden="1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hidden="1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hidden="1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hidden="1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hidden="1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hidden="1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hidden="1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hidden="1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hidden="1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hidden="1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2" spans="1:15" ht="17.25" hidden="1" customHeight="1" x14ac:dyDescent="0.2"/>
    <row r="143" spans="1:15" ht="17.25" hidden="1" customHeight="1" x14ac:dyDescent="0.2"/>
    <row r="144" spans="1:15" ht="17.25" hidden="1" customHeight="1" x14ac:dyDescent="0.2">
      <c r="A144" s="204" t="str">
        <f t="shared" ref="A144:O144" si="33">A66</f>
        <v>Nënfunksioni 7</v>
      </c>
      <c r="B144" s="1225" t="str">
        <f t="shared" si="33"/>
        <v>042 Bujqësia, pyjet, peshkimi dhe gjuetia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hidden="1" customHeight="1" x14ac:dyDescent="0.2">
      <c r="A145" s="262" t="str">
        <f>A8</f>
        <v>Programi 7c</v>
      </c>
      <c r="B145" s="1225" t="str">
        <f>C8</f>
        <v>Veterineria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hidden="1" customHeight="1" x14ac:dyDescent="0.2">
      <c r="A146" s="562" t="str">
        <f>'(B3) Struktura Funksionale'!B44</f>
        <v>04223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hidden="1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hidden="1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hidden="1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hidden="1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hidden="1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hidden="1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hidden="1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hidden="1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36"/>
      <c r="F154" s="36"/>
      <c r="G154" s="3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hidden="1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36"/>
      <c r="F155" s="36"/>
      <c r="G155" s="3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hidden="1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36"/>
      <c r="F156" s="36"/>
      <c r="G156" s="3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hidden="1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36"/>
      <c r="F157" s="36"/>
      <c r="G157" s="3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hidden="1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36"/>
      <c r="F158" s="36"/>
      <c r="G158" s="3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hidden="1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36"/>
      <c r="F159" s="36"/>
      <c r="G159" s="36"/>
      <c r="H159" s="52"/>
    </row>
    <row r="160" spans="1:15" ht="12.75" hidden="1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36"/>
      <c r="F160" s="36"/>
      <c r="G160" s="3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hidden="1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hidden="1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36"/>
      <c r="F162" s="36"/>
      <c r="G162" s="36"/>
      <c r="H162" s="52"/>
    </row>
    <row r="163" spans="1:15" ht="12.75" hidden="1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36"/>
      <c r="F163" s="36"/>
      <c r="G163" s="36"/>
      <c r="H163" s="52"/>
    </row>
    <row r="164" spans="1:15" ht="12.75" hidden="1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36"/>
      <c r="F164" s="36"/>
      <c r="G164" s="3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hidden="1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hidden="1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hidden="1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hidden="1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hidden="1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hidden="1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hidden="1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hidden="1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hidden="1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hidden="1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hidden="1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hidden="1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hidden="1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hidden="1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hidden="1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hidden="1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hidden="1" x14ac:dyDescent="0.2"/>
    <row r="182" spans="1:15" ht="12.75" hidden="1" x14ac:dyDescent="0.2"/>
    <row r="183" spans="1:15" ht="18.75" x14ac:dyDescent="0.2">
      <c r="A183" s="204" t="str">
        <f t="shared" ref="A183:O183" si="44">A66</f>
        <v>Nënfunksioni 7</v>
      </c>
      <c r="B183" s="1225" t="str">
        <f t="shared" si="44"/>
        <v>042 Bujqësia, pyjet, peshkimi dhe gjuetia</v>
      </c>
      <c r="C183" s="1225">
        <f t="shared" si="44"/>
        <v>0</v>
      </c>
      <c r="D183" s="1225">
        <f t="shared" si="44"/>
        <v>0</v>
      </c>
      <c r="E183" s="1225">
        <f t="shared" si="44"/>
        <v>0</v>
      </c>
      <c r="F183" s="1225">
        <f t="shared" si="44"/>
        <v>0</v>
      </c>
      <c r="G183" s="1225">
        <f t="shared" si="44"/>
        <v>0</v>
      </c>
      <c r="H183" s="1225">
        <f t="shared" si="44"/>
        <v>0</v>
      </c>
      <c r="I183" s="1225">
        <f t="shared" si="44"/>
        <v>0</v>
      </c>
      <c r="J183" s="1225">
        <f t="shared" si="44"/>
        <v>0</v>
      </c>
      <c r="K183" s="1225">
        <f t="shared" si="44"/>
        <v>0</v>
      </c>
      <c r="L183" s="1225">
        <f t="shared" si="44"/>
        <v>0</v>
      </c>
      <c r="M183" s="1225">
        <f t="shared" si="44"/>
        <v>0</v>
      </c>
      <c r="N183" s="1225">
        <f t="shared" si="44"/>
        <v>0</v>
      </c>
      <c r="O183" s="1225">
        <f t="shared" si="44"/>
        <v>0</v>
      </c>
    </row>
    <row r="184" spans="1:15" ht="18.75" x14ac:dyDescent="0.2">
      <c r="A184" s="262" t="str">
        <f>A9</f>
        <v>Programi 7d</v>
      </c>
      <c r="B184" s="1225" t="str">
        <f>C9</f>
        <v>Menaxhimi i Infrastruktuës së ujitjes dhe kullimit</v>
      </c>
      <c r="C184" s="1225" t="e">
        <f>#REF!</f>
        <v>#REF!</v>
      </c>
      <c r="D184" s="1225" t="e">
        <f>#REF!</f>
        <v>#REF!</v>
      </c>
      <c r="E184" s="1225" t="e">
        <f>#REF!</f>
        <v>#REF!</v>
      </c>
      <c r="F184" s="1225" t="e">
        <f>#REF!</f>
        <v>#REF!</v>
      </c>
      <c r="G184" s="1225" t="e">
        <f>#REF!</f>
        <v>#REF!</v>
      </c>
      <c r="H184" s="1225" t="e">
        <f>#REF!</f>
        <v>#REF!</v>
      </c>
      <c r="I184" s="1225" t="e">
        <f>#REF!</f>
        <v>#REF!</v>
      </c>
      <c r="J184" s="1225" t="e">
        <f>#REF!</f>
        <v>#REF!</v>
      </c>
      <c r="K184" s="1225" t="e">
        <f>#REF!</f>
        <v>#REF!</v>
      </c>
      <c r="L184" s="1225" t="e">
        <f>#REF!</f>
        <v>#REF!</v>
      </c>
      <c r="M184" s="1225" t="e">
        <f>#REF!</f>
        <v>#REF!</v>
      </c>
      <c r="N184" s="1225" t="e">
        <f>#REF!</f>
        <v>#REF!</v>
      </c>
      <c r="O184" s="1225" t="e">
        <f>#REF!</f>
        <v>#REF!</v>
      </c>
    </row>
    <row r="185" spans="1:15" ht="18.75" x14ac:dyDescent="0.2">
      <c r="A185" s="562" t="str">
        <f>'(B3) Struktura Funksionale'!B45</f>
        <v>04240</v>
      </c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6"/>
    </row>
    <row r="186" spans="1:15" ht="22.5" customHeight="1" x14ac:dyDescent="0.2">
      <c r="A186" s="1252" t="str">
        <f t="shared" ref="A186:G186" si="45">A69</f>
        <v>SHPENZIME TË PRITSHME</v>
      </c>
      <c r="B186" s="1253">
        <f t="shared" si="45"/>
        <v>0</v>
      </c>
      <c r="C186" s="1253">
        <f t="shared" si="45"/>
        <v>0</v>
      </c>
      <c r="D186" s="1253">
        <f t="shared" si="45"/>
        <v>0</v>
      </c>
      <c r="E186" s="1253">
        <f t="shared" si="45"/>
        <v>0</v>
      </c>
      <c r="F186" s="1253">
        <f t="shared" si="45"/>
        <v>0</v>
      </c>
      <c r="G186" s="1254">
        <f t="shared" si="45"/>
        <v>0</v>
      </c>
      <c r="H186" s="128"/>
      <c r="I186" s="1255" t="str">
        <f t="shared" ref="I186:O186" si="46">I69</f>
        <v xml:space="preserve">TË ARDHURAT E PRITSHME </v>
      </c>
      <c r="J186" s="1253">
        <f t="shared" si="46"/>
        <v>0</v>
      </c>
      <c r="K186" s="1253">
        <f t="shared" si="46"/>
        <v>0</v>
      </c>
      <c r="L186" s="1253">
        <f t="shared" si="46"/>
        <v>0</v>
      </c>
      <c r="M186" s="1253">
        <f t="shared" si="46"/>
        <v>0</v>
      </c>
      <c r="N186" s="1253">
        <f t="shared" si="46"/>
        <v>0</v>
      </c>
      <c r="O186" s="1254">
        <f t="shared" si="46"/>
        <v>0</v>
      </c>
    </row>
    <row r="187" spans="1:15" ht="21.75" customHeight="1" x14ac:dyDescent="0.2">
      <c r="A187" s="202"/>
      <c r="B187" s="363">
        <f t="shared" ref="B187:G187" si="47">B70</f>
        <v>2019</v>
      </c>
      <c r="C187" s="363">
        <f t="shared" si="47"/>
        <v>2020</v>
      </c>
      <c r="D187" s="363">
        <f t="shared" si="47"/>
        <v>2021</v>
      </c>
      <c r="E187" s="238">
        <f t="shared" si="47"/>
        <v>2022</v>
      </c>
      <c r="F187" s="238">
        <f t="shared" si="47"/>
        <v>2023</v>
      </c>
      <c r="G187" s="238">
        <f t="shared" si="47"/>
        <v>2024</v>
      </c>
      <c r="H187" s="203"/>
      <c r="I187" s="360"/>
      <c r="J187" s="363">
        <f t="shared" ref="J187:O187" si="48">J70</f>
        <v>2019</v>
      </c>
      <c r="K187" s="363">
        <f t="shared" si="48"/>
        <v>2020</v>
      </c>
      <c r="L187" s="363">
        <f t="shared" si="48"/>
        <v>2021</v>
      </c>
      <c r="M187" s="238">
        <f t="shared" si="48"/>
        <v>2022</v>
      </c>
      <c r="N187" s="238">
        <f t="shared" si="48"/>
        <v>2023</v>
      </c>
      <c r="O187" s="238">
        <f t="shared" si="48"/>
        <v>2024</v>
      </c>
    </row>
    <row r="188" spans="1:15" ht="12.75" x14ac:dyDescent="0.2">
      <c r="A188" s="377"/>
      <c r="B188" s="370"/>
      <c r="C188" s="303"/>
      <c r="D188" s="304"/>
      <c r="E188" s="378"/>
      <c r="F188" s="378"/>
      <c r="G188" s="379"/>
      <c r="H188" s="128"/>
      <c r="I188" s="302"/>
      <c r="J188" s="1250"/>
      <c r="K188" s="1250"/>
      <c r="L188" s="375"/>
      <c r="M188" s="375"/>
      <c r="N188" s="375"/>
      <c r="O188" s="376"/>
    </row>
    <row r="189" spans="1:15" ht="12.75" x14ac:dyDescent="0.2">
      <c r="A189" s="134" t="str">
        <f>A72</f>
        <v>SHPENZIME TË PRITSHME</v>
      </c>
      <c r="B189" s="774">
        <f>VLOOKUP(A184,'(C1) Shpenzimet vitet e kaluara'!A$9:O$177,5,FALSE)</f>
        <v>4526866</v>
      </c>
      <c r="C189" s="774">
        <f>VLOOKUP(A184,'(C1) Shpenzimet vitet e kaluara'!A$9:O$177,9,FALSE)</f>
        <v>9893759</v>
      </c>
      <c r="D189" s="774">
        <f>VLOOKUP(A184,'(C1) Shpenzimet vitet e kaluara'!A$9:O$177,13,FALSE)</f>
        <v>15646730</v>
      </c>
      <c r="E189" s="708">
        <f>E206+E207+E208</f>
        <v>11588278</v>
      </c>
      <c r="F189" s="708">
        <f>F206+F207+F208</f>
        <v>12161878</v>
      </c>
      <c r="G189" s="708">
        <f>G206+G207+G208</f>
        <v>13968133</v>
      </c>
      <c r="H189" s="128"/>
      <c r="I189" s="1226" t="str">
        <f t="shared" ref="I189:O189" si="49">I72</f>
        <v>VLERËSIM I ARDHURAVE NGA TARIFAT</v>
      </c>
      <c r="J189" s="1227">
        <f t="shared" si="49"/>
        <v>0</v>
      </c>
      <c r="K189" s="1227">
        <f t="shared" si="49"/>
        <v>0</v>
      </c>
      <c r="L189" s="1227">
        <f t="shared" si="49"/>
        <v>0</v>
      </c>
      <c r="M189" s="1227">
        <f t="shared" si="49"/>
        <v>0</v>
      </c>
      <c r="N189" s="1227">
        <f t="shared" si="49"/>
        <v>0</v>
      </c>
      <c r="O189" s="1228">
        <f t="shared" si="49"/>
        <v>0</v>
      </c>
    </row>
    <row r="190" spans="1:15" ht="12.75" x14ac:dyDescent="0.2">
      <c r="A190" s="122"/>
      <c r="B190" s="201"/>
      <c r="C190" s="123"/>
      <c r="D190" s="123"/>
      <c r="E190" s="10"/>
      <c r="F190" s="10"/>
      <c r="G190" s="130"/>
      <c r="H190" s="10"/>
      <c r="I190" s="134" t="str">
        <f>I73</f>
        <v>VLERËSIM I ARDHURAVE NGA TARIFAT</v>
      </c>
      <c r="J190" s="34">
        <f>VLOOKUP($A184,'(C1) Shpenzimet vitet e kaluara'!$A$9:$O$177,6,FALSE)</f>
        <v>0</v>
      </c>
      <c r="K190" s="34">
        <f>VLOOKUP($A184,'(C1) Shpenzimet vitet e kaluara'!$A$9:$O$177,10,FALSE)</f>
        <v>345541</v>
      </c>
      <c r="L190" s="34">
        <f>VLOOKUP($A184,'(C1) Shpenzimet vitet e kaluara'!$A$9:$O$177,14,FALSE)</f>
        <v>500000</v>
      </c>
      <c r="M190" s="36"/>
      <c r="N190" s="36"/>
      <c r="O190" s="36"/>
    </row>
    <row r="191" spans="1:15" ht="12.75" x14ac:dyDescent="0.2">
      <c r="A191" s="1232" t="str">
        <f t="shared" ref="A191:G192" si="50">A74</f>
        <v>SHPENZIME TË PRITSHME</v>
      </c>
      <c r="B191" s="1233">
        <f t="shared" si="50"/>
        <v>0</v>
      </c>
      <c r="C191" s="1233">
        <f t="shared" si="50"/>
        <v>0</v>
      </c>
      <c r="D191" s="1233">
        <f t="shared" si="50"/>
        <v>0</v>
      </c>
      <c r="E191" s="1233">
        <f t="shared" si="50"/>
        <v>0</v>
      </c>
      <c r="F191" s="1233">
        <f t="shared" si="50"/>
        <v>0</v>
      </c>
      <c r="G191" s="1234">
        <f t="shared" si="50"/>
        <v>0</v>
      </c>
      <c r="H191" s="10"/>
    </row>
    <row r="192" spans="1:15" ht="12.75" x14ac:dyDescent="0.2">
      <c r="A192" s="1226" t="str">
        <f t="shared" si="50"/>
        <v>KOSTO DIREKTE PËR PROJEKTET DHE SHPENZIMET KAPITALE</v>
      </c>
      <c r="B192" s="1227">
        <f t="shared" si="50"/>
        <v>0</v>
      </c>
      <c r="C192" s="1227">
        <f t="shared" si="50"/>
        <v>0</v>
      </c>
      <c r="D192" s="1227">
        <f t="shared" si="50"/>
        <v>0</v>
      </c>
      <c r="E192" s="1227">
        <f t="shared" si="50"/>
        <v>0</v>
      </c>
      <c r="F192" s="1227">
        <f t="shared" si="50"/>
        <v>0</v>
      </c>
      <c r="G192" s="1228">
        <f t="shared" si="50"/>
        <v>0</v>
      </c>
      <c r="H192" s="30"/>
      <c r="I192" s="1226" t="str">
        <f t="shared" ref="I192:I197" si="51">I75</f>
        <v>VLERËSIMI I TË ARDHURAVE ME DESTINACION</v>
      </c>
      <c r="J192" s="1227"/>
      <c r="K192" s="1227"/>
      <c r="L192" s="1227"/>
      <c r="M192" s="1227"/>
      <c r="N192" s="1227"/>
      <c r="O192" s="1228"/>
    </row>
    <row r="193" spans="1:15" ht="12.75" x14ac:dyDescent="0.2">
      <c r="A193" s="121" t="str">
        <f t="shared" ref="A193:D215" si="52">A76</f>
        <v>Pagat</v>
      </c>
      <c r="B193" s="1229">
        <f t="shared" si="52"/>
        <v>600</v>
      </c>
      <c r="C193" s="1230">
        <f t="shared" si="52"/>
        <v>0</v>
      </c>
      <c r="D193" s="1231">
        <f t="shared" si="52"/>
        <v>0</v>
      </c>
      <c r="E193" s="126"/>
      <c r="F193" s="126"/>
      <c r="G193" s="126"/>
      <c r="H193" s="30"/>
      <c r="I193" s="339" t="str">
        <f t="shared" si="51"/>
        <v>Transferta e kushtëzuar</v>
      </c>
      <c r="J193" s="336"/>
      <c r="K193" s="338"/>
      <c r="L193" s="337"/>
      <c r="M193" s="125"/>
      <c r="N193" s="125"/>
      <c r="O193" s="129"/>
    </row>
    <row r="194" spans="1:15" ht="12.75" x14ac:dyDescent="0.2">
      <c r="A194" s="121" t="str">
        <f t="shared" si="52"/>
        <v>Sigurimet Shoqërore</v>
      </c>
      <c r="B194" s="1229">
        <f t="shared" si="52"/>
        <v>601</v>
      </c>
      <c r="C194" s="1230">
        <f t="shared" si="52"/>
        <v>0</v>
      </c>
      <c r="D194" s="1231">
        <f t="shared" si="52"/>
        <v>0</v>
      </c>
      <c r="E194" s="126"/>
      <c r="F194" s="126"/>
      <c r="G194" s="126"/>
      <c r="H194" s="30"/>
      <c r="I194" s="339" t="str">
        <f t="shared" si="51"/>
        <v>Trasferta Specifike</v>
      </c>
      <c r="J194" s="336"/>
      <c r="K194" s="338"/>
      <c r="L194" s="337"/>
      <c r="M194" s="125">
        <v>10899000</v>
      </c>
      <c r="N194" s="125">
        <v>10899000</v>
      </c>
      <c r="O194" s="125">
        <v>10899000</v>
      </c>
    </row>
    <row r="195" spans="1:15" ht="12.75" x14ac:dyDescent="0.2">
      <c r="A195" s="121" t="str">
        <f t="shared" si="52"/>
        <v>Mallra dhe shërbime</v>
      </c>
      <c r="B195" s="1229">
        <f t="shared" si="52"/>
        <v>602</v>
      </c>
      <c r="C195" s="1230">
        <f t="shared" si="52"/>
        <v>0</v>
      </c>
      <c r="D195" s="1231">
        <f t="shared" si="52"/>
        <v>0</v>
      </c>
      <c r="E195" s="126"/>
      <c r="F195" s="126"/>
      <c r="G195" s="126"/>
      <c r="H195" s="52"/>
      <c r="I195" s="339" t="str">
        <f t="shared" si="51"/>
        <v>Trashëgimi me destinacion</v>
      </c>
      <c r="J195" s="336"/>
      <c r="K195" s="338"/>
      <c r="L195" s="337"/>
      <c r="M195" s="264">
        <f>VLOOKUP($A184,'(C4) Trashëgimi me destinacion'!$A$8:$F$168,4,FALSE)</f>
        <v>0</v>
      </c>
      <c r="N195" s="479">
        <f>VLOOKUP($A184,'(C4) Trashëgimi me destinacion'!$A$8:$F$168,5,FALSE)</f>
        <v>0</v>
      </c>
      <c r="O195" s="479">
        <f>VLOOKUP($A184,'(C4) Trashëgimi me destinacion'!$A$8:$F$168,6,FALSE)</f>
        <v>0</v>
      </c>
    </row>
    <row r="196" spans="1:15" ht="12.75" x14ac:dyDescent="0.2">
      <c r="A196" s="121" t="str">
        <f t="shared" si="52"/>
        <v>Subvencione</v>
      </c>
      <c r="B196" s="1229">
        <f t="shared" si="52"/>
        <v>603</v>
      </c>
      <c r="C196" s="1230">
        <f t="shared" si="52"/>
        <v>0</v>
      </c>
      <c r="D196" s="1231">
        <f t="shared" si="52"/>
        <v>0</v>
      </c>
      <c r="E196" s="126"/>
      <c r="F196" s="126"/>
      <c r="G196" s="126"/>
      <c r="H196" s="8"/>
      <c r="I196" s="339" t="str">
        <f t="shared" si="51"/>
        <v>Burime të tjera (përfshirë gjobat)</v>
      </c>
      <c r="J196" s="336"/>
      <c r="K196" s="338"/>
      <c r="L196" s="337"/>
      <c r="M196" s="125"/>
      <c r="N196" s="125"/>
      <c r="O196" s="129"/>
    </row>
    <row r="197" spans="1:15" ht="12.75" x14ac:dyDescent="0.2">
      <c r="A197" s="121" t="str">
        <f t="shared" si="52"/>
        <v>Të tjera transferta korrente të brendshme</v>
      </c>
      <c r="B197" s="1229">
        <f t="shared" si="52"/>
        <v>604</v>
      </c>
      <c r="C197" s="1230">
        <f t="shared" si="52"/>
        <v>0</v>
      </c>
      <c r="D197" s="1231">
        <f t="shared" si="52"/>
        <v>0</v>
      </c>
      <c r="E197" s="126"/>
      <c r="F197" s="126"/>
      <c r="G197" s="126"/>
      <c r="H197" s="52"/>
      <c r="I197" s="339" t="str">
        <f t="shared" si="51"/>
        <v>VLERËSIMI I TË ARDHURAVE ME DESTINACION</v>
      </c>
      <c r="J197" s="775">
        <f>VLOOKUP($A184,'(C1) Shpenzimet vitet e kaluara'!$A$9:$O$177,7,FALSE)</f>
        <v>15092222</v>
      </c>
      <c r="K197" s="775">
        <f>VLOOKUP($A184,'(C1) Shpenzimet vitet e kaluara'!$A$9:$O$177,11,FALSE)</f>
        <v>10289000</v>
      </c>
      <c r="L197" s="775">
        <f>VLOOKUP($A184,'(C1) Shpenzimet vitet e kaluara'!$A$9:$O$177,15,FALSE)</f>
        <v>10899000</v>
      </c>
      <c r="M197" s="126">
        <f>SUM(M193:M196)</f>
        <v>10899000</v>
      </c>
      <c r="N197" s="126">
        <f>SUM(N193:N196)</f>
        <v>10899000</v>
      </c>
      <c r="O197" s="126">
        <f>SUM(O193:O196)</f>
        <v>10899000</v>
      </c>
    </row>
    <row r="198" spans="1:15" ht="12.75" x14ac:dyDescent="0.2">
      <c r="A198" s="121" t="str">
        <f t="shared" si="52"/>
        <v>Transferta korrente të huaja</v>
      </c>
      <c r="B198" s="1229">
        <f t="shared" si="52"/>
        <v>605</v>
      </c>
      <c r="C198" s="1230">
        <f t="shared" si="52"/>
        <v>0</v>
      </c>
      <c r="D198" s="1231">
        <f t="shared" si="52"/>
        <v>0</v>
      </c>
      <c r="E198" s="126"/>
      <c r="F198" s="126"/>
      <c r="G198" s="126"/>
      <c r="H198" s="52"/>
      <c r="J198" s="776"/>
      <c r="K198" s="776"/>
      <c r="L198" s="776"/>
    </row>
    <row r="199" spans="1:15" ht="12.75" x14ac:dyDescent="0.2">
      <c r="A199" s="121" t="str">
        <f t="shared" si="52"/>
        <v>Transferta për Buxhetet Familiare dhe Individët</v>
      </c>
      <c r="B199" s="1229">
        <f t="shared" si="52"/>
        <v>606</v>
      </c>
      <c r="C199" s="1230">
        <f t="shared" si="52"/>
        <v>0</v>
      </c>
      <c r="D199" s="1231">
        <f t="shared" si="52"/>
        <v>0</v>
      </c>
      <c r="E199" s="126"/>
      <c r="F199" s="126"/>
      <c r="G199" s="126"/>
      <c r="H199" s="52"/>
      <c r="I199" s="134" t="str">
        <f>I82</f>
        <v xml:space="preserve">TË ARDHURAT E PRITSHME </v>
      </c>
      <c r="J199" s="774">
        <f>J190+J197</f>
        <v>15092222</v>
      </c>
      <c r="K199" s="774">
        <f>K190+K197</f>
        <v>10634541</v>
      </c>
      <c r="L199" s="774">
        <f>L190+L197</f>
        <v>11399000</v>
      </c>
      <c r="M199" s="126">
        <f>M197+M190</f>
        <v>10899000</v>
      </c>
      <c r="N199" s="126">
        <f>N197+N190</f>
        <v>10899000</v>
      </c>
      <c r="O199" s="126">
        <f>O197+O190</f>
        <v>10899000</v>
      </c>
    </row>
    <row r="200" spans="1:15" ht="12.75" x14ac:dyDescent="0.2">
      <c r="A200" s="121" t="str">
        <f t="shared" si="52"/>
        <v>Shpenzimet kapitale</v>
      </c>
      <c r="B200" s="1229" t="str">
        <f t="shared" si="52"/>
        <v>230 / 231</v>
      </c>
      <c r="C200" s="1230">
        <f t="shared" si="52"/>
        <v>0</v>
      </c>
      <c r="D200" s="1231">
        <f t="shared" si="52"/>
        <v>0</v>
      </c>
      <c r="E200" s="36"/>
      <c r="F200" s="36"/>
      <c r="G200" s="36"/>
      <c r="H200" s="52"/>
    </row>
    <row r="201" spans="1:15" ht="12.75" x14ac:dyDescent="0.2">
      <c r="A201" s="121" t="str">
        <f t="shared" si="52"/>
        <v>Rezerva</v>
      </c>
      <c r="B201" s="1229">
        <f t="shared" si="52"/>
        <v>609</v>
      </c>
      <c r="C201" s="1230">
        <f t="shared" si="52"/>
        <v>0</v>
      </c>
      <c r="D201" s="1231">
        <f t="shared" si="52"/>
        <v>0</v>
      </c>
      <c r="E201" s="126"/>
      <c r="F201" s="126"/>
      <c r="G201" s="126"/>
      <c r="H201" s="52"/>
    </row>
    <row r="202" spans="1:15" ht="12.75" x14ac:dyDescent="0.2">
      <c r="A202" s="121" t="str">
        <f t="shared" si="52"/>
        <v>Interesa per kredi direkte ose bono</v>
      </c>
      <c r="B202" s="1229">
        <f t="shared" si="52"/>
        <v>650</v>
      </c>
      <c r="C202" s="1230">
        <f t="shared" si="52"/>
        <v>0</v>
      </c>
      <c r="D202" s="1231">
        <f t="shared" si="52"/>
        <v>0</v>
      </c>
      <c r="E202" s="126"/>
      <c r="F202" s="126"/>
      <c r="G202" s="126"/>
      <c r="H202" s="52"/>
    </row>
    <row r="203" spans="1:15" ht="12.75" x14ac:dyDescent="0.2">
      <c r="A203" s="121" t="str">
        <f t="shared" si="52"/>
        <v>Të tjera</v>
      </c>
      <c r="B203" s="1229" t="str">
        <f t="shared" si="52"/>
        <v>69 / ?</v>
      </c>
      <c r="C203" s="1230">
        <f t="shared" si="52"/>
        <v>0</v>
      </c>
      <c r="D203" s="1231">
        <f t="shared" si="52"/>
        <v>0</v>
      </c>
      <c r="E203" s="126"/>
      <c r="F203" s="126"/>
      <c r="G203" s="126"/>
      <c r="H203" s="52"/>
      <c r="I203" s="1235" t="str">
        <f t="shared" ref="I203:O204" si="53">I86</f>
        <v>SHUMA E KËRKUAR NETO</v>
      </c>
      <c r="J203" s="1236">
        <f t="shared" si="53"/>
        <v>0</v>
      </c>
      <c r="K203" s="1236">
        <f t="shared" si="53"/>
        <v>0</v>
      </c>
      <c r="L203" s="1236">
        <f t="shared" si="53"/>
        <v>0</v>
      </c>
      <c r="M203" s="1236">
        <f t="shared" si="53"/>
        <v>0</v>
      </c>
      <c r="N203" s="1236">
        <f t="shared" si="53"/>
        <v>0</v>
      </c>
      <c r="O203" s="1237">
        <f t="shared" si="53"/>
        <v>0</v>
      </c>
    </row>
    <row r="204" spans="1:15" ht="12.75" customHeight="1" x14ac:dyDescent="0.2">
      <c r="A204" s="268" t="str">
        <f t="shared" si="52"/>
        <v>KOSTO DIREKTE PËR PROJEKTET DHE SHPENZIMET KAPITALE</v>
      </c>
      <c r="B204" s="1229">
        <f t="shared" si="52"/>
        <v>0</v>
      </c>
      <c r="C204" s="1230">
        <f t="shared" si="52"/>
        <v>0</v>
      </c>
      <c r="D204" s="1231">
        <f t="shared" si="52"/>
        <v>0</v>
      </c>
      <c r="E204" s="126">
        <f>SUM(E193:E203)</f>
        <v>0</v>
      </c>
      <c r="F204" s="126">
        <f>SUM(F193:F203)</f>
        <v>0</v>
      </c>
      <c r="G204" s="126">
        <f>SUM(G193:G203)</f>
        <v>0</v>
      </c>
      <c r="H204" s="52"/>
      <c r="I204" s="1238">
        <f t="shared" si="53"/>
        <v>0</v>
      </c>
      <c r="J204" s="1239">
        <f t="shared" si="53"/>
        <v>0</v>
      </c>
      <c r="K204" s="1239">
        <f t="shared" si="53"/>
        <v>0</v>
      </c>
      <c r="L204" s="1239">
        <f t="shared" si="53"/>
        <v>0</v>
      </c>
      <c r="M204" s="1239">
        <f t="shared" si="53"/>
        <v>0</v>
      </c>
      <c r="N204" s="1239">
        <f t="shared" si="53"/>
        <v>0</v>
      </c>
      <c r="O204" s="1240">
        <f t="shared" si="53"/>
        <v>0</v>
      </c>
    </row>
    <row r="205" spans="1:15" ht="12.75" x14ac:dyDescent="0.2">
      <c r="A205" s="1226" t="str">
        <f t="shared" si="52"/>
        <v>SHPENZIME KORRENTE</v>
      </c>
      <c r="B205" s="1227">
        <f t="shared" si="52"/>
        <v>0</v>
      </c>
      <c r="C205" s="1227">
        <f t="shared" si="52"/>
        <v>0</v>
      </c>
      <c r="D205" s="1227">
        <f t="shared" si="52"/>
        <v>0</v>
      </c>
      <c r="E205" s="1227">
        <f>E88</f>
        <v>0</v>
      </c>
      <c r="F205" s="1227">
        <f>F88</f>
        <v>0</v>
      </c>
      <c r="G205" s="1228">
        <f>G88</f>
        <v>0</v>
      </c>
      <c r="H205" s="52"/>
      <c r="I205" s="17" t="str">
        <f>I88</f>
        <v>SHUMA E KËRKUAR NETO</v>
      </c>
      <c r="J205" s="780">
        <f t="shared" ref="J205:O205" si="54">B189-J199</f>
        <v>-10565356</v>
      </c>
      <c r="K205" s="780">
        <f t="shared" si="54"/>
        <v>-740782</v>
      </c>
      <c r="L205" s="780">
        <f t="shared" si="54"/>
        <v>4247730</v>
      </c>
      <c r="M205" s="780">
        <f t="shared" si="54"/>
        <v>689278</v>
      </c>
      <c r="N205" s="780">
        <f t="shared" si="54"/>
        <v>1262878</v>
      </c>
      <c r="O205" s="780">
        <f t="shared" si="54"/>
        <v>3069133</v>
      </c>
    </row>
    <row r="206" spans="1:15" ht="12.75" x14ac:dyDescent="0.2">
      <c r="A206" s="121" t="str">
        <f t="shared" si="52"/>
        <v>Pagat</v>
      </c>
      <c r="B206" s="1229">
        <f t="shared" si="52"/>
        <v>600</v>
      </c>
      <c r="C206" s="1230">
        <f t="shared" si="52"/>
        <v>0</v>
      </c>
      <c r="D206" s="1231">
        <f t="shared" si="52"/>
        <v>0</v>
      </c>
      <c r="E206" s="36">
        <v>2620000</v>
      </c>
      <c r="F206" s="36">
        <v>2746000</v>
      </c>
      <c r="G206" s="36">
        <v>3910000</v>
      </c>
      <c r="H206" s="52"/>
      <c r="I206" s="52"/>
      <c r="J206" s="52"/>
      <c r="K206" s="52"/>
      <c r="L206" s="14"/>
      <c r="M206" s="53"/>
    </row>
    <row r="207" spans="1:15" ht="12.75" x14ac:dyDescent="0.2">
      <c r="A207" s="121" t="str">
        <f t="shared" si="52"/>
        <v>Sigurimet Shoqërore</v>
      </c>
      <c r="B207" s="1229">
        <f t="shared" si="52"/>
        <v>601</v>
      </c>
      <c r="C207" s="1230">
        <f t="shared" si="52"/>
        <v>0</v>
      </c>
      <c r="D207" s="1231">
        <f t="shared" si="52"/>
        <v>0</v>
      </c>
      <c r="E207" s="36">
        <v>437520</v>
      </c>
      <c r="F207" s="36">
        <v>458582</v>
      </c>
      <c r="G207" s="36">
        <v>652970</v>
      </c>
      <c r="H207" s="52"/>
    </row>
    <row r="208" spans="1:15" ht="12.75" x14ac:dyDescent="0.2">
      <c r="A208" s="121" t="str">
        <f t="shared" si="52"/>
        <v>Mallra dhe shërbime</v>
      </c>
      <c r="B208" s="1229">
        <f t="shared" si="52"/>
        <v>602</v>
      </c>
      <c r="C208" s="1230">
        <f t="shared" si="52"/>
        <v>0</v>
      </c>
      <c r="D208" s="1231">
        <f t="shared" si="52"/>
        <v>0</v>
      </c>
      <c r="E208" s="36">
        <v>8530758</v>
      </c>
      <c r="F208" s="36">
        <v>8957296</v>
      </c>
      <c r="G208" s="36">
        <v>9405163</v>
      </c>
      <c r="H208" s="52"/>
      <c r="I208" s="239" t="str">
        <f>I169</f>
        <v>Angazhimet</v>
      </c>
      <c r="J208" s="1290" t="str">
        <f>J169</f>
        <v>Vlera Totale për Aktivitet</v>
      </c>
      <c r="K208" s="1291"/>
      <c r="L208" s="1292"/>
      <c r="M208" s="126">
        <f>VLOOKUP($A184,'(C5) Angazhimet'!$A$8:$F$168,4,FALSE)</f>
        <v>0</v>
      </c>
      <c r="N208" s="126">
        <f>VLOOKUP($A184,'(C5) Angazhimet'!$A$8:$F$168,5,FALSE)</f>
        <v>0</v>
      </c>
      <c r="O208" s="126">
        <f>VLOOKUP($A184,'(C5) Angazhimet'!$A$8:$F$168,6,FALSE)</f>
        <v>0</v>
      </c>
    </row>
    <row r="209" spans="1:15" ht="12.75" x14ac:dyDescent="0.2">
      <c r="A209" s="121" t="str">
        <f t="shared" si="52"/>
        <v>Subvencione</v>
      </c>
      <c r="B209" s="1229">
        <f t="shared" si="52"/>
        <v>603</v>
      </c>
      <c r="C209" s="1230">
        <f t="shared" si="52"/>
        <v>0</v>
      </c>
      <c r="D209" s="1231">
        <f t="shared" si="52"/>
        <v>0</v>
      </c>
      <c r="E209" s="36"/>
      <c r="F209" s="36"/>
      <c r="G209" s="36"/>
      <c r="H209" s="52"/>
      <c r="I209" s="279" t="str">
        <f>I170</f>
        <v>Qëllime</v>
      </c>
      <c r="J209" s="1290" t="str">
        <f>J170</f>
        <v>Shpenzimet kapitale</v>
      </c>
      <c r="K209" s="1291"/>
      <c r="L209" s="1292"/>
      <c r="M209" s="125"/>
      <c r="N209" s="125"/>
      <c r="O209" s="129"/>
    </row>
    <row r="210" spans="1:15" ht="12.75" x14ac:dyDescent="0.2">
      <c r="A210" s="121" t="str">
        <f t="shared" si="52"/>
        <v>Të tjera transferta korrente të brendshme</v>
      </c>
      <c r="B210" s="1229">
        <f t="shared" si="52"/>
        <v>604</v>
      </c>
      <c r="C210" s="1230">
        <f t="shared" si="52"/>
        <v>0</v>
      </c>
      <c r="D210" s="1231">
        <f t="shared" si="52"/>
        <v>0</v>
      </c>
      <c r="E210" s="36"/>
      <c r="F210" s="36"/>
      <c r="G210" s="36"/>
      <c r="H210" s="52"/>
      <c r="I210" s="276"/>
      <c r="J210" s="1290" t="str">
        <f>J171</f>
        <v>Mallra dhe shërbime</v>
      </c>
      <c r="K210" s="1291"/>
      <c r="L210" s="1292"/>
      <c r="M210" s="125"/>
      <c r="N210" s="125"/>
      <c r="O210" s="129"/>
    </row>
    <row r="211" spans="1:15" ht="12.75" x14ac:dyDescent="0.2">
      <c r="A211" s="121" t="str">
        <f t="shared" si="52"/>
        <v>Transferta korrente të huaja</v>
      </c>
      <c r="B211" s="1229">
        <f t="shared" si="52"/>
        <v>605</v>
      </c>
      <c r="C211" s="1230">
        <f t="shared" si="52"/>
        <v>0</v>
      </c>
      <c r="D211" s="1231">
        <f t="shared" si="52"/>
        <v>0</v>
      </c>
      <c r="E211" s="36"/>
      <c r="F211" s="36"/>
      <c r="G211" s="36"/>
      <c r="H211" s="52"/>
      <c r="I211" s="276"/>
      <c r="J211" s="1290" t="str">
        <f>J172</f>
        <v>Qëllime të mëtejshme</v>
      </c>
      <c r="K211" s="1291"/>
      <c r="L211" s="1292"/>
      <c r="M211" s="125"/>
      <c r="N211" s="125"/>
      <c r="O211" s="129"/>
    </row>
    <row r="212" spans="1:15" ht="12.75" x14ac:dyDescent="0.2">
      <c r="A212" s="121" t="str">
        <f t="shared" si="52"/>
        <v>Transferta për Buxhetet Familiare dhe Individët</v>
      </c>
      <c r="B212" s="1229">
        <f t="shared" si="52"/>
        <v>606</v>
      </c>
      <c r="C212" s="1230">
        <f t="shared" si="52"/>
        <v>0</v>
      </c>
      <c r="D212" s="1231">
        <f t="shared" si="52"/>
        <v>0</v>
      </c>
      <c r="E212" s="36"/>
      <c r="F212" s="36"/>
      <c r="G212" s="36"/>
      <c r="H212" s="52"/>
      <c r="I212" s="276"/>
      <c r="J212" s="1286"/>
      <c r="K212" s="1286"/>
      <c r="L212" s="1286"/>
      <c r="M212" s="300" t="str">
        <f>IF(SUM(M209:M211)=M208,"OK","STOP")</f>
        <v>OK</v>
      </c>
      <c r="N212" s="300" t="str">
        <f>IF(SUM(N209:N211)=N208,"OK","STOP")</f>
        <v>OK</v>
      </c>
      <c r="O212" s="300" t="str">
        <f>IF(SUM(O209:O211)=O208,"OK","STOP")</f>
        <v>OK</v>
      </c>
    </row>
    <row r="213" spans="1:15" ht="12.75" x14ac:dyDescent="0.2">
      <c r="A213" s="564" t="str">
        <f t="shared" si="52"/>
        <v>Shpenzimet kapitale</v>
      </c>
      <c r="B213" s="1256" t="str">
        <f t="shared" si="52"/>
        <v>230 / 231</v>
      </c>
      <c r="C213" s="1257">
        <f t="shared" si="52"/>
        <v>0</v>
      </c>
      <c r="D213" s="1258">
        <f t="shared" si="52"/>
        <v>0</v>
      </c>
      <c r="E213" s="126"/>
      <c r="F213" s="126"/>
      <c r="G213" s="126"/>
      <c r="H213" s="52"/>
      <c r="I213" s="367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2.75" x14ac:dyDescent="0.2">
      <c r="A214" s="121" t="str">
        <f t="shared" si="52"/>
        <v>Rezerva</v>
      </c>
      <c r="B214" s="1229">
        <f t="shared" si="52"/>
        <v>609</v>
      </c>
      <c r="C214" s="1230">
        <f t="shared" si="52"/>
        <v>0</v>
      </c>
      <c r="D214" s="1231">
        <f t="shared" si="52"/>
        <v>0</v>
      </c>
      <c r="E214" s="36"/>
      <c r="F214" s="36"/>
      <c r="G214" s="36"/>
      <c r="H214" s="52"/>
      <c r="I214" s="365">
        <f>M187</f>
        <v>2022</v>
      </c>
      <c r="J214" s="1271"/>
      <c r="K214" s="1272"/>
      <c r="L214" s="1272"/>
      <c r="M214" s="1272"/>
      <c r="N214" s="1272"/>
      <c r="O214" s="1273"/>
    </row>
    <row r="215" spans="1:15" ht="12.75" x14ac:dyDescent="0.2">
      <c r="A215" s="121" t="str">
        <f t="shared" si="52"/>
        <v>Interesa per kredi direkte ose bono</v>
      </c>
      <c r="B215" s="1259">
        <f t="shared" si="52"/>
        <v>650</v>
      </c>
      <c r="C215" s="1260">
        <f t="shared" si="52"/>
        <v>0</v>
      </c>
      <c r="D215" s="1261">
        <f t="shared" si="52"/>
        <v>0</v>
      </c>
      <c r="E215" s="36"/>
      <c r="F215" s="36"/>
      <c r="G215" s="36"/>
      <c r="H215" s="52"/>
      <c r="I215" s="366"/>
      <c r="J215" s="1274"/>
      <c r="K215" s="1275"/>
      <c r="L215" s="1275"/>
      <c r="M215" s="1275"/>
      <c r="N215" s="1275"/>
      <c r="O215" s="1276"/>
    </row>
    <row r="216" spans="1:15" ht="12.75" x14ac:dyDescent="0.2">
      <c r="A216" s="239" t="str">
        <f>A99</f>
        <v>Të tjera</v>
      </c>
      <c r="B216" s="1229" t="str">
        <f>B99</f>
        <v>69 / ?</v>
      </c>
      <c r="C216" s="1230">
        <f>C99</f>
        <v>0</v>
      </c>
      <c r="D216" s="273" t="str">
        <f>IF(OR(E216&lt;0,F216&lt;0,G216&lt;0),"STOP","OK!")</f>
        <v>OK!</v>
      </c>
      <c r="E216" s="716">
        <f>-E204+E189-(SUM(E206:E215))</f>
        <v>0</v>
      </c>
      <c r="F216" s="717">
        <f>-F204+F189-(SUM(F206:F215))</f>
        <v>0</v>
      </c>
      <c r="G216" s="717">
        <f>-G204+G189-(SUM(G206:G215))</f>
        <v>0</v>
      </c>
      <c r="H216" s="52"/>
      <c r="I216" s="365">
        <f>N187</f>
        <v>2023</v>
      </c>
      <c r="J216" s="1271"/>
      <c r="K216" s="1272"/>
      <c r="L216" s="1272"/>
      <c r="M216" s="1272"/>
      <c r="N216" s="1272"/>
      <c r="O216" s="1273"/>
    </row>
    <row r="217" spans="1:15" ht="12.75" x14ac:dyDescent="0.2">
      <c r="A217" s="121" t="str">
        <f>A100</f>
        <v>SHPENZIME KORRENTE</v>
      </c>
      <c r="B217" s="1262"/>
      <c r="C217" s="1263"/>
      <c r="D217" s="1264"/>
      <c r="E217" s="713">
        <f>SUM(E206:E216)</f>
        <v>11588278</v>
      </c>
      <c r="F217" s="713">
        <f>SUM(F206:F216)</f>
        <v>12161878</v>
      </c>
      <c r="G217" s="713">
        <f>SUM(G206:G216)</f>
        <v>13968133</v>
      </c>
      <c r="H217" s="52"/>
      <c r="I217" s="366"/>
      <c r="J217" s="1277"/>
      <c r="K217" s="1278"/>
      <c r="L217" s="1278"/>
      <c r="M217" s="1278"/>
      <c r="N217" s="1278"/>
      <c r="O217" s="1279"/>
    </row>
    <row r="218" spans="1:15" ht="12.75" x14ac:dyDescent="0.2">
      <c r="A218" s="122"/>
      <c r="B218" s="201"/>
      <c r="C218" s="123"/>
      <c r="D218" s="123"/>
      <c r="E218" s="276"/>
      <c r="F218" s="276"/>
      <c r="G218" s="712"/>
      <c r="H218" s="52"/>
      <c r="I218" s="365">
        <f>O187</f>
        <v>2024</v>
      </c>
      <c r="J218" s="1271"/>
      <c r="K218" s="1272"/>
      <c r="L218" s="1272"/>
      <c r="M218" s="1272"/>
      <c r="N218" s="1272"/>
      <c r="O218" s="1273"/>
    </row>
    <row r="219" spans="1:15" ht="12.75" x14ac:dyDescent="0.2">
      <c r="A219" s="134" t="str">
        <f>A102</f>
        <v>SHPENZIME TË PRITSHME</v>
      </c>
      <c r="B219" s="774">
        <f>B189</f>
        <v>4526866</v>
      </c>
      <c r="C219" s="774">
        <f>C189</f>
        <v>9893759</v>
      </c>
      <c r="D219" s="774">
        <f>D189</f>
        <v>15646730</v>
      </c>
      <c r="E219" s="713">
        <f>E204+E217</f>
        <v>11588278</v>
      </c>
      <c r="F219" s="713">
        <f>F204+F217</f>
        <v>12161878</v>
      </c>
      <c r="G219" s="713">
        <f>G204+G217</f>
        <v>13968133</v>
      </c>
      <c r="H219" s="52"/>
      <c r="I219" s="366"/>
      <c r="J219" s="1277"/>
      <c r="K219" s="1278"/>
      <c r="L219" s="1278"/>
      <c r="M219" s="1278"/>
      <c r="N219" s="1278"/>
      <c r="O219" s="1279"/>
    </row>
    <row r="222" spans="1:15" ht="17.25" customHeight="1" x14ac:dyDescent="0.2">
      <c r="A222" s="204" t="str">
        <f t="shared" ref="A222:O222" si="55">A66</f>
        <v>Nënfunksioni 7</v>
      </c>
      <c r="B222" s="1225" t="str">
        <f t="shared" si="55"/>
        <v>042 Bujqësia, pyjet, peshkimi dhe gjuetia</v>
      </c>
      <c r="C222" s="1225">
        <f t="shared" si="55"/>
        <v>0</v>
      </c>
      <c r="D222" s="1225">
        <f t="shared" si="55"/>
        <v>0</v>
      </c>
      <c r="E222" s="1225">
        <f t="shared" si="55"/>
        <v>0</v>
      </c>
      <c r="F222" s="1225">
        <f t="shared" si="55"/>
        <v>0</v>
      </c>
      <c r="G222" s="1225">
        <f t="shared" si="55"/>
        <v>0</v>
      </c>
      <c r="H222" s="1225">
        <f t="shared" si="55"/>
        <v>0</v>
      </c>
      <c r="I222" s="1225">
        <f t="shared" si="55"/>
        <v>0</v>
      </c>
      <c r="J222" s="1225">
        <f t="shared" si="55"/>
        <v>0</v>
      </c>
      <c r="K222" s="1225">
        <f t="shared" si="55"/>
        <v>0</v>
      </c>
      <c r="L222" s="1225">
        <f t="shared" si="55"/>
        <v>0</v>
      </c>
      <c r="M222" s="1225">
        <f t="shared" si="55"/>
        <v>0</v>
      </c>
      <c r="N222" s="1225">
        <f t="shared" si="55"/>
        <v>0</v>
      </c>
      <c r="O222" s="1225">
        <f t="shared" si="55"/>
        <v>0</v>
      </c>
    </row>
    <row r="223" spans="1:15" ht="17.25" customHeight="1" x14ac:dyDescent="0.2">
      <c r="A223" s="262" t="str">
        <f>A10</f>
        <v>Programi 7e</v>
      </c>
      <c r="B223" s="1225" t="str">
        <f>C10</f>
        <v>Administrimi i pyjeve dhe kullotave</v>
      </c>
      <c r="C223" s="1225" t="e">
        <f>#REF!</f>
        <v>#REF!</v>
      </c>
      <c r="D223" s="1225" t="e">
        <f>#REF!</f>
        <v>#REF!</v>
      </c>
      <c r="E223" s="1225" t="e">
        <f>#REF!</f>
        <v>#REF!</v>
      </c>
      <c r="F223" s="1225" t="e">
        <f>#REF!</f>
        <v>#REF!</v>
      </c>
      <c r="G223" s="1225" t="e">
        <f>#REF!</f>
        <v>#REF!</v>
      </c>
      <c r="H223" s="1225" t="e">
        <f>#REF!</f>
        <v>#REF!</v>
      </c>
      <c r="I223" s="1225" t="e">
        <f>#REF!</f>
        <v>#REF!</v>
      </c>
      <c r="J223" s="1225" t="e">
        <f>#REF!</f>
        <v>#REF!</v>
      </c>
      <c r="K223" s="1225" t="e">
        <f>#REF!</f>
        <v>#REF!</v>
      </c>
      <c r="L223" s="1225" t="e">
        <f>#REF!</f>
        <v>#REF!</v>
      </c>
      <c r="M223" s="1225" t="e">
        <f>#REF!</f>
        <v>#REF!</v>
      </c>
      <c r="N223" s="1225" t="e">
        <f>#REF!</f>
        <v>#REF!</v>
      </c>
      <c r="O223" s="1225" t="e">
        <f>#REF!</f>
        <v>#REF!</v>
      </c>
    </row>
    <row r="224" spans="1:15" ht="17.25" customHeight="1" x14ac:dyDescent="0.2">
      <c r="A224" s="562" t="str">
        <f>'(B3) Struktura Funksionale'!B46</f>
        <v>04260</v>
      </c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  <c r="L224" s="485"/>
      <c r="M224" s="485"/>
      <c r="N224" s="485"/>
      <c r="O224" s="486"/>
    </row>
    <row r="225" spans="1:15" ht="21.75" customHeight="1" x14ac:dyDescent="0.2">
      <c r="A225" s="1252" t="str">
        <f t="shared" ref="A225:G225" si="56">A69</f>
        <v>SHPENZIME TË PRITSHME</v>
      </c>
      <c r="B225" s="1253">
        <f t="shared" si="56"/>
        <v>0</v>
      </c>
      <c r="C225" s="1253">
        <f t="shared" si="56"/>
        <v>0</v>
      </c>
      <c r="D225" s="1253">
        <f t="shared" si="56"/>
        <v>0</v>
      </c>
      <c r="E225" s="1253">
        <f t="shared" si="56"/>
        <v>0</v>
      </c>
      <c r="F225" s="1253">
        <f t="shared" si="56"/>
        <v>0</v>
      </c>
      <c r="G225" s="1254">
        <f t="shared" si="56"/>
        <v>0</v>
      </c>
      <c r="H225" s="128"/>
      <c r="I225" s="1255" t="str">
        <f t="shared" ref="I225:O225" si="57">I69</f>
        <v xml:space="preserve">TË ARDHURAT E PRITSHME </v>
      </c>
      <c r="J225" s="1253">
        <f t="shared" si="57"/>
        <v>0</v>
      </c>
      <c r="K225" s="1253">
        <f t="shared" si="57"/>
        <v>0</v>
      </c>
      <c r="L225" s="1253">
        <f t="shared" si="57"/>
        <v>0</v>
      </c>
      <c r="M225" s="1253">
        <f t="shared" si="57"/>
        <v>0</v>
      </c>
      <c r="N225" s="1253">
        <f t="shared" si="57"/>
        <v>0</v>
      </c>
      <c r="O225" s="1254">
        <f t="shared" si="57"/>
        <v>0</v>
      </c>
    </row>
    <row r="226" spans="1:15" ht="18.75" customHeight="1" x14ac:dyDescent="0.2">
      <c r="A226" s="202"/>
      <c r="B226" s="363">
        <f t="shared" ref="B226:G226" si="58">B70</f>
        <v>2019</v>
      </c>
      <c r="C226" s="363">
        <f t="shared" si="58"/>
        <v>2020</v>
      </c>
      <c r="D226" s="363">
        <f t="shared" si="58"/>
        <v>2021</v>
      </c>
      <c r="E226" s="238">
        <f t="shared" si="58"/>
        <v>2022</v>
      </c>
      <c r="F226" s="238">
        <f t="shared" si="58"/>
        <v>2023</v>
      </c>
      <c r="G226" s="238">
        <f t="shared" si="58"/>
        <v>2024</v>
      </c>
      <c r="H226" s="203"/>
      <c r="I226" s="360"/>
      <c r="J226" s="363">
        <f t="shared" ref="J226:O226" si="59">J70</f>
        <v>2019</v>
      </c>
      <c r="K226" s="363">
        <f t="shared" si="59"/>
        <v>2020</v>
      </c>
      <c r="L226" s="363">
        <f t="shared" si="59"/>
        <v>2021</v>
      </c>
      <c r="M226" s="238">
        <f t="shared" si="59"/>
        <v>2022</v>
      </c>
      <c r="N226" s="238">
        <f t="shared" si="59"/>
        <v>2023</v>
      </c>
      <c r="O226" s="238">
        <f t="shared" si="59"/>
        <v>2024</v>
      </c>
    </row>
    <row r="227" spans="1:15" ht="12.75" x14ac:dyDescent="0.2">
      <c r="A227" s="380"/>
      <c r="B227" s="200"/>
      <c r="C227" s="368"/>
      <c r="D227" s="281"/>
      <c r="E227" s="8"/>
      <c r="F227" s="8"/>
      <c r="G227" s="381"/>
      <c r="H227" s="128"/>
      <c r="I227" s="369"/>
      <c r="J227" s="305"/>
      <c r="K227" s="305"/>
      <c r="L227" s="305"/>
      <c r="M227" s="305"/>
      <c r="N227" s="305"/>
      <c r="O227" s="306"/>
    </row>
    <row r="228" spans="1:15" ht="12.75" x14ac:dyDescent="0.2">
      <c r="A228" s="134" t="str">
        <f>A72</f>
        <v>SHPENZIME TË PRITSHME</v>
      </c>
      <c r="B228" s="33">
        <f>VLOOKUP(A223,'(C1) Shpenzimet vitet e kaluara'!A$9:O$177,5,FALSE)</f>
        <v>1403256</v>
      </c>
      <c r="C228" s="774">
        <f>VLOOKUP(A223,'(C1) Shpenzimet vitet e kaluara'!A$9:O$177,9,FALSE)</f>
        <v>18106291</v>
      </c>
      <c r="D228" s="774">
        <f>VLOOKUP(A223,'(C1) Shpenzimet vitet e kaluara'!A$9:O$177,13,FALSE)</f>
        <v>34703759</v>
      </c>
      <c r="E228" s="708">
        <f>E245+E246+E247+E239</f>
        <v>30756322</v>
      </c>
      <c r="F228" s="708">
        <f>F245+F246+F247+F239</f>
        <v>32014582</v>
      </c>
      <c r="G228" s="708">
        <f>G245+G246+G247+G239</f>
        <v>32081107</v>
      </c>
      <c r="H228" s="128"/>
      <c r="I228" s="1226" t="str">
        <f t="shared" ref="I228:O228" si="60">I72</f>
        <v>VLERËSIM I ARDHURAVE NGA TARIFAT</v>
      </c>
      <c r="J228" s="1227">
        <f t="shared" si="60"/>
        <v>0</v>
      </c>
      <c r="K228" s="1227">
        <f t="shared" si="60"/>
        <v>0</v>
      </c>
      <c r="L228" s="1227">
        <f t="shared" si="60"/>
        <v>0</v>
      </c>
      <c r="M228" s="1227">
        <f t="shared" si="60"/>
        <v>0</v>
      </c>
      <c r="N228" s="1227">
        <f t="shared" si="60"/>
        <v>0</v>
      </c>
      <c r="O228" s="1228">
        <f t="shared" si="60"/>
        <v>0</v>
      </c>
    </row>
    <row r="229" spans="1:15" ht="12.75" x14ac:dyDescent="0.2">
      <c r="A229" s="122"/>
      <c r="B229" s="201"/>
      <c r="C229" s="123"/>
      <c r="D229" s="123"/>
      <c r="E229" s="10"/>
      <c r="F229" s="10"/>
      <c r="G229" s="130"/>
      <c r="H229" s="10"/>
      <c r="I229" s="134" t="str">
        <f>I73</f>
        <v>VLERËSIM I ARDHURAVE NGA TARIFAT</v>
      </c>
      <c r="J229" s="34">
        <f>VLOOKUP($A223,'(C1) Shpenzimet vitet e kaluara'!$A$9:$O$177,6,FALSE)</f>
        <v>1335630</v>
      </c>
      <c r="K229" s="34">
        <f>VLOOKUP($A223,'(C1) Shpenzimet vitet e kaluara'!$A$9:$O$177,10,FALSE)</f>
        <v>1647831</v>
      </c>
      <c r="L229" s="34">
        <f>VLOOKUP($A223,'(C1) Shpenzimet vitet e kaluara'!$A$9:$O$177,14,FALSE)</f>
        <v>1500000</v>
      </c>
      <c r="M229" s="36"/>
      <c r="N229" s="36"/>
      <c r="O229" s="36"/>
    </row>
    <row r="230" spans="1:15" ht="12.75" x14ac:dyDescent="0.2">
      <c r="A230" s="1232" t="str">
        <f t="shared" ref="A230:G231" si="61">A74</f>
        <v>SHPENZIME TË PRITSHME</v>
      </c>
      <c r="B230" s="1233">
        <f t="shared" si="61"/>
        <v>0</v>
      </c>
      <c r="C230" s="1233">
        <f t="shared" si="61"/>
        <v>0</v>
      </c>
      <c r="D230" s="1233">
        <f t="shared" si="61"/>
        <v>0</v>
      </c>
      <c r="E230" s="1233">
        <f t="shared" si="61"/>
        <v>0</v>
      </c>
      <c r="F230" s="1233">
        <f t="shared" si="61"/>
        <v>0</v>
      </c>
      <c r="G230" s="1234">
        <f t="shared" si="61"/>
        <v>0</v>
      </c>
      <c r="H230" s="10"/>
    </row>
    <row r="231" spans="1:15" ht="12.75" x14ac:dyDescent="0.2">
      <c r="A231" s="1226" t="str">
        <f t="shared" si="61"/>
        <v>KOSTO DIREKTE PËR PROJEKTET DHE SHPENZIMET KAPITALE</v>
      </c>
      <c r="B231" s="1227">
        <f t="shared" si="61"/>
        <v>0</v>
      </c>
      <c r="C231" s="1227">
        <f t="shared" si="61"/>
        <v>0</v>
      </c>
      <c r="D231" s="1227">
        <f t="shared" si="61"/>
        <v>0</v>
      </c>
      <c r="E231" s="1227">
        <f t="shared" si="61"/>
        <v>0</v>
      </c>
      <c r="F231" s="1227">
        <f t="shared" si="61"/>
        <v>0</v>
      </c>
      <c r="G231" s="1228">
        <f t="shared" si="61"/>
        <v>0</v>
      </c>
      <c r="H231" s="30"/>
      <c r="I231" s="1226" t="str">
        <f t="shared" ref="I231:I236" si="62">I75</f>
        <v>VLERËSIMI I TË ARDHURAVE ME DESTINACION</v>
      </c>
      <c r="J231" s="1227"/>
      <c r="K231" s="1227"/>
      <c r="L231" s="1227"/>
      <c r="M231" s="1227"/>
      <c r="N231" s="1227"/>
      <c r="O231" s="1228"/>
    </row>
    <row r="232" spans="1:15" ht="12.75" x14ac:dyDescent="0.2">
      <c r="A232" s="121" t="str">
        <f t="shared" ref="A232:D254" si="63">A76</f>
        <v>Pagat</v>
      </c>
      <c r="B232" s="1229">
        <f t="shared" si="63"/>
        <v>600</v>
      </c>
      <c r="C232" s="1230">
        <f t="shared" si="63"/>
        <v>0</v>
      </c>
      <c r="D232" s="1231">
        <f t="shared" si="63"/>
        <v>0</v>
      </c>
      <c r="E232" s="126"/>
      <c r="F232" s="126"/>
      <c r="G232" s="126"/>
      <c r="H232" s="30"/>
      <c r="I232" s="339" t="str">
        <f t="shared" si="62"/>
        <v>Transferta e kushtëzuar</v>
      </c>
      <c r="J232" s="336"/>
      <c r="K232" s="338"/>
      <c r="L232" s="337"/>
      <c r="M232" s="125"/>
      <c r="N232" s="125"/>
      <c r="O232" s="129"/>
    </row>
    <row r="233" spans="1:15" ht="12.75" x14ac:dyDescent="0.2">
      <c r="A233" s="121" t="str">
        <f t="shared" si="63"/>
        <v>Sigurimet Shoqërore</v>
      </c>
      <c r="B233" s="1229">
        <f t="shared" si="63"/>
        <v>601</v>
      </c>
      <c r="C233" s="1230">
        <f t="shared" si="63"/>
        <v>0</v>
      </c>
      <c r="D233" s="1231">
        <f t="shared" si="63"/>
        <v>0</v>
      </c>
      <c r="E233" s="126"/>
      <c r="F233" s="126"/>
      <c r="G233" s="126"/>
      <c r="H233" s="30"/>
      <c r="I233" s="339" t="str">
        <f t="shared" si="62"/>
        <v>Trasferta Specifike</v>
      </c>
      <c r="J233" s="336"/>
      <c r="K233" s="338"/>
      <c r="L233" s="337"/>
      <c r="M233" s="125">
        <v>12539000</v>
      </c>
      <c r="N233" s="125">
        <v>12539000</v>
      </c>
      <c r="O233" s="129">
        <v>12539000</v>
      </c>
    </row>
    <row r="234" spans="1:15" ht="12.75" x14ac:dyDescent="0.2">
      <c r="A234" s="121" t="str">
        <f t="shared" si="63"/>
        <v>Mallra dhe shërbime</v>
      </c>
      <c r="B234" s="1229">
        <f t="shared" si="63"/>
        <v>602</v>
      </c>
      <c r="C234" s="1230">
        <f t="shared" si="63"/>
        <v>0</v>
      </c>
      <c r="D234" s="1231">
        <f t="shared" si="63"/>
        <v>0</v>
      </c>
      <c r="E234" s="126"/>
      <c r="F234" s="126"/>
      <c r="G234" s="126"/>
      <c r="H234" s="52"/>
      <c r="I234" s="339" t="str">
        <f t="shared" si="62"/>
        <v>Trashëgimi me destinacion</v>
      </c>
      <c r="J234" s="336"/>
      <c r="K234" s="338"/>
      <c r="L234" s="337"/>
      <c r="M234" s="264">
        <f>VLOOKUP($A223,'(C4) Trashëgimi me destinacion'!$A$8:$F$168,4,FALSE)</f>
        <v>0</v>
      </c>
      <c r="N234" s="479">
        <f>VLOOKUP($A223,'(C4) Trashëgimi me destinacion'!$A$8:$F$168,5,FALSE)</f>
        <v>0</v>
      </c>
      <c r="O234" s="481">
        <f>VLOOKUP($A223,'(C4) Trashëgimi me destinacion'!$A$8:$F$168,6,FALSE)</f>
        <v>0</v>
      </c>
    </row>
    <row r="235" spans="1:15" ht="12.75" x14ac:dyDescent="0.2">
      <c r="A235" s="121" t="str">
        <f t="shared" si="63"/>
        <v>Subvencione</v>
      </c>
      <c r="B235" s="1229">
        <f t="shared" si="63"/>
        <v>603</v>
      </c>
      <c r="C235" s="1230">
        <f t="shared" si="63"/>
        <v>0</v>
      </c>
      <c r="D235" s="1231">
        <f t="shared" si="63"/>
        <v>0</v>
      </c>
      <c r="E235" s="126"/>
      <c r="F235" s="126"/>
      <c r="G235" s="126"/>
      <c r="H235" s="8"/>
      <c r="I235" s="339" t="str">
        <f t="shared" si="62"/>
        <v>Burime të tjera (përfshirë gjobat)</v>
      </c>
      <c r="J235" s="336"/>
      <c r="K235" s="338"/>
      <c r="L235" s="337"/>
      <c r="M235" s="125"/>
      <c r="N235" s="125"/>
      <c r="O235" s="129"/>
    </row>
    <row r="236" spans="1:15" ht="12.75" x14ac:dyDescent="0.2">
      <c r="A236" s="121" t="str">
        <f t="shared" si="63"/>
        <v>Të tjera transferta korrente të brendshme</v>
      </c>
      <c r="B236" s="1229">
        <f t="shared" si="63"/>
        <v>604</v>
      </c>
      <c r="C236" s="1230">
        <f t="shared" si="63"/>
        <v>0</v>
      </c>
      <c r="D236" s="1231">
        <f t="shared" si="63"/>
        <v>0</v>
      </c>
      <c r="E236" s="126"/>
      <c r="F236" s="126"/>
      <c r="G236" s="126"/>
      <c r="H236" s="52"/>
      <c r="I236" s="339" t="str">
        <f t="shared" si="62"/>
        <v>VLERËSIMI I TË ARDHURAVE ME DESTINACION</v>
      </c>
      <c r="J236" s="34">
        <f>VLOOKUP($A223,'(C1) Shpenzimet vitet e kaluara'!$A$9:$O$177,7,FALSE)</f>
        <v>6754974</v>
      </c>
      <c r="K236" s="34">
        <f>VLOOKUP($A223,'(C1) Shpenzimet vitet e kaluara'!$A$9:$O$177,11,FALSE)</f>
        <v>11399000</v>
      </c>
      <c r="L236" s="34">
        <f>VLOOKUP($A223,'(C1) Shpenzimet vitet e kaluara'!$A$9:$O$177,15,FALSE)</f>
        <v>12539000</v>
      </c>
      <c r="M236" s="126">
        <f>SUM(M232:M235)</f>
        <v>12539000</v>
      </c>
      <c r="N236" s="126">
        <f>SUM(N232:N235)</f>
        <v>12539000</v>
      </c>
      <c r="O236" s="126">
        <f>SUM(O232:O235)</f>
        <v>12539000</v>
      </c>
    </row>
    <row r="237" spans="1:15" ht="12.75" x14ac:dyDescent="0.2">
      <c r="A237" s="121" t="str">
        <f t="shared" si="63"/>
        <v>Transferta korrente të huaja</v>
      </c>
      <c r="B237" s="1229">
        <f t="shared" si="63"/>
        <v>605</v>
      </c>
      <c r="C237" s="1230">
        <f t="shared" si="63"/>
        <v>0</v>
      </c>
      <c r="D237" s="1231">
        <f t="shared" si="63"/>
        <v>0</v>
      </c>
      <c r="E237" s="126"/>
      <c r="F237" s="126"/>
      <c r="G237" s="126"/>
      <c r="H237" s="52"/>
    </row>
    <row r="238" spans="1:15" ht="12.75" x14ac:dyDescent="0.2">
      <c r="A238" s="121" t="str">
        <f t="shared" si="63"/>
        <v>Transferta për Buxhetet Familiare dhe Individët</v>
      </c>
      <c r="B238" s="1229">
        <f t="shared" si="63"/>
        <v>606</v>
      </c>
      <c r="C238" s="1230">
        <f t="shared" si="63"/>
        <v>0</v>
      </c>
      <c r="D238" s="1231">
        <f t="shared" si="63"/>
        <v>0</v>
      </c>
      <c r="E238" s="126"/>
      <c r="F238" s="126"/>
      <c r="G238" s="126"/>
      <c r="H238" s="52"/>
      <c r="I238" s="134" t="str">
        <f>I82</f>
        <v xml:space="preserve">TË ARDHURAT E PRITSHME </v>
      </c>
      <c r="J238" s="33">
        <f>J229+J236</f>
        <v>8090604</v>
      </c>
      <c r="K238" s="33">
        <f>K229+K236</f>
        <v>13046831</v>
      </c>
      <c r="L238" s="33">
        <f>L229+L236</f>
        <v>14039000</v>
      </c>
      <c r="M238" s="126">
        <f>M236+M229</f>
        <v>12539000</v>
      </c>
      <c r="N238" s="126">
        <f>N236+N229</f>
        <v>12539000</v>
      </c>
      <c r="O238" s="126">
        <f>O236+O229</f>
        <v>12539000</v>
      </c>
    </row>
    <row r="239" spans="1:15" ht="12.75" x14ac:dyDescent="0.2">
      <c r="A239" s="121" t="str">
        <f t="shared" si="63"/>
        <v>Shpenzimet kapitale</v>
      </c>
      <c r="B239" s="1229" t="str">
        <f t="shared" si="63"/>
        <v>230 / 231</v>
      </c>
      <c r="C239" s="1230">
        <f t="shared" si="63"/>
        <v>0</v>
      </c>
      <c r="D239" s="1231">
        <f t="shared" si="63"/>
        <v>0</v>
      </c>
      <c r="E239" s="36">
        <v>8350000</v>
      </c>
      <c r="F239" s="36">
        <v>8569600</v>
      </c>
      <c r="G239" s="36">
        <v>8830700</v>
      </c>
      <c r="H239" s="52"/>
    </row>
    <row r="240" spans="1:15" ht="12.75" x14ac:dyDescent="0.2">
      <c r="A240" s="121" t="str">
        <f t="shared" si="63"/>
        <v>Rezerva</v>
      </c>
      <c r="B240" s="1229">
        <f t="shared" si="63"/>
        <v>609</v>
      </c>
      <c r="C240" s="1230">
        <f t="shared" si="63"/>
        <v>0</v>
      </c>
      <c r="D240" s="1231">
        <f t="shared" si="63"/>
        <v>0</v>
      </c>
      <c r="E240" s="126"/>
      <c r="F240" s="126"/>
      <c r="G240" s="126"/>
      <c r="H240" s="52"/>
    </row>
    <row r="241" spans="1:15" ht="12.75" x14ac:dyDescent="0.2">
      <c r="A241" s="121" t="str">
        <f t="shared" si="63"/>
        <v>Interesa per kredi direkte ose bono</v>
      </c>
      <c r="B241" s="1229">
        <f t="shared" si="63"/>
        <v>650</v>
      </c>
      <c r="C241" s="1230">
        <f t="shared" si="63"/>
        <v>0</v>
      </c>
      <c r="D241" s="1231">
        <f t="shared" si="63"/>
        <v>0</v>
      </c>
      <c r="E241" s="126"/>
      <c r="F241" s="126"/>
      <c r="G241" s="126"/>
      <c r="H241" s="52"/>
    </row>
    <row r="242" spans="1:15" ht="12.75" x14ac:dyDescent="0.2">
      <c r="A242" s="121" t="str">
        <f t="shared" si="63"/>
        <v>Të tjera</v>
      </c>
      <c r="B242" s="1229" t="str">
        <f t="shared" si="63"/>
        <v>69 / ?</v>
      </c>
      <c r="C242" s="1230">
        <f t="shared" si="63"/>
        <v>0</v>
      </c>
      <c r="D242" s="1231">
        <f t="shared" si="63"/>
        <v>0</v>
      </c>
      <c r="E242" s="126"/>
      <c r="F242" s="126"/>
      <c r="G242" s="126"/>
      <c r="H242" s="52"/>
      <c r="I242" s="1235" t="str">
        <f t="shared" ref="I242:O243" si="64">I86</f>
        <v>SHUMA E KËRKUAR NETO</v>
      </c>
      <c r="J242" s="1236">
        <f t="shared" si="64"/>
        <v>0</v>
      </c>
      <c r="K242" s="1236">
        <f t="shared" si="64"/>
        <v>0</v>
      </c>
      <c r="L242" s="1236">
        <f t="shared" si="64"/>
        <v>0</v>
      </c>
      <c r="M242" s="1236">
        <f t="shared" si="64"/>
        <v>0</v>
      </c>
      <c r="N242" s="1236">
        <f t="shared" si="64"/>
        <v>0</v>
      </c>
      <c r="O242" s="1237">
        <f t="shared" si="64"/>
        <v>0</v>
      </c>
    </row>
    <row r="243" spans="1:15" ht="12.75" customHeight="1" x14ac:dyDescent="0.2">
      <c r="A243" s="268" t="str">
        <f t="shared" si="63"/>
        <v>KOSTO DIREKTE PËR PROJEKTET DHE SHPENZIMET KAPITALE</v>
      </c>
      <c r="B243" s="1229">
        <f t="shared" si="63"/>
        <v>0</v>
      </c>
      <c r="C243" s="1230">
        <f t="shared" si="63"/>
        <v>0</v>
      </c>
      <c r="D243" s="1231">
        <f t="shared" si="63"/>
        <v>0</v>
      </c>
      <c r="E243" s="126">
        <f>SUM(E232:E242)</f>
        <v>8350000</v>
      </c>
      <c r="F243" s="126">
        <f>SUM(F232:F242)</f>
        <v>8569600</v>
      </c>
      <c r="G243" s="126">
        <f>SUM(G232:G242)</f>
        <v>8830700</v>
      </c>
      <c r="H243" s="52"/>
      <c r="I243" s="1238">
        <f t="shared" si="64"/>
        <v>0</v>
      </c>
      <c r="J243" s="1239">
        <f t="shared" si="64"/>
        <v>0</v>
      </c>
      <c r="K243" s="1239">
        <f t="shared" si="64"/>
        <v>0</v>
      </c>
      <c r="L243" s="1239">
        <f t="shared" si="64"/>
        <v>0</v>
      </c>
      <c r="M243" s="1239">
        <f t="shared" si="64"/>
        <v>0</v>
      </c>
      <c r="N243" s="1239">
        <f t="shared" si="64"/>
        <v>0</v>
      </c>
      <c r="O243" s="1240">
        <f t="shared" si="64"/>
        <v>0</v>
      </c>
    </row>
    <row r="244" spans="1:15" ht="12.75" x14ac:dyDescent="0.2">
      <c r="A244" s="1226" t="str">
        <f t="shared" si="63"/>
        <v>SHPENZIME KORRENTE</v>
      </c>
      <c r="B244" s="1227">
        <f t="shared" si="63"/>
        <v>0</v>
      </c>
      <c r="C244" s="1227">
        <f t="shared" si="63"/>
        <v>0</v>
      </c>
      <c r="D244" s="1227">
        <f t="shared" si="63"/>
        <v>0</v>
      </c>
      <c r="E244" s="1227">
        <f>E88</f>
        <v>0</v>
      </c>
      <c r="F244" s="1227">
        <f>F88</f>
        <v>0</v>
      </c>
      <c r="G244" s="1228">
        <f>G88</f>
        <v>0</v>
      </c>
      <c r="H244" s="52"/>
      <c r="I244" s="17" t="str">
        <f>I88</f>
        <v>SHUMA E KËRKUAR NETO</v>
      </c>
      <c r="J244" s="780">
        <f t="shared" ref="J244:O244" si="65">B228-J238</f>
        <v>-6687348</v>
      </c>
      <c r="K244" s="780">
        <f t="shared" si="65"/>
        <v>5059460</v>
      </c>
      <c r="L244" s="780">
        <f t="shared" si="65"/>
        <v>20664759</v>
      </c>
      <c r="M244" s="780">
        <f t="shared" si="65"/>
        <v>18217322</v>
      </c>
      <c r="N244" s="780">
        <f t="shared" si="65"/>
        <v>19475582</v>
      </c>
      <c r="O244" s="780">
        <f t="shared" si="65"/>
        <v>19542107</v>
      </c>
    </row>
    <row r="245" spans="1:15" ht="12.75" x14ac:dyDescent="0.2">
      <c r="A245" s="121" t="str">
        <f t="shared" si="63"/>
        <v>Pagat</v>
      </c>
      <c r="B245" s="1229">
        <f t="shared" si="63"/>
        <v>600</v>
      </c>
      <c r="C245" s="1230">
        <f t="shared" si="63"/>
        <v>0</v>
      </c>
      <c r="D245" s="1231">
        <f t="shared" si="63"/>
        <v>0</v>
      </c>
      <c r="E245" s="708">
        <v>11629332</v>
      </c>
      <c r="F245" s="708">
        <v>12215630</v>
      </c>
      <c r="G245" s="708">
        <v>11828348</v>
      </c>
      <c r="H245" s="52"/>
      <c r="I245" s="52"/>
      <c r="J245" s="52"/>
      <c r="K245" s="52"/>
      <c r="L245" s="14"/>
      <c r="M245" s="53"/>
    </row>
    <row r="246" spans="1:15" ht="12.75" x14ac:dyDescent="0.2">
      <c r="A246" s="121" t="str">
        <f t="shared" si="63"/>
        <v>Sigurimet Shoqërore</v>
      </c>
      <c r="B246" s="1229">
        <f t="shared" si="63"/>
        <v>601</v>
      </c>
      <c r="C246" s="1230">
        <f t="shared" si="63"/>
        <v>0</v>
      </c>
      <c r="D246" s="1231">
        <f t="shared" si="63"/>
        <v>0</v>
      </c>
      <c r="E246" s="708">
        <v>2331450</v>
      </c>
      <c r="F246" s="708">
        <v>2448992</v>
      </c>
      <c r="G246" s="708">
        <v>2371349</v>
      </c>
      <c r="H246" s="52"/>
    </row>
    <row r="247" spans="1:15" ht="12.75" x14ac:dyDescent="0.2">
      <c r="A247" s="121" t="str">
        <f t="shared" si="63"/>
        <v>Mallra dhe shërbime</v>
      </c>
      <c r="B247" s="1229">
        <f t="shared" si="63"/>
        <v>602</v>
      </c>
      <c r="C247" s="1230">
        <f t="shared" si="63"/>
        <v>0</v>
      </c>
      <c r="D247" s="1231">
        <f t="shared" si="63"/>
        <v>0</v>
      </c>
      <c r="E247" s="708">
        <v>8445540</v>
      </c>
      <c r="F247" s="708">
        <v>8780360</v>
      </c>
      <c r="G247" s="708">
        <v>9050710</v>
      </c>
      <c r="H247" s="52"/>
      <c r="I247" s="239" t="str">
        <f>I208</f>
        <v>Angazhimet</v>
      </c>
      <c r="J247" s="1290" t="str">
        <f>J208</f>
        <v>Vlera Totale për Aktivitet</v>
      </c>
      <c r="K247" s="1291"/>
      <c r="L247" s="1292"/>
      <c r="M247" s="126">
        <f>VLOOKUP($A223,'(C5) Angazhimet'!$A$8:$F$168,4,FALSE)</f>
        <v>0</v>
      </c>
      <c r="N247" s="126">
        <f>VLOOKUP($A223,'(C5) Angazhimet'!$A$8:$F$168,5,FALSE)</f>
        <v>0</v>
      </c>
      <c r="O247" s="126">
        <f>VLOOKUP($A223,'(C5) Angazhimet'!$A$8:$F$168,6,FALSE)</f>
        <v>0</v>
      </c>
    </row>
    <row r="248" spans="1:15" ht="12.75" x14ac:dyDescent="0.2">
      <c r="A248" s="121" t="str">
        <f t="shared" si="63"/>
        <v>Subvencione</v>
      </c>
      <c r="B248" s="1229">
        <f t="shared" si="63"/>
        <v>603</v>
      </c>
      <c r="C248" s="1230">
        <f t="shared" si="63"/>
        <v>0</v>
      </c>
      <c r="D248" s="1231">
        <f t="shared" si="63"/>
        <v>0</v>
      </c>
      <c r="E248" s="708"/>
      <c r="F248" s="708"/>
      <c r="G248" s="708"/>
      <c r="H248" s="52"/>
      <c r="I248" s="279" t="str">
        <f>I209</f>
        <v>Qëllime</v>
      </c>
      <c r="J248" s="1290" t="str">
        <f>J209</f>
        <v>Shpenzimet kapitale</v>
      </c>
      <c r="K248" s="1291"/>
      <c r="L248" s="1292"/>
      <c r="M248" s="125"/>
      <c r="N248" s="125"/>
      <c r="O248" s="129"/>
    </row>
    <row r="249" spans="1:15" ht="12.75" x14ac:dyDescent="0.2">
      <c r="A249" s="121" t="str">
        <f t="shared" si="63"/>
        <v>Të tjera transferta korrente të brendshme</v>
      </c>
      <c r="B249" s="1229">
        <f t="shared" si="63"/>
        <v>604</v>
      </c>
      <c r="C249" s="1230">
        <f t="shared" si="63"/>
        <v>0</v>
      </c>
      <c r="D249" s="1231">
        <f t="shared" si="63"/>
        <v>0</v>
      </c>
      <c r="E249" s="708"/>
      <c r="F249" s="708"/>
      <c r="G249" s="708"/>
      <c r="H249" s="52"/>
      <c r="I249" s="276"/>
      <c r="J249" s="1290" t="str">
        <f>J210</f>
        <v>Mallra dhe shërbime</v>
      </c>
      <c r="K249" s="1291"/>
      <c r="L249" s="1292"/>
      <c r="M249" s="125"/>
      <c r="N249" s="125"/>
      <c r="O249" s="129"/>
    </row>
    <row r="250" spans="1:15" ht="12.75" x14ac:dyDescent="0.2">
      <c r="A250" s="121" t="str">
        <f t="shared" si="63"/>
        <v>Transferta korrente të huaja</v>
      </c>
      <c r="B250" s="1229">
        <f t="shared" si="63"/>
        <v>605</v>
      </c>
      <c r="C250" s="1230">
        <f t="shared" si="63"/>
        <v>0</v>
      </c>
      <c r="D250" s="1231">
        <f t="shared" si="63"/>
        <v>0</v>
      </c>
      <c r="E250" s="708"/>
      <c r="F250" s="708"/>
      <c r="G250" s="708"/>
      <c r="H250" s="52"/>
      <c r="I250" s="276"/>
      <c r="J250" s="1290" t="str">
        <f>J211</f>
        <v>Qëllime të mëtejshme</v>
      </c>
      <c r="K250" s="1291"/>
      <c r="L250" s="1292"/>
      <c r="M250" s="125"/>
      <c r="N250" s="125"/>
      <c r="O250" s="129"/>
    </row>
    <row r="251" spans="1:15" ht="12.75" x14ac:dyDescent="0.2">
      <c r="A251" s="121" t="str">
        <f t="shared" si="63"/>
        <v>Transferta për Buxhetet Familiare dhe Individët</v>
      </c>
      <c r="B251" s="1229">
        <f t="shared" si="63"/>
        <v>606</v>
      </c>
      <c r="C251" s="1230">
        <f t="shared" si="63"/>
        <v>0</v>
      </c>
      <c r="D251" s="1231">
        <f t="shared" si="63"/>
        <v>0</v>
      </c>
      <c r="E251" s="708"/>
      <c r="F251" s="708"/>
      <c r="G251" s="708"/>
      <c r="H251" s="52"/>
      <c r="I251" s="276"/>
      <c r="J251" s="1286"/>
      <c r="K251" s="1286"/>
      <c r="L251" s="1286"/>
      <c r="M251" s="300" t="str">
        <f>IF(SUM(M248:M250)=M247,"OK","STOP")</f>
        <v>OK</v>
      </c>
      <c r="N251" s="300" t="str">
        <f>IF(SUM(N248:N250)=N247,"OK","STOP")</f>
        <v>OK</v>
      </c>
      <c r="O251" s="300" t="str">
        <f>IF(SUM(O248:O250)=O247,"OK","STOP")</f>
        <v>OK</v>
      </c>
    </row>
    <row r="252" spans="1:15" ht="12.75" x14ac:dyDescent="0.2">
      <c r="A252" s="564" t="str">
        <f t="shared" si="63"/>
        <v>Shpenzimet kapitale</v>
      </c>
      <c r="B252" s="1256" t="str">
        <f t="shared" si="63"/>
        <v>230 / 231</v>
      </c>
      <c r="C252" s="1257">
        <f t="shared" si="63"/>
        <v>0</v>
      </c>
      <c r="D252" s="1258">
        <f t="shared" si="63"/>
        <v>0</v>
      </c>
      <c r="E252" s="713"/>
      <c r="F252" s="713"/>
      <c r="G252" s="713"/>
      <c r="H252" s="52"/>
      <c r="I252" s="367" t="str">
        <f>I213</f>
        <v>Shpjegimet teknike</v>
      </c>
      <c r="J252" s="10"/>
      <c r="K252" s="10"/>
      <c r="L252" s="10"/>
      <c r="M252" s="10"/>
      <c r="N252" s="10"/>
      <c r="O252" s="10"/>
    </row>
    <row r="253" spans="1:15" ht="12.75" x14ac:dyDescent="0.2">
      <c r="A253" s="121" t="str">
        <f t="shared" si="63"/>
        <v>Rezerva</v>
      </c>
      <c r="B253" s="1229">
        <f t="shared" si="63"/>
        <v>609</v>
      </c>
      <c r="C253" s="1230">
        <f t="shared" si="63"/>
        <v>0</v>
      </c>
      <c r="D253" s="1231">
        <f t="shared" si="63"/>
        <v>0</v>
      </c>
      <c r="E253" s="708"/>
      <c r="F253" s="708"/>
      <c r="G253" s="708"/>
      <c r="H253" s="52"/>
      <c r="I253" s="365">
        <f>M226</f>
        <v>2022</v>
      </c>
      <c r="J253" s="1271"/>
      <c r="K253" s="1272"/>
      <c r="L253" s="1272"/>
      <c r="M253" s="1272"/>
      <c r="N253" s="1272"/>
      <c r="O253" s="1273"/>
    </row>
    <row r="254" spans="1:15" ht="12.75" x14ac:dyDescent="0.2">
      <c r="A254" s="121" t="str">
        <f t="shared" si="63"/>
        <v>Interesa per kredi direkte ose bono</v>
      </c>
      <c r="B254" s="1259">
        <f t="shared" si="63"/>
        <v>650</v>
      </c>
      <c r="C254" s="1260">
        <f t="shared" si="63"/>
        <v>0</v>
      </c>
      <c r="D254" s="1261">
        <f t="shared" si="63"/>
        <v>0</v>
      </c>
      <c r="E254" s="708"/>
      <c r="F254" s="708"/>
      <c r="G254" s="708"/>
      <c r="H254" s="52"/>
      <c r="I254" s="366"/>
      <c r="J254" s="1274"/>
      <c r="K254" s="1275"/>
      <c r="L254" s="1275"/>
      <c r="M254" s="1275"/>
      <c r="N254" s="1275"/>
      <c r="O254" s="1276"/>
    </row>
    <row r="255" spans="1:15" ht="12.75" x14ac:dyDescent="0.2">
      <c r="A255" s="239" t="str">
        <f>A99</f>
        <v>Të tjera</v>
      </c>
      <c r="B255" s="1229" t="str">
        <f>B99</f>
        <v>69 / ?</v>
      </c>
      <c r="C255" s="1230">
        <f>C99</f>
        <v>0</v>
      </c>
      <c r="D255" s="273" t="str">
        <f>IF(OR(E255&lt;0,F255&lt;0,G255&lt;0),"STOP","OK!")</f>
        <v>OK!</v>
      </c>
      <c r="E255" s="716">
        <f>-E243+E228-(SUM(E245:E254))</f>
        <v>0</v>
      </c>
      <c r="F255" s="717">
        <f>-F243+F228-(SUM(F245:F254))</f>
        <v>0</v>
      </c>
      <c r="G255" s="717">
        <f>-G243+G228-(SUM(G245:G254))</f>
        <v>0</v>
      </c>
      <c r="H255" s="52"/>
      <c r="I255" s="365">
        <f>N226</f>
        <v>2023</v>
      </c>
      <c r="J255" s="1271"/>
      <c r="K255" s="1272"/>
      <c r="L255" s="1272"/>
      <c r="M255" s="1272"/>
      <c r="N255" s="1272"/>
      <c r="O255" s="1273"/>
    </row>
    <row r="256" spans="1:15" ht="12.75" x14ac:dyDescent="0.2">
      <c r="A256" s="121" t="str">
        <f>A100</f>
        <v>SHPENZIME KORRENTE</v>
      </c>
      <c r="B256" s="1262"/>
      <c r="C256" s="1263"/>
      <c r="D256" s="1264"/>
      <c r="E256" s="713">
        <f>SUM(E245:E255)</f>
        <v>22406322</v>
      </c>
      <c r="F256" s="713">
        <f>SUM(F245:F255)</f>
        <v>23444982</v>
      </c>
      <c r="G256" s="713">
        <f>SUM(G245:G255)</f>
        <v>23250407</v>
      </c>
      <c r="H256" s="52"/>
      <c r="I256" s="366"/>
      <c r="J256" s="1277"/>
      <c r="K256" s="1278"/>
      <c r="L256" s="1278"/>
      <c r="M256" s="1278"/>
      <c r="N256" s="1278"/>
      <c r="O256" s="1279"/>
    </row>
    <row r="257" spans="1:15" ht="12.75" x14ac:dyDescent="0.2">
      <c r="A257" s="122"/>
      <c r="B257" s="201"/>
      <c r="C257" s="123"/>
      <c r="D257" s="123"/>
      <c r="E257" s="276"/>
      <c r="F257" s="276"/>
      <c r="G257" s="712"/>
      <c r="H257" s="52"/>
      <c r="I257" s="365">
        <f>O226</f>
        <v>2024</v>
      </c>
      <c r="J257" s="1271"/>
      <c r="K257" s="1272"/>
      <c r="L257" s="1272"/>
      <c r="M257" s="1272"/>
      <c r="N257" s="1272"/>
      <c r="O257" s="1273"/>
    </row>
    <row r="258" spans="1:15" ht="12.75" x14ac:dyDescent="0.2">
      <c r="A258" s="134" t="str">
        <f>A102</f>
        <v>SHPENZIME TË PRITSHME</v>
      </c>
      <c r="B258" s="33">
        <f>B228</f>
        <v>1403256</v>
      </c>
      <c r="C258" s="774">
        <f>C228</f>
        <v>18106291</v>
      </c>
      <c r="D258" s="774">
        <f>D228</f>
        <v>34703759</v>
      </c>
      <c r="E258" s="713">
        <f>E243+E256</f>
        <v>30756322</v>
      </c>
      <c r="F258" s="713">
        <f>F243+F256</f>
        <v>32014582</v>
      </c>
      <c r="G258" s="713">
        <f>G243+G256</f>
        <v>32081107</v>
      </c>
      <c r="H258" s="52"/>
      <c r="I258" s="366"/>
      <c r="J258" s="1277"/>
      <c r="K258" s="1278"/>
      <c r="L258" s="1278"/>
      <c r="M258" s="1278"/>
      <c r="N258" s="1278"/>
      <c r="O258" s="1279"/>
    </row>
    <row r="261" spans="1:15" ht="17.25" customHeight="1" x14ac:dyDescent="0.2">
      <c r="A261" s="204" t="str">
        <f t="shared" ref="A261:O261" si="66">A66</f>
        <v>Nënfunksioni 7</v>
      </c>
      <c r="B261" s="1225" t="str">
        <f t="shared" si="66"/>
        <v>042 Bujqësia, pyjet, peshkimi dhe gjuetia</v>
      </c>
      <c r="C261" s="1225">
        <f t="shared" si="66"/>
        <v>0</v>
      </c>
      <c r="D261" s="1225">
        <f t="shared" si="66"/>
        <v>0</v>
      </c>
      <c r="E261" s="1225">
        <f t="shared" si="66"/>
        <v>0</v>
      </c>
      <c r="F261" s="1225">
        <f t="shared" si="66"/>
        <v>0</v>
      </c>
      <c r="G261" s="1225">
        <f t="shared" si="66"/>
        <v>0</v>
      </c>
      <c r="H261" s="1225">
        <f t="shared" si="66"/>
        <v>0</v>
      </c>
      <c r="I261" s="1225">
        <f t="shared" si="66"/>
        <v>0</v>
      </c>
      <c r="J261" s="1225">
        <f t="shared" si="66"/>
        <v>0</v>
      </c>
      <c r="K261" s="1225">
        <f t="shared" si="66"/>
        <v>0</v>
      </c>
      <c r="L261" s="1225">
        <f t="shared" si="66"/>
        <v>0</v>
      </c>
      <c r="M261" s="1225">
        <f t="shared" si="66"/>
        <v>0</v>
      </c>
      <c r="N261" s="1225">
        <f t="shared" si="66"/>
        <v>0</v>
      </c>
      <c r="O261" s="1225">
        <f t="shared" si="66"/>
        <v>0</v>
      </c>
    </row>
    <row r="262" spans="1:15" ht="17.25" customHeight="1" x14ac:dyDescent="0.2">
      <c r="A262" s="262" t="str">
        <f>A11</f>
        <v>Programi 7f</v>
      </c>
      <c r="B262" s="1225">
        <f>C11</f>
        <v>0</v>
      </c>
      <c r="C262" s="1225" t="e">
        <f>#REF!</f>
        <v>#REF!</v>
      </c>
      <c r="D262" s="1225" t="e">
        <f>#REF!</f>
        <v>#REF!</v>
      </c>
      <c r="E262" s="1225" t="e">
        <f>#REF!</f>
        <v>#REF!</v>
      </c>
      <c r="F262" s="1225" t="e">
        <f>#REF!</f>
        <v>#REF!</v>
      </c>
      <c r="G262" s="1225" t="e">
        <f>#REF!</f>
        <v>#REF!</v>
      </c>
      <c r="H262" s="1225" t="e">
        <f>#REF!</f>
        <v>#REF!</v>
      </c>
      <c r="I262" s="1225" t="e">
        <f>#REF!</f>
        <v>#REF!</v>
      </c>
      <c r="J262" s="1225" t="e">
        <f>#REF!</f>
        <v>#REF!</v>
      </c>
      <c r="K262" s="1225" t="e">
        <f>#REF!</f>
        <v>#REF!</v>
      </c>
      <c r="L262" s="1225" t="e">
        <f>#REF!</f>
        <v>#REF!</v>
      </c>
      <c r="M262" s="1225" t="e">
        <f>#REF!</f>
        <v>#REF!</v>
      </c>
      <c r="N262" s="1225" t="e">
        <f>#REF!</f>
        <v>#REF!</v>
      </c>
      <c r="O262" s="1225" t="e">
        <f>#REF!</f>
        <v>#REF!</v>
      </c>
    </row>
    <row r="263" spans="1:15" ht="17.25" customHeight="1" x14ac:dyDescent="0.2">
      <c r="A263" s="562">
        <f>'(B3) Struktura Funksionale'!B47</f>
        <v>0</v>
      </c>
      <c r="B263" s="485"/>
      <c r="C263" s="485"/>
      <c r="D263" s="485"/>
      <c r="E263" s="485"/>
      <c r="F263" s="485"/>
      <c r="G263" s="485"/>
      <c r="H263" s="485"/>
      <c r="I263" s="485"/>
      <c r="J263" s="485"/>
      <c r="K263" s="485"/>
      <c r="L263" s="485"/>
      <c r="M263" s="485"/>
      <c r="N263" s="485"/>
      <c r="O263" s="486"/>
    </row>
    <row r="264" spans="1:15" ht="22.5" customHeight="1" x14ac:dyDescent="0.2">
      <c r="A264" s="1252" t="str">
        <f t="shared" ref="A264:G264" si="67">A69</f>
        <v>SHPENZIME TË PRITSHME</v>
      </c>
      <c r="B264" s="1253">
        <f t="shared" si="67"/>
        <v>0</v>
      </c>
      <c r="C264" s="1253">
        <f t="shared" si="67"/>
        <v>0</v>
      </c>
      <c r="D264" s="1253">
        <f t="shared" si="67"/>
        <v>0</v>
      </c>
      <c r="E264" s="1253">
        <f t="shared" si="67"/>
        <v>0</v>
      </c>
      <c r="F264" s="1253">
        <f t="shared" si="67"/>
        <v>0</v>
      </c>
      <c r="G264" s="1254">
        <f t="shared" si="67"/>
        <v>0</v>
      </c>
      <c r="H264" s="128"/>
      <c r="I264" s="1255" t="str">
        <f t="shared" ref="I264:O264" si="68">I69</f>
        <v xml:space="preserve">TË ARDHURAT E PRITSHME </v>
      </c>
      <c r="J264" s="1253">
        <f t="shared" si="68"/>
        <v>0</v>
      </c>
      <c r="K264" s="1253">
        <f t="shared" si="68"/>
        <v>0</v>
      </c>
      <c r="L264" s="1253">
        <f t="shared" si="68"/>
        <v>0</v>
      </c>
      <c r="M264" s="1253">
        <f t="shared" si="68"/>
        <v>0</v>
      </c>
      <c r="N264" s="1253">
        <f t="shared" si="68"/>
        <v>0</v>
      </c>
      <c r="O264" s="1254">
        <f t="shared" si="68"/>
        <v>0</v>
      </c>
    </row>
    <row r="265" spans="1:15" ht="20.25" customHeight="1" x14ac:dyDescent="0.2">
      <c r="A265" s="202"/>
      <c r="B265" s="236">
        <f t="shared" ref="B265:G265" si="69">B70</f>
        <v>2019</v>
      </c>
      <c r="C265" s="236">
        <f t="shared" si="69"/>
        <v>2020</v>
      </c>
      <c r="D265" s="236">
        <f t="shared" si="69"/>
        <v>2021</v>
      </c>
      <c r="E265" s="237">
        <f t="shared" si="69"/>
        <v>2022</v>
      </c>
      <c r="F265" s="237">
        <f t="shared" si="69"/>
        <v>2023</v>
      </c>
      <c r="G265" s="237">
        <f t="shared" si="69"/>
        <v>2024</v>
      </c>
      <c r="H265" s="203"/>
      <c r="I265" s="269"/>
      <c r="J265" s="236">
        <f t="shared" ref="J265:O265" si="70">J70</f>
        <v>2019</v>
      </c>
      <c r="K265" s="236">
        <f t="shared" si="70"/>
        <v>2020</v>
      </c>
      <c r="L265" s="236">
        <f t="shared" si="70"/>
        <v>2021</v>
      </c>
      <c r="M265" s="237">
        <f t="shared" si="70"/>
        <v>2022</v>
      </c>
      <c r="N265" s="237">
        <f t="shared" si="70"/>
        <v>2023</v>
      </c>
      <c r="O265" s="237">
        <f t="shared" si="70"/>
        <v>2024</v>
      </c>
    </row>
    <row r="266" spans="1:15" ht="12.75" x14ac:dyDescent="0.2">
      <c r="A266" s="122"/>
      <c r="B266" s="201"/>
      <c r="C266" s="123"/>
      <c r="D266" s="123"/>
      <c r="E266" s="10"/>
      <c r="F266" s="10"/>
      <c r="G266" s="130"/>
      <c r="H266" s="128"/>
      <c r="I266" s="95" t="e">
        <f>#REF!</f>
        <v>#REF!</v>
      </c>
    </row>
    <row r="267" spans="1:15" ht="12.75" x14ac:dyDescent="0.2">
      <c r="A267" s="134" t="str">
        <f>A72</f>
        <v>SHPENZIME TË PRITSHME</v>
      </c>
      <c r="B267" s="33">
        <f>VLOOKUP(A262,'(C1) Shpenzimet vitet e kaluara'!A$9:O$177,5,FALSE)</f>
        <v>0</v>
      </c>
      <c r="C267" s="33">
        <f>VLOOKUP(A262,'(C1) Shpenzimet vitet e kaluara'!A$9:O$177,9,FALSE)</f>
        <v>0</v>
      </c>
      <c r="D267" s="33">
        <f>VLOOKUP(A262,'(C1) Shpenzimet vitet e kaluara'!A$9:O$177,13,FALSE)</f>
        <v>0</v>
      </c>
      <c r="E267" s="36"/>
      <c r="F267" s="36"/>
      <c r="G267" s="36"/>
      <c r="H267" s="128"/>
      <c r="I267" s="1226" t="str">
        <f t="shared" ref="I267:O267" si="71">I72</f>
        <v>VLERËSIM I ARDHURAVE NGA TARIFAT</v>
      </c>
      <c r="J267" s="1227">
        <f t="shared" si="71"/>
        <v>0</v>
      </c>
      <c r="K267" s="1227">
        <f t="shared" si="71"/>
        <v>0</v>
      </c>
      <c r="L267" s="1227">
        <f t="shared" si="71"/>
        <v>0</v>
      </c>
      <c r="M267" s="1227">
        <f t="shared" si="71"/>
        <v>0</v>
      </c>
      <c r="N267" s="1227">
        <f t="shared" si="71"/>
        <v>0</v>
      </c>
      <c r="O267" s="1228">
        <f t="shared" si="71"/>
        <v>0</v>
      </c>
    </row>
    <row r="268" spans="1:15" ht="12.75" x14ac:dyDescent="0.2">
      <c r="A268" s="122"/>
      <c r="B268" s="201"/>
      <c r="C268" s="123"/>
      <c r="D268" s="123"/>
      <c r="E268" s="10"/>
      <c r="F268" s="10"/>
      <c r="G268" s="130"/>
      <c r="H268" s="10"/>
      <c r="I268" s="134" t="str">
        <f>I73</f>
        <v>VLERËSIM I ARDHURAVE NGA TARIFAT</v>
      </c>
      <c r="J268" s="34">
        <f>VLOOKUP($A262,'(C1) Shpenzimet vitet e kaluara'!$A$9:$O$177,6,FALSE)</f>
        <v>0</v>
      </c>
      <c r="K268" s="34">
        <f>VLOOKUP($A262,'(C1) Shpenzimet vitet e kaluara'!$A$9:$O$177,10,FALSE)</f>
        <v>0</v>
      </c>
      <c r="L268" s="34">
        <f>VLOOKUP($A262,'(C1) Shpenzimet vitet e kaluara'!$A$9:$O$177,14,FALSE)</f>
        <v>0</v>
      </c>
      <c r="M268" s="36"/>
      <c r="N268" s="36"/>
      <c r="O268" s="36"/>
    </row>
    <row r="269" spans="1:15" ht="12.75" x14ac:dyDescent="0.2">
      <c r="A269" s="1293" t="str">
        <f t="shared" ref="A269:G270" si="72">A74</f>
        <v>SHPENZIME TË PRITSHME</v>
      </c>
      <c r="B269" s="1294">
        <f t="shared" si="72"/>
        <v>0</v>
      </c>
      <c r="C269" s="1294">
        <f t="shared" si="72"/>
        <v>0</v>
      </c>
      <c r="D269" s="1294">
        <f t="shared" si="72"/>
        <v>0</v>
      </c>
      <c r="E269" s="1294">
        <f t="shared" si="72"/>
        <v>0</v>
      </c>
      <c r="F269" s="1294">
        <f t="shared" si="72"/>
        <v>0</v>
      </c>
      <c r="G269" s="1295">
        <f t="shared" si="72"/>
        <v>0</v>
      </c>
      <c r="H269" s="10"/>
    </row>
    <row r="270" spans="1:15" ht="22.5" x14ac:dyDescent="0.2">
      <c r="A270" s="1226" t="str">
        <f t="shared" si="72"/>
        <v>KOSTO DIREKTE PËR PROJEKTET DHE SHPENZIMET KAPITALE</v>
      </c>
      <c r="B270" s="1227">
        <f t="shared" si="72"/>
        <v>0</v>
      </c>
      <c r="C270" s="1227">
        <f t="shared" si="72"/>
        <v>0</v>
      </c>
      <c r="D270" s="1227">
        <f t="shared" si="72"/>
        <v>0</v>
      </c>
      <c r="E270" s="1227">
        <f t="shared" si="72"/>
        <v>0</v>
      </c>
      <c r="F270" s="1227">
        <f t="shared" si="72"/>
        <v>0</v>
      </c>
      <c r="G270" s="1228">
        <f t="shared" si="72"/>
        <v>0</v>
      </c>
      <c r="H270" s="30"/>
      <c r="I270" s="333" t="str">
        <f t="shared" ref="I270:O270" si="73">I75</f>
        <v>VLERËSIMI I TË ARDHURAVE ME DESTINACION</v>
      </c>
      <c r="J270" s="334">
        <f t="shared" si="73"/>
        <v>0</v>
      </c>
      <c r="K270" s="334">
        <f t="shared" si="73"/>
        <v>0</v>
      </c>
      <c r="L270" s="334">
        <f t="shared" si="73"/>
        <v>0</v>
      </c>
      <c r="M270" s="334">
        <f t="shared" si="73"/>
        <v>0</v>
      </c>
      <c r="N270" s="334">
        <f t="shared" si="73"/>
        <v>0</v>
      </c>
      <c r="O270" s="335">
        <f t="shared" si="73"/>
        <v>0</v>
      </c>
    </row>
    <row r="271" spans="1:15" ht="12.75" x14ac:dyDescent="0.2">
      <c r="A271" s="121" t="str">
        <f t="shared" ref="A271:D293" si="74">A76</f>
        <v>Pagat</v>
      </c>
      <c r="B271" s="1229">
        <f t="shared" si="74"/>
        <v>600</v>
      </c>
      <c r="C271" s="1230">
        <f t="shared" si="74"/>
        <v>0</v>
      </c>
      <c r="D271" s="1231">
        <f t="shared" si="74"/>
        <v>0</v>
      </c>
      <c r="E271" s="126"/>
      <c r="F271" s="126"/>
      <c r="G271" s="126"/>
      <c r="H271" s="30"/>
      <c r="I271" s="339" t="str">
        <f>I76</f>
        <v>Transferta e kushtëzuar</v>
      </c>
      <c r="J271" s="336"/>
      <c r="K271" s="338"/>
      <c r="L271" s="337"/>
      <c r="M271" s="125"/>
      <c r="N271" s="125"/>
      <c r="O271" s="129"/>
    </row>
    <row r="272" spans="1:15" ht="12.75" x14ac:dyDescent="0.2">
      <c r="A272" s="121" t="str">
        <f t="shared" si="74"/>
        <v>Sigurimet Shoqërore</v>
      </c>
      <c r="B272" s="1229">
        <f t="shared" si="74"/>
        <v>601</v>
      </c>
      <c r="C272" s="1230">
        <f t="shared" si="74"/>
        <v>0</v>
      </c>
      <c r="D272" s="1231">
        <f t="shared" si="74"/>
        <v>0</v>
      </c>
      <c r="E272" s="126"/>
      <c r="F272" s="126"/>
      <c r="G272" s="126"/>
      <c r="H272" s="30"/>
      <c r="I272" s="339" t="str">
        <f>I77</f>
        <v>Trasferta Specifike</v>
      </c>
      <c r="J272" s="336"/>
      <c r="K272" s="338"/>
      <c r="L272" s="337"/>
      <c r="M272" s="125"/>
      <c r="N272" s="125"/>
      <c r="O272" s="129"/>
    </row>
    <row r="273" spans="1:15" ht="12.75" x14ac:dyDescent="0.2">
      <c r="A273" s="121" t="str">
        <f t="shared" si="74"/>
        <v>Mallra dhe shërbime</v>
      </c>
      <c r="B273" s="1229">
        <f t="shared" si="74"/>
        <v>602</v>
      </c>
      <c r="C273" s="1230">
        <f t="shared" si="74"/>
        <v>0</v>
      </c>
      <c r="D273" s="1231">
        <f t="shared" si="74"/>
        <v>0</v>
      </c>
      <c r="E273" s="126"/>
      <c r="F273" s="126"/>
      <c r="G273" s="126"/>
      <c r="H273" s="52"/>
      <c r="I273" s="339" t="str">
        <f>I78</f>
        <v>Trashëgimi me destinacion</v>
      </c>
      <c r="J273" s="336"/>
      <c r="K273" s="338"/>
      <c r="L273" s="337"/>
      <c r="M273" s="264">
        <f>VLOOKUP($A262,'(C4) Trashëgimi me destinacion'!$A$8:$F$168,4,FALSE)</f>
        <v>0</v>
      </c>
      <c r="N273" s="479">
        <f>VLOOKUP($A262,'(C4) Trashëgimi me destinacion'!$A$8:$F$168,5,FALSE)</f>
        <v>0</v>
      </c>
      <c r="O273" s="479">
        <f>VLOOKUP($A262,'(C4) Trashëgimi me destinacion'!$A$8:$F$168,6,FALSE)</f>
        <v>0</v>
      </c>
    </row>
    <row r="274" spans="1:15" ht="12.75" x14ac:dyDescent="0.2">
      <c r="A274" s="121" t="str">
        <f t="shared" si="74"/>
        <v>Subvencione</v>
      </c>
      <c r="B274" s="1229">
        <f t="shared" si="74"/>
        <v>603</v>
      </c>
      <c r="C274" s="1230">
        <f t="shared" si="74"/>
        <v>0</v>
      </c>
      <c r="D274" s="1231">
        <f t="shared" si="74"/>
        <v>0</v>
      </c>
      <c r="E274" s="126"/>
      <c r="F274" s="126"/>
      <c r="G274" s="126"/>
      <c r="H274" s="8"/>
      <c r="I274" s="339" t="str">
        <f>I79</f>
        <v>Burime të tjera (përfshirë gjobat)</v>
      </c>
      <c r="J274" s="336"/>
      <c r="K274" s="338"/>
      <c r="L274" s="337"/>
      <c r="M274" s="125"/>
      <c r="N274" s="125"/>
      <c r="O274" s="129"/>
    </row>
    <row r="275" spans="1:15" ht="12.75" x14ac:dyDescent="0.2">
      <c r="A275" s="121" t="str">
        <f t="shared" si="74"/>
        <v>Të tjera transferta korrente të brendshme</v>
      </c>
      <c r="B275" s="1229">
        <f t="shared" si="74"/>
        <v>604</v>
      </c>
      <c r="C275" s="1230">
        <f t="shared" si="74"/>
        <v>0</v>
      </c>
      <c r="D275" s="1231">
        <f t="shared" si="74"/>
        <v>0</v>
      </c>
      <c r="E275" s="126"/>
      <c r="F275" s="126"/>
      <c r="G275" s="126"/>
      <c r="H275" s="52"/>
      <c r="I275" s="339" t="str">
        <f>I80</f>
        <v>VLERËSIMI I TË ARDHURAVE ME DESTINACION</v>
      </c>
      <c r="J275" s="34">
        <f>VLOOKUP($A262,'(C1) Shpenzimet vitet e kaluara'!$A$9:$O$177,7,FALSE)</f>
        <v>0</v>
      </c>
      <c r="K275" s="34">
        <f>VLOOKUP($A262,'(C1) Shpenzimet vitet e kaluara'!$A$9:$O$177,11,FALSE)</f>
        <v>0</v>
      </c>
      <c r="L275" s="34">
        <f>VLOOKUP($A262,'(C1) Shpenzimet vitet e kaluara'!$A$9:$O$177,15,FALSE)</f>
        <v>0</v>
      </c>
      <c r="M275" s="126">
        <f>SUM(M271:M274)</f>
        <v>0</v>
      </c>
      <c r="N275" s="126">
        <f>SUM(N271:N274)</f>
        <v>0</v>
      </c>
      <c r="O275" s="126">
        <f>SUM(O271:O274)</f>
        <v>0</v>
      </c>
    </row>
    <row r="276" spans="1:15" ht="12.75" x14ac:dyDescent="0.2">
      <c r="A276" s="121" t="str">
        <f t="shared" si="74"/>
        <v>Transferta korrente të huaja</v>
      </c>
      <c r="B276" s="1229">
        <f t="shared" si="74"/>
        <v>605</v>
      </c>
      <c r="C276" s="1230">
        <f t="shared" si="74"/>
        <v>0</v>
      </c>
      <c r="D276" s="1231">
        <f t="shared" si="74"/>
        <v>0</v>
      </c>
      <c r="E276" s="126"/>
      <c r="F276" s="126"/>
      <c r="G276" s="126"/>
      <c r="H276" s="52"/>
    </row>
    <row r="277" spans="1:15" ht="12.75" x14ac:dyDescent="0.2">
      <c r="A277" s="121" t="str">
        <f t="shared" si="74"/>
        <v>Transferta për Buxhetet Familiare dhe Individët</v>
      </c>
      <c r="B277" s="1229">
        <f t="shared" si="74"/>
        <v>606</v>
      </c>
      <c r="C277" s="1230">
        <f t="shared" si="74"/>
        <v>0</v>
      </c>
      <c r="D277" s="1231">
        <f t="shared" si="74"/>
        <v>0</v>
      </c>
      <c r="E277" s="126"/>
      <c r="F277" s="126"/>
      <c r="G277" s="126"/>
      <c r="H277" s="52"/>
      <c r="I277" s="134" t="str">
        <f>I82</f>
        <v xml:space="preserve">TË ARDHURAT E PRITSHME </v>
      </c>
      <c r="J277" s="33">
        <f>J268+J275</f>
        <v>0</v>
      </c>
      <c r="K277" s="33">
        <f>K268+K275</f>
        <v>0</v>
      </c>
      <c r="L277" s="33">
        <f>L268+L275</f>
        <v>0</v>
      </c>
      <c r="M277" s="126">
        <f>M275+M268</f>
        <v>0</v>
      </c>
      <c r="N277" s="126">
        <f>N275+N268</f>
        <v>0</v>
      </c>
      <c r="O277" s="126">
        <f>O275+O268</f>
        <v>0</v>
      </c>
    </row>
    <row r="278" spans="1:15" ht="12.75" x14ac:dyDescent="0.2">
      <c r="A278" s="121" t="str">
        <f t="shared" si="74"/>
        <v>Shpenzimet kapitale</v>
      </c>
      <c r="B278" s="1229" t="str">
        <f t="shared" si="74"/>
        <v>230 / 231</v>
      </c>
      <c r="C278" s="1230">
        <f t="shared" si="74"/>
        <v>0</v>
      </c>
      <c r="D278" s="1231">
        <f t="shared" si="74"/>
        <v>0</v>
      </c>
      <c r="E278" s="36"/>
      <c r="F278" s="36"/>
      <c r="G278" s="36"/>
      <c r="H278" s="52"/>
    </row>
    <row r="279" spans="1:15" ht="12.75" x14ac:dyDescent="0.2">
      <c r="A279" s="121" t="str">
        <f t="shared" si="74"/>
        <v>Rezerva</v>
      </c>
      <c r="B279" s="1229">
        <f t="shared" si="74"/>
        <v>609</v>
      </c>
      <c r="C279" s="1230">
        <f t="shared" si="74"/>
        <v>0</v>
      </c>
      <c r="D279" s="1231">
        <f t="shared" si="74"/>
        <v>0</v>
      </c>
      <c r="E279" s="126"/>
      <c r="F279" s="126"/>
      <c r="G279" s="126"/>
      <c r="H279" s="52"/>
    </row>
    <row r="280" spans="1:15" ht="12.75" x14ac:dyDescent="0.2">
      <c r="A280" s="121" t="str">
        <f t="shared" si="74"/>
        <v>Interesa per kredi direkte ose bono</v>
      </c>
      <c r="B280" s="1229">
        <f t="shared" si="74"/>
        <v>650</v>
      </c>
      <c r="C280" s="1230">
        <f t="shared" si="74"/>
        <v>0</v>
      </c>
      <c r="D280" s="1231">
        <f t="shared" si="74"/>
        <v>0</v>
      </c>
      <c r="E280" s="126"/>
      <c r="F280" s="126"/>
      <c r="G280" s="126"/>
      <c r="H280" s="52"/>
    </row>
    <row r="281" spans="1:15" ht="12.75" x14ac:dyDescent="0.2">
      <c r="A281" s="121" t="str">
        <f t="shared" si="74"/>
        <v>Të tjera</v>
      </c>
      <c r="B281" s="1229" t="str">
        <f t="shared" si="74"/>
        <v>69 / ?</v>
      </c>
      <c r="C281" s="1230">
        <f t="shared" si="74"/>
        <v>0</v>
      </c>
      <c r="D281" s="1231">
        <f t="shared" si="74"/>
        <v>0</v>
      </c>
      <c r="E281" s="126"/>
      <c r="F281" s="126"/>
      <c r="G281" s="126"/>
      <c r="H281" s="52"/>
      <c r="I281" s="1235" t="str">
        <f t="shared" ref="I281:O282" si="75">I86</f>
        <v>SHUMA E KËRKUAR NETO</v>
      </c>
      <c r="J281" s="1236">
        <f t="shared" si="75"/>
        <v>0</v>
      </c>
      <c r="K281" s="1236">
        <f t="shared" si="75"/>
        <v>0</v>
      </c>
      <c r="L281" s="1236">
        <f t="shared" si="75"/>
        <v>0</v>
      </c>
      <c r="M281" s="1236">
        <f t="shared" si="75"/>
        <v>0</v>
      </c>
      <c r="N281" s="1236">
        <f t="shared" si="75"/>
        <v>0</v>
      </c>
      <c r="O281" s="1237">
        <f t="shared" si="75"/>
        <v>0</v>
      </c>
    </row>
    <row r="282" spans="1:15" ht="12.75" customHeight="1" x14ac:dyDescent="0.2">
      <c r="A282" s="268" t="str">
        <f t="shared" si="74"/>
        <v>KOSTO DIREKTE PËR PROJEKTET DHE SHPENZIMET KAPITALE</v>
      </c>
      <c r="B282" s="1229">
        <f t="shared" si="74"/>
        <v>0</v>
      </c>
      <c r="C282" s="1230">
        <f t="shared" si="74"/>
        <v>0</v>
      </c>
      <c r="D282" s="1231">
        <f t="shared" si="74"/>
        <v>0</v>
      </c>
      <c r="E282" s="126">
        <f>SUM(E271:E281)</f>
        <v>0</v>
      </c>
      <c r="F282" s="126">
        <f>SUM(F271:F281)</f>
        <v>0</v>
      </c>
      <c r="G282" s="126">
        <f>SUM(G271:G281)</f>
        <v>0</v>
      </c>
      <c r="H282" s="52"/>
      <c r="I282" s="1238">
        <f t="shared" si="75"/>
        <v>0</v>
      </c>
      <c r="J282" s="1239">
        <f t="shared" si="75"/>
        <v>0</v>
      </c>
      <c r="K282" s="1239">
        <f t="shared" si="75"/>
        <v>0</v>
      </c>
      <c r="L282" s="1239">
        <f t="shared" si="75"/>
        <v>0</v>
      </c>
      <c r="M282" s="1239">
        <f t="shared" si="75"/>
        <v>0</v>
      </c>
      <c r="N282" s="1239">
        <f t="shared" si="75"/>
        <v>0</v>
      </c>
      <c r="O282" s="1240">
        <f t="shared" si="75"/>
        <v>0</v>
      </c>
    </row>
    <row r="283" spans="1:15" ht="12.75" x14ac:dyDescent="0.2">
      <c r="A283" s="1226" t="str">
        <f t="shared" si="74"/>
        <v>SHPENZIME KORRENTE</v>
      </c>
      <c r="B283" s="1227">
        <f t="shared" si="74"/>
        <v>0</v>
      </c>
      <c r="C283" s="1227">
        <f t="shared" si="74"/>
        <v>0</v>
      </c>
      <c r="D283" s="1227">
        <f t="shared" si="74"/>
        <v>0</v>
      </c>
      <c r="E283" s="1227">
        <f>E88</f>
        <v>0</v>
      </c>
      <c r="F283" s="1227">
        <f>F88</f>
        <v>0</v>
      </c>
      <c r="G283" s="1228">
        <f>G88</f>
        <v>0</v>
      </c>
      <c r="H283" s="52"/>
      <c r="I283" s="17" t="str">
        <f>I88</f>
        <v>SHUMA E KËRKUAR NETO</v>
      </c>
      <c r="J283" s="18">
        <f t="shared" ref="J283:O283" si="76">B267-J277</f>
        <v>0</v>
      </c>
      <c r="K283" s="18">
        <f t="shared" si="76"/>
        <v>0</v>
      </c>
      <c r="L283" s="18">
        <f t="shared" si="76"/>
        <v>0</v>
      </c>
      <c r="M283" s="18">
        <f t="shared" si="76"/>
        <v>0</v>
      </c>
      <c r="N283" s="18">
        <f t="shared" si="76"/>
        <v>0</v>
      </c>
      <c r="O283" s="18">
        <f t="shared" si="76"/>
        <v>0</v>
      </c>
    </row>
    <row r="284" spans="1:15" ht="12.75" x14ac:dyDescent="0.2">
      <c r="A284" s="121" t="str">
        <f t="shared" si="74"/>
        <v>Pagat</v>
      </c>
      <c r="B284" s="1229">
        <f t="shared" si="74"/>
        <v>600</v>
      </c>
      <c r="C284" s="1230">
        <f t="shared" si="74"/>
        <v>0</v>
      </c>
      <c r="D284" s="1231">
        <f t="shared" si="74"/>
        <v>0</v>
      </c>
      <c r="E284" s="36"/>
      <c r="F284" s="36"/>
      <c r="G284" s="36"/>
      <c r="H284" s="52"/>
      <c r="I284" s="52"/>
      <c r="J284" s="52"/>
      <c r="K284" s="52"/>
      <c r="L284" s="14"/>
      <c r="M284" s="53"/>
    </row>
    <row r="285" spans="1:15" ht="12.75" x14ac:dyDescent="0.2">
      <c r="A285" s="121" t="str">
        <f t="shared" si="74"/>
        <v>Sigurimet Shoqërore</v>
      </c>
      <c r="B285" s="1229">
        <f t="shared" si="74"/>
        <v>601</v>
      </c>
      <c r="C285" s="1230">
        <f t="shared" si="74"/>
        <v>0</v>
      </c>
      <c r="D285" s="1231">
        <f t="shared" si="74"/>
        <v>0</v>
      </c>
      <c r="E285" s="36"/>
      <c r="F285" s="36"/>
      <c r="G285" s="36"/>
      <c r="H285" s="52"/>
    </row>
    <row r="286" spans="1:15" ht="12.75" x14ac:dyDescent="0.2">
      <c r="A286" s="121" t="str">
        <f t="shared" si="74"/>
        <v>Mallra dhe shërbime</v>
      </c>
      <c r="B286" s="1229">
        <f t="shared" si="74"/>
        <v>602</v>
      </c>
      <c r="C286" s="1230">
        <f t="shared" si="74"/>
        <v>0</v>
      </c>
      <c r="D286" s="1231">
        <f t="shared" si="74"/>
        <v>0</v>
      </c>
      <c r="E286" s="36"/>
      <c r="F286" s="36"/>
      <c r="G286" s="36"/>
      <c r="H286" s="52"/>
      <c r="I286" s="239" t="str">
        <f>I247</f>
        <v>Angazhimet</v>
      </c>
      <c r="J286" s="1297" t="str">
        <f>J247</f>
        <v>Vlera Totale për Aktivitet</v>
      </c>
      <c r="K286" s="1298"/>
      <c r="L286" s="1299"/>
      <c r="M286" s="126">
        <f>VLOOKUP($A262,'(C5) Angazhimet'!$A$8:$F$168,4,FALSE)</f>
        <v>0</v>
      </c>
      <c r="N286" s="126">
        <f>VLOOKUP($A262,'(C5) Angazhimet'!$A$8:$F$168,5,FALSE)</f>
        <v>0</v>
      </c>
      <c r="O286" s="126">
        <f>VLOOKUP($A262,'(C5) Angazhimet'!$A$8:$F$168,6,FALSE)</f>
        <v>0</v>
      </c>
    </row>
    <row r="287" spans="1:15" ht="12.75" x14ac:dyDescent="0.2">
      <c r="A287" s="121" t="str">
        <f t="shared" si="74"/>
        <v>Subvencione</v>
      </c>
      <c r="B287" s="1229">
        <f t="shared" si="74"/>
        <v>603</v>
      </c>
      <c r="C287" s="1230">
        <f t="shared" si="74"/>
        <v>0</v>
      </c>
      <c r="D287" s="1231">
        <f t="shared" si="74"/>
        <v>0</v>
      </c>
      <c r="E287" s="36"/>
      <c r="F287" s="36"/>
      <c r="G287" s="36"/>
      <c r="H287" s="52"/>
      <c r="I287" s="279" t="str">
        <f>I248</f>
        <v>Qëllime</v>
      </c>
      <c r="J287" s="1297" t="str">
        <f>J248</f>
        <v>Shpenzimet kapitale</v>
      </c>
      <c r="K287" s="1298"/>
      <c r="L287" s="1299"/>
      <c r="M287" s="125"/>
      <c r="N287" s="125"/>
      <c r="O287" s="129"/>
    </row>
    <row r="288" spans="1:15" ht="12.75" x14ac:dyDescent="0.2">
      <c r="A288" s="121" t="str">
        <f t="shared" si="74"/>
        <v>Të tjera transferta korrente të brendshme</v>
      </c>
      <c r="B288" s="1229">
        <f t="shared" si="74"/>
        <v>604</v>
      </c>
      <c r="C288" s="1230">
        <f t="shared" si="74"/>
        <v>0</v>
      </c>
      <c r="D288" s="1231">
        <f t="shared" si="74"/>
        <v>0</v>
      </c>
      <c r="E288" s="36"/>
      <c r="F288" s="36"/>
      <c r="G288" s="36"/>
      <c r="H288" s="52"/>
      <c r="I288" s="276"/>
      <c r="J288" s="1297" t="str">
        <f>J249</f>
        <v>Mallra dhe shërbime</v>
      </c>
      <c r="K288" s="1298"/>
      <c r="L288" s="1299"/>
      <c r="M288" s="125"/>
      <c r="N288" s="125"/>
      <c r="O288" s="129"/>
    </row>
    <row r="289" spans="1:15" ht="12.75" x14ac:dyDescent="0.2">
      <c r="A289" s="121" t="str">
        <f t="shared" si="74"/>
        <v>Transferta korrente të huaja</v>
      </c>
      <c r="B289" s="1229">
        <f t="shared" si="74"/>
        <v>605</v>
      </c>
      <c r="C289" s="1230">
        <f t="shared" si="74"/>
        <v>0</v>
      </c>
      <c r="D289" s="1231">
        <f t="shared" si="74"/>
        <v>0</v>
      </c>
      <c r="E289" s="36"/>
      <c r="F289" s="36"/>
      <c r="G289" s="36"/>
      <c r="H289" s="52"/>
      <c r="I289" s="276"/>
      <c r="J289" s="1297" t="str">
        <f>J250</f>
        <v>Qëllime të mëtejshme</v>
      </c>
      <c r="K289" s="1298"/>
      <c r="L289" s="1299"/>
      <c r="M289" s="125"/>
      <c r="N289" s="125"/>
      <c r="O289" s="129"/>
    </row>
    <row r="290" spans="1:15" ht="12.75" x14ac:dyDescent="0.2">
      <c r="A290" s="121" t="str">
        <f t="shared" si="74"/>
        <v>Transferta për Buxhetet Familiare dhe Individët</v>
      </c>
      <c r="B290" s="1229">
        <f t="shared" si="74"/>
        <v>606</v>
      </c>
      <c r="C290" s="1230">
        <f t="shared" si="74"/>
        <v>0</v>
      </c>
      <c r="D290" s="1231">
        <f t="shared" si="74"/>
        <v>0</v>
      </c>
      <c r="E290" s="36"/>
      <c r="F290" s="36"/>
      <c r="G290" s="36"/>
      <c r="H290" s="52"/>
      <c r="I290" s="276"/>
      <c r="J290" s="1286"/>
      <c r="K290" s="1286"/>
      <c r="L290" s="1286"/>
      <c r="M290" s="300" t="str">
        <f>IF(SUM(M287:M289)=M286,"OK","STOP")</f>
        <v>OK</v>
      </c>
      <c r="N290" s="300" t="str">
        <f>IF(SUM(N287:N289)=N286,"OK","STOP")</f>
        <v>OK</v>
      </c>
      <c r="O290" s="300" t="str">
        <f>IF(SUM(O287:O289)=O286,"OK","STOP")</f>
        <v>OK</v>
      </c>
    </row>
    <row r="291" spans="1:15" ht="12.75" x14ac:dyDescent="0.2">
      <c r="A291" s="564" t="str">
        <f t="shared" si="74"/>
        <v>Shpenzimet kapitale</v>
      </c>
      <c r="B291" s="1256" t="str">
        <f t="shared" si="74"/>
        <v>230 / 231</v>
      </c>
      <c r="C291" s="1257">
        <f t="shared" si="74"/>
        <v>0</v>
      </c>
      <c r="D291" s="1258">
        <f t="shared" si="74"/>
        <v>0</v>
      </c>
      <c r="E291" s="126"/>
      <c r="F291" s="126"/>
      <c r="G291" s="126"/>
      <c r="H291" s="52"/>
      <c r="I291" s="367" t="str">
        <f>I252</f>
        <v>Shpjegimet teknike</v>
      </c>
      <c r="J291" s="10"/>
      <c r="K291" s="10"/>
      <c r="L291" s="10"/>
      <c r="M291" s="10"/>
      <c r="N291" s="10"/>
      <c r="O291" s="10"/>
    </row>
    <row r="292" spans="1:15" ht="12.75" x14ac:dyDescent="0.2">
      <c r="A292" s="121" t="str">
        <f t="shared" si="74"/>
        <v>Rezerva</v>
      </c>
      <c r="B292" s="1229">
        <f t="shared" si="74"/>
        <v>609</v>
      </c>
      <c r="C292" s="1230">
        <f t="shared" si="74"/>
        <v>0</v>
      </c>
      <c r="D292" s="1231">
        <f t="shared" si="74"/>
        <v>0</v>
      </c>
      <c r="E292" s="36"/>
      <c r="F292" s="36"/>
      <c r="G292" s="36"/>
      <c r="H292" s="52"/>
      <c r="I292" s="365">
        <f>M265</f>
        <v>2022</v>
      </c>
      <c r="J292" s="1271"/>
      <c r="K292" s="1272"/>
      <c r="L292" s="1272"/>
      <c r="M292" s="1272"/>
      <c r="N292" s="1272"/>
      <c r="O292" s="1273"/>
    </row>
    <row r="293" spans="1:15" ht="12.75" x14ac:dyDescent="0.2">
      <c r="A293" s="121" t="str">
        <f t="shared" si="74"/>
        <v>Interesa per kredi direkte ose bono</v>
      </c>
      <c r="B293" s="1259">
        <f t="shared" si="74"/>
        <v>650</v>
      </c>
      <c r="C293" s="1260">
        <f t="shared" si="74"/>
        <v>0</v>
      </c>
      <c r="D293" s="1261">
        <f t="shared" si="74"/>
        <v>0</v>
      </c>
      <c r="E293" s="36"/>
      <c r="F293" s="36"/>
      <c r="G293" s="36"/>
      <c r="H293" s="52"/>
      <c r="I293" s="366"/>
      <c r="J293" s="1274"/>
      <c r="K293" s="1275"/>
      <c r="L293" s="1275"/>
      <c r="M293" s="1275"/>
      <c r="N293" s="1275"/>
      <c r="O293" s="1276"/>
    </row>
    <row r="294" spans="1:15" ht="12.75" x14ac:dyDescent="0.2">
      <c r="A294" s="239" t="str">
        <f>A99</f>
        <v>Të tjera</v>
      </c>
      <c r="B294" s="1229" t="str">
        <f>B99</f>
        <v>69 / ?</v>
      </c>
      <c r="C294" s="1230">
        <f>C99</f>
        <v>0</v>
      </c>
      <c r="D294" s="273" t="str">
        <f>IF(OR(E294&lt;0,F294&lt;0,G294&lt;0),"STOP","OK!")</f>
        <v>OK!</v>
      </c>
      <c r="E294" s="127">
        <f>-E282+E267-(SUM(E284:E293))</f>
        <v>0</v>
      </c>
      <c r="F294" s="270">
        <f>-F282+F267-(SUM(F284:F293))</f>
        <v>0</v>
      </c>
      <c r="G294" s="270">
        <f>-G282+G267-(SUM(G284:G293))</f>
        <v>0</v>
      </c>
      <c r="H294" s="52"/>
      <c r="I294" s="365">
        <f>N265</f>
        <v>2023</v>
      </c>
      <c r="J294" s="1271"/>
      <c r="K294" s="1272"/>
      <c r="L294" s="1272"/>
      <c r="M294" s="1272"/>
      <c r="N294" s="1272"/>
      <c r="O294" s="1273"/>
    </row>
    <row r="295" spans="1:15" ht="12.75" x14ac:dyDescent="0.2">
      <c r="A295" s="121" t="str">
        <f>A100</f>
        <v>SHPENZIME KORRENTE</v>
      </c>
      <c r="B295" s="1262"/>
      <c r="C295" s="1263"/>
      <c r="D295" s="1264"/>
      <c r="E295" s="126">
        <f>SUM(E284:E294)</f>
        <v>0</v>
      </c>
      <c r="F295" s="126">
        <f>SUM(F284:F294)</f>
        <v>0</v>
      </c>
      <c r="G295" s="126">
        <f>SUM(G284:G294)</f>
        <v>0</v>
      </c>
      <c r="H295" s="52"/>
      <c r="I295" s="366"/>
      <c r="J295" s="1277"/>
      <c r="K295" s="1278"/>
      <c r="L295" s="1278"/>
      <c r="M295" s="1278"/>
      <c r="N295" s="1278"/>
      <c r="O295" s="1279"/>
    </row>
    <row r="296" spans="1:15" ht="12.75" x14ac:dyDescent="0.2">
      <c r="A296" s="122"/>
      <c r="B296" s="201"/>
      <c r="C296" s="123"/>
      <c r="D296" s="123"/>
      <c r="E296" s="10"/>
      <c r="F296" s="10"/>
      <c r="G296" s="130"/>
      <c r="H296" s="52"/>
      <c r="I296" s="365">
        <f>O265</f>
        <v>2024</v>
      </c>
      <c r="J296" s="1271"/>
      <c r="K296" s="1272"/>
      <c r="L296" s="1272"/>
      <c r="M296" s="1272"/>
      <c r="N296" s="1272"/>
      <c r="O296" s="1273"/>
    </row>
    <row r="297" spans="1:15" ht="12.75" x14ac:dyDescent="0.2">
      <c r="A297" s="134" t="str">
        <f>A102</f>
        <v>SHPENZIME TË PRITSHME</v>
      </c>
      <c r="B297" s="33">
        <f>B267</f>
        <v>0</v>
      </c>
      <c r="C297" s="33">
        <f>C267</f>
        <v>0</v>
      </c>
      <c r="D297" s="33">
        <f>D267</f>
        <v>0</v>
      </c>
      <c r="E297" s="126">
        <f>E282+E295</f>
        <v>0</v>
      </c>
      <c r="F297" s="126">
        <f>F282+F295</f>
        <v>0</v>
      </c>
      <c r="G297" s="126">
        <f>G282+G295</f>
        <v>0</v>
      </c>
      <c r="H297" s="52"/>
      <c r="I297" s="366"/>
      <c r="J297" s="1277"/>
      <c r="K297" s="1278"/>
      <c r="L297" s="1278"/>
      <c r="M297" s="1278"/>
      <c r="N297" s="1278"/>
      <c r="O297" s="1279"/>
    </row>
  </sheetData>
  <sheetProtection selectLockedCells="1"/>
  <mergeCells count="338">
    <mergeCell ref="J296:O297"/>
    <mergeCell ref="I153:O153"/>
    <mergeCell ref="I192:O192"/>
    <mergeCell ref="I231:O231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7:L247"/>
    <mergeCell ref="J248:L248"/>
    <mergeCell ref="J249:L249"/>
    <mergeCell ref="J250:L250"/>
    <mergeCell ref="J251:L251"/>
    <mergeCell ref="J253:O254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90:D290"/>
    <mergeCell ref="B291:D291"/>
    <mergeCell ref="B276:D276"/>
    <mergeCell ref="B277:D277"/>
    <mergeCell ref="B278:D278"/>
    <mergeCell ref="B279:D279"/>
    <mergeCell ref="B280:D280"/>
    <mergeCell ref="B273:D273"/>
    <mergeCell ref="B274:D274"/>
    <mergeCell ref="B275:D275"/>
    <mergeCell ref="A269:G269"/>
    <mergeCell ref="A270:G270"/>
    <mergeCell ref="B271:D271"/>
    <mergeCell ref="B272:D272"/>
    <mergeCell ref="I267:O267"/>
    <mergeCell ref="B255:C255"/>
    <mergeCell ref="B256:D256"/>
    <mergeCell ref="B292:D292"/>
    <mergeCell ref="B293:D293"/>
    <mergeCell ref="B294:C294"/>
    <mergeCell ref="B295:D295"/>
    <mergeCell ref="I281:O282"/>
    <mergeCell ref="B282:D282"/>
    <mergeCell ref="A283:G283"/>
    <mergeCell ref="B284:D284"/>
    <mergeCell ref="B285:D285"/>
    <mergeCell ref="B286:D286"/>
    <mergeCell ref="B287:D287"/>
    <mergeCell ref="B288:D288"/>
    <mergeCell ref="B289:D289"/>
    <mergeCell ref="J286:L286"/>
    <mergeCell ref="J287:L287"/>
    <mergeCell ref="J288:L288"/>
    <mergeCell ref="J289:L289"/>
    <mergeCell ref="J290:L290"/>
    <mergeCell ref="J292:O293"/>
    <mergeCell ref="J294:O295"/>
    <mergeCell ref="B281:D281"/>
    <mergeCell ref="B261:O261"/>
    <mergeCell ref="B262:O262"/>
    <mergeCell ref="A264:G264"/>
    <mergeCell ref="I264:O264"/>
    <mergeCell ref="J255:O256"/>
    <mergeCell ref="J257:O258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54:D254"/>
    <mergeCell ref="B241:D241"/>
    <mergeCell ref="B242:D242"/>
    <mergeCell ref="I242:O243"/>
    <mergeCell ref="B243:D243"/>
    <mergeCell ref="A244:G244"/>
    <mergeCell ref="B245:D245"/>
    <mergeCell ref="B236:D236"/>
    <mergeCell ref="B237:D237"/>
    <mergeCell ref="B238:D238"/>
    <mergeCell ref="B239:D239"/>
    <mergeCell ref="B240:D240"/>
    <mergeCell ref="B233:D233"/>
    <mergeCell ref="B234:D234"/>
    <mergeCell ref="B235:D235"/>
    <mergeCell ref="A230:G230"/>
    <mergeCell ref="A231:G231"/>
    <mergeCell ref="B232:D232"/>
    <mergeCell ref="A225:G225"/>
    <mergeCell ref="I225:O225"/>
    <mergeCell ref="I228:O228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5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6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rgb="FFFF0000"/>
    <pageSetUpPr fitToPage="1"/>
  </sheetPr>
  <dimension ref="A1:V295"/>
  <sheetViews>
    <sheetView showGridLines="0" tabSelected="1" topLeftCell="A69" workbookViewId="0">
      <selection activeCell="P83" sqref="P83"/>
    </sheetView>
  </sheetViews>
  <sheetFormatPr defaultColWidth="9.140625" defaultRowHeight="17.25" customHeight="1" x14ac:dyDescent="0.2"/>
  <cols>
    <col min="1" max="1" width="25.85546875" style="95" customWidth="1"/>
    <col min="2" max="2" width="9.5703125" style="95" customWidth="1"/>
    <col min="3" max="3" width="10.7109375" style="95" customWidth="1"/>
    <col min="4" max="4" width="11" style="95" customWidth="1"/>
    <col min="5" max="5" width="11.7109375" style="95" customWidth="1"/>
    <col min="6" max="6" width="12.42578125" style="95" customWidth="1"/>
    <col min="7" max="7" width="11.85546875" style="95" customWidth="1"/>
    <col min="8" max="8" width="2.7109375" style="95" customWidth="1"/>
    <col min="9" max="9" width="30.28515625" style="95" customWidth="1"/>
    <col min="10" max="10" width="10.140625" style="95" customWidth="1"/>
    <col min="11" max="11" width="10.5703125" style="95" customWidth="1"/>
    <col min="12" max="13" width="11.7109375" style="95" customWidth="1"/>
    <col min="14" max="14" width="11.85546875" style="95" customWidth="1"/>
    <col min="15" max="15" width="11.7109375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Fjalori'!A71</f>
        <v>Nënfunksioni 8</v>
      </c>
      <c r="B2" s="1130" t="str">
        <f>+VLOOKUP($A2,'(B2) Struktura Organizative'!$A7:$E33,2,FALSE)</f>
        <v>045 Trasporti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Funksionale'!A49</f>
        <v>Programi 8a</v>
      </c>
      <c r="B6" s="1203"/>
      <c r="C6" s="1204" t="str">
        <f>VLOOKUP($A6,'(B3) Struktura Funksionale'!$A$7:$E$146,3,FALSE)</f>
        <v>Rrjeti rrugor rural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Transferuar</v>
      </c>
      <c r="M6" s="1205"/>
      <c r="N6" s="1205"/>
      <c r="O6" s="1206"/>
    </row>
    <row r="7" spans="1:15" ht="13.5" customHeight="1" x14ac:dyDescent="0.2">
      <c r="A7" s="1202" t="str">
        <f>'(B3) Struktura Funksionale'!A50</f>
        <v>Programi 8b</v>
      </c>
      <c r="B7" s="1203"/>
      <c r="C7" s="1204" t="str">
        <f>VLOOKUP($A7,'(B3) Struktura Funksionale'!$A$7:$E$146,3,FALSE)</f>
        <v>Studimi i rrugëve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customHeight="1" x14ac:dyDescent="0.2">
      <c r="A8" s="1202" t="str">
        <f>'(B3) Struktura Funksionale'!A51</f>
        <v>Programi 8c</v>
      </c>
      <c r="B8" s="1203"/>
      <c r="C8" s="1204" t="str">
        <f>VLOOKUP($A8,'(B3) Struktura Funksionale'!$A$7:$E$146,3,FALSE)</f>
        <v>Transporti publik</v>
      </c>
      <c r="D8" s="1205"/>
      <c r="E8" s="1205"/>
      <c r="F8" s="1205"/>
      <c r="G8" s="1205"/>
      <c r="H8" s="1206"/>
      <c r="I8" s="1204" t="str">
        <f>VLOOKUP($A8,'(B3) Struktura Funksionale'!$A$7:$E$146,4,FALSE)</f>
        <v>E detyrueshme</v>
      </c>
      <c r="J8" s="1205"/>
      <c r="K8" s="1206"/>
      <c r="L8" s="1204" t="str">
        <f>VLOOKUP($A8,'(B3) Struktura Funksionale'!$A$7:$E$146,5,FALSE)</f>
        <v>I veti</v>
      </c>
      <c r="M8" s="1205"/>
      <c r="N8" s="1205"/>
      <c r="O8" s="1206"/>
    </row>
    <row r="9" spans="1:15" ht="13.5" customHeight="1" x14ac:dyDescent="0.2">
      <c r="A9" s="1202" t="str">
        <f>'(B3) Struktura Funksionale'!A52</f>
        <v>Programi 8d</v>
      </c>
      <c r="B9" s="1203"/>
      <c r="C9" s="1204">
        <f>VLOOKUP($A9,'(B3) Struktura Funksionale'!$A$7:$E$146,3,FALSE)</f>
        <v>0</v>
      </c>
      <c r="D9" s="1205"/>
      <c r="E9" s="1205"/>
      <c r="F9" s="1205"/>
      <c r="G9" s="1205"/>
      <c r="H9" s="1206"/>
      <c r="I9" s="1204">
        <f>VLOOKUP($A9,'(B3) Struktura Funksionale'!$A$7:$E$146,4,FALSE)</f>
        <v>0</v>
      </c>
      <c r="J9" s="1205"/>
      <c r="K9" s="1206"/>
      <c r="L9" s="1204">
        <f>VLOOKUP($A9,'(B3) Struktura Funksionale'!$A$7:$E$146,5,FALSE)</f>
        <v>0</v>
      </c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8</v>
      </c>
      <c r="B14" s="1225" t="str">
        <f>B$2</f>
        <v>045 Trasporti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774">
        <f t="shared" ref="B18:G18" si="1">B72+B111+B150+B189+B227+B265</f>
        <v>213152994</v>
      </c>
      <c r="C18" s="774">
        <f t="shared" si="1"/>
        <v>84739057</v>
      </c>
      <c r="D18" s="774">
        <f t="shared" si="1"/>
        <v>175922899</v>
      </c>
      <c r="E18" s="126">
        <f t="shared" si="1"/>
        <v>205545310</v>
      </c>
      <c r="F18" s="126">
        <f t="shared" si="1"/>
        <v>208462000</v>
      </c>
      <c r="G18" s="126">
        <f t="shared" si="1"/>
        <v>214454600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J73+J112+J151+J190+J228+J266</f>
        <v>3344489</v>
      </c>
      <c r="K19" s="34">
        <f t="shared" si="2"/>
        <v>1000000</v>
      </c>
      <c r="L19" s="33">
        <f t="shared" si="2"/>
        <v>5000000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E76+E115+E154+E193+E231+E269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M76+M115+M154+M193+M231+M269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20303000</v>
      </c>
      <c r="N24" s="267">
        <f t="shared" si="4"/>
        <v>20303000</v>
      </c>
      <c r="O24" s="267">
        <f t="shared" si="4"/>
        <v>20303000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J80+J119+J158+J197+J235+J273</f>
        <v>26600741</v>
      </c>
      <c r="K27" s="33">
        <f>K80+K119+K158+K197+K235+K273</f>
        <v>63081290</v>
      </c>
      <c r="L27" s="33">
        <f>L80+L119+L158+L197+L235+L273</f>
        <v>20303000</v>
      </c>
      <c r="M27" s="126">
        <f t="shared" si="4"/>
        <v>20303000</v>
      </c>
      <c r="N27" s="126">
        <f t="shared" si="4"/>
        <v>20303000</v>
      </c>
      <c r="O27" s="126">
        <f t="shared" si="4"/>
        <v>20303000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167700000</v>
      </c>
      <c r="F29" s="267">
        <f>F83+F122+F161+F200+F238+F276</f>
        <v>168100000</v>
      </c>
      <c r="G29" s="267">
        <f t="shared" si="3"/>
        <v>172202000</v>
      </c>
      <c r="H29" s="52"/>
      <c r="I29" s="134" t="str">
        <f>'(G1) Fjalori'!A395</f>
        <v xml:space="preserve">TË ARDHURAT E PRITSHME </v>
      </c>
      <c r="J29" s="33">
        <f t="shared" ref="J29:O29" si="5">J82+J121+J160+J199+J237+J275</f>
        <v>29945230</v>
      </c>
      <c r="K29" s="33">
        <f t="shared" si="5"/>
        <v>64081290</v>
      </c>
      <c r="L29" s="33">
        <f t="shared" si="5"/>
        <v>25303000</v>
      </c>
      <c r="M29" s="126">
        <f t="shared" si="5"/>
        <v>20303000</v>
      </c>
      <c r="N29" s="126">
        <f t="shared" si="5"/>
        <v>20303000</v>
      </c>
      <c r="O29" s="126">
        <f t="shared" si="5"/>
        <v>20303000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167700000</v>
      </c>
      <c r="F33" s="126">
        <f t="shared" si="3"/>
        <v>168100000</v>
      </c>
      <c r="G33" s="126">
        <f t="shared" si="3"/>
        <v>172202000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780">
        <f t="shared" ref="J34:O34" si="6">J88+J127+J166+J205+J243+J281</f>
        <v>183207764</v>
      </c>
      <c r="K34" s="780">
        <f t="shared" si="6"/>
        <v>20657767</v>
      </c>
      <c r="L34" s="780">
        <f t="shared" si="6"/>
        <v>150619899</v>
      </c>
      <c r="M34" s="18">
        <f t="shared" si="6"/>
        <v>185242310</v>
      </c>
      <c r="N34" s="18">
        <f t="shared" si="6"/>
        <v>188159000</v>
      </c>
      <c r="O34" s="18">
        <f t="shared" si="6"/>
        <v>194151600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E89+E128+E167+E206+E244+E282</f>
        <v>18097383.149999999</v>
      </c>
      <c r="F35" s="267">
        <f t="shared" si="7"/>
        <v>19002396</v>
      </c>
      <c r="G35" s="267">
        <f t="shared" si="7"/>
        <v>19952515.800000001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3628166.8499999996</v>
      </c>
      <c r="F36" s="267">
        <f t="shared" si="7"/>
        <v>3809603.9999999995</v>
      </c>
      <c r="G36" s="267">
        <f t="shared" si="7"/>
        <v>4000084.1999999997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16119760</v>
      </c>
      <c r="F37" s="267">
        <f t="shared" si="7"/>
        <v>17550000</v>
      </c>
      <c r="G37" s="267">
        <f t="shared" si="7"/>
        <v>18300000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M91+M130+M169+M208+M246+M284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37845310</v>
      </c>
      <c r="F46" s="126">
        <f t="shared" si="7"/>
        <v>40362000</v>
      </c>
      <c r="G46" s="126">
        <f t="shared" si="7"/>
        <v>42252600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774">
        <f t="shared" ref="B48:G48" si="11">B102+B141+B180+B219+B257+B295</f>
        <v>213152994</v>
      </c>
      <c r="C48" s="774">
        <f t="shared" si="11"/>
        <v>84739057</v>
      </c>
      <c r="D48" s="774">
        <f t="shared" si="11"/>
        <v>175922899</v>
      </c>
      <c r="E48" s="126">
        <f t="shared" si="11"/>
        <v>205545310</v>
      </c>
      <c r="F48" s="126">
        <f t="shared" si="11"/>
        <v>208462000</v>
      </c>
      <c r="G48" s="126">
        <f t="shared" si="11"/>
        <v>214454600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205545310</v>
      </c>
      <c r="N52" s="135">
        <f>VLOOKUP($A14,'(D1) Tavanet buxhetore'!$A$7:$R$473,8,FALSE)</f>
        <v>208462000</v>
      </c>
      <c r="O52" s="587">
        <f>VLOOKUP($A14,'(D1) Tavanet buxhetore'!$A$7:$R$473,9,FALSE)</f>
        <v>214454600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205545310</v>
      </c>
      <c r="N53" s="136">
        <f>F18</f>
        <v>208462000</v>
      </c>
      <c r="O53" s="588">
        <f>G18</f>
        <v>214454600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21725550</v>
      </c>
      <c r="N55" s="135">
        <f>VLOOKUP($A14,'(D1) Tavanet buxhetore'!$A$7:$R$473,11,FALSE)</f>
        <v>22812000</v>
      </c>
      <c r="O55" s="587">
        <f>VLOOKUP($A14,'(D1) Tavanet buxhetore'!$A$7:$R$473,12,FALSE)</f>
        <v>23952600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21725550</v>
      </c>
      <c r="N56" s="136">
        <f>F22+F35+F23+F36</f>
        <v>22812000</v>
      </c>
      <c r="O56" s="136">
        <f>G22+G35+G23+G36</f>
        <v>23952600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16119760</v>
      </c>
      <c r="N58" s="135">
        <f>VLOOKUP($A14,'(D1) Tavanet buxhetore'!$A$7:$R$473,14,FALSE)</f>
        <v>17550000</v>
      </c>
      <c r="O58" s="587">
        <f>VLOOKUP($A14,'(D1) Tavanet buxhetore'!$A$7:$R$473,15,FALSE)</f>
        <v>18300000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16119760</v>
      </c>
      <c r="N59" s="136">
        <f>N53-N56-N62</f>
        <v>17550000</v>
      </c>
      <c r="O59" s="588">
        <f>O53-O56-O62</f>
        <v>18300000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167700000</v>
      </c>
      <c r="N61" s="135">
        <f>VLOOKUP($A14,'(D1) Tavanet buxhetore'!$A$7:$R$473,17,FALSE)</f>
        <v>168100000</v>
      </c>
      <c r="O61" s="587">
        <f>VLOOKUP($A14,'(D1) Tavanet buxhetore'!$A$7:$R$473,18,FALSE)</f>
        <v>172202000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167700000</v>
      </c>
      <c r="N62" s="136">
        <f>F29+F42</f>
        <v>168100000</v>
      </c>
      <c r="O62" s="588">
        <f>G29+G42</f>
        <v>172202000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8</v>
      </c>
      <c r="B66" s="1225" t="str">
        <f t="shared" si="12"/>
        <v>045 Trasporti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8a</v>
      </c>
      <c r="B67" s="1225" t="str">
        <f>C6</f>
        <v>Rrjeti rrugor rural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Funksionale'!B49</f>
        <v>04520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769">
        <f>VLOOKUP(A67,'(C1) Shpenzimet vitet e kaluara'!A$9:O$177,5,FALSE)</f>
        <v>213152994</v>
      </c>
      <c r="C72" s="769">
        <f>VLOOKUP(A67,'(C1) Shpenzimet vitet e kaluara'!A$9:O$177,9,FALSE)</f>
        <v>32485173</v>
      </c>
      <c r="D72" s="769">
        <f>VLOOKUP(A67,'(C1) Shpenzimet vitet e kaluara'!A$9:O$177,13,FALSE)</f>
        <v>47482899</v>
      </c>
      <c r="E72" s="362">
        <f>E83+E89+E90+E91</f>
        <v>205545310</v>
      </c>
      <c r="F72" s="362">
        <f>F83+F89+F90+F91</f>
        <v>208462000</v>
      </c>
      <c r="G72" s="362">
        <f>G83+G89+G90+G91</f>
        <v>214454600</v>
      </c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3344489</v>
      </c>
      <c r="K73" s="34">
        <f>VLOOKUP($A67,'(C1) Shpenzimet vitet e kaluara'!$A$9:$O$177,10,FALSE)</f>
        <v>1000000</v>
      </c>
      <c r="L73" s="34">
        <f>VLOOKUP($A67,'(C1) Shpenzimet vitet e kaluara'!$A$9:$O$177,14,FALSE)</f>
        <v>5000000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>
        <v>20303000</v>
      </c>
      <c r="N77" s="125">
        <v>20303000</v>
      </c>
      <c r="O77" s="129">
        <v>20303000</v>
      </c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26600741</v>
      </c>
      <c r="K80" s="34">
        <f>VLOOKUP($A67,'(C1) Shpenzimet vitet e kaluara'!$A$9:$O$177,11,FALSE)</f>
        <v>20303000</v>
      </c>
      <c r="L80" s="34">
        <f>VLOOKUP($A67,'(C1) Shpenzimet vitet e kaluara'!$A$9:$O$177,15,FALSE)</f>
        <v>20303000</v>
      </c>
      <c r="M80" s="126">
        <f>SUM(M76:M79)</f>
        <v>20303000</v>
      </c>
      <c r="N80" s="126">
        <f>SUM(N76:N79)</f>
        <v>20303000</v>
      </c>
      <c r="O80" s="126">
        <f>SUM(O76:O79)</f>
        <v>20303000</v>
      </c>
    </row>
    <row r="81" spans="1:22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22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29945230</v>
      </c>
      <c r="K82" s="33">
        <f>K73+K80</f>
        <v>21303000</v>
      </c>
      <c r="L82" s="33">
        <f>L73+L80</f>
        <v>25303000</v>
      </c>
      <c r="M82" s="126">
        <f>M80+M73</f>
        <v>20303000</v>
      </c>
      <c r="N82" s="126">
        <f>N80+N73</f>
        <v>20303000</v>
      </c>
      <c r="O82" s="126">
        <f>O80+O73</f>
        <v>20303000</v>
      </c>
    </row>
    <row r="83" spans="1:22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>
        <f>103700000+64000000</f>
        <v>167700000</v>
      </c>
      <c r="F83" s="36">
        <f>104100000+64000000</f>
        <v>168100000</v>
      </c>
      <c r="G83" s="36">
        <f>105202000+67000000</f>
        <v>172202000</v>
      </c>
      <c r="H83" s="52"/>
      <c r="P83" s="955"/>
      <c r="Q83" s="955"/>
      <c r="R83" s="955"/>
      <c r="S83" s="955"/>
      <c r="T83" s="955"/>
      <c r="U83" s="955"/>
      <c r="V83" s="955"/>
    </row>
    <row r="84" spans="1:22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22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22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22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167700000</v>
      </c>
      <c r="F87" s="126">
        <f>SUM(F76:F86)</f>
        <v>168100000</v>
      </c>
      <c r="G87" s="126">
        <f>SUM(G76:G86)</f>
        <v>172202000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22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780">
        <f t="shared" ref="J88:O88" si="21">B72-J82</f>
        <v>183207764</v>
      </c>
      <c r="K88" s="780">
        <f t="shared" si="21"/>
        <v>11182173</v>
      </c>
      <c r="L88" s="780">
        <f t="shared" si="21"/>
        <v>22179899</v>
      </c>
      <c r="M88" s="780">
        <f t="shared" si="21"/>
        <v>185242310</v>
      </c>
      <c r="N88" s="780">
        <f t="shared" si="21"/>
        <v>188159000</v>
      </c>
      <c r="O88" s="780">
        <f t="shared" si="21"/>
        <v>194151600</v>
      </c>
    </row>
    <row r="89" spans="1:22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708">
        <v>18097383.149999999</v>
      </c>
      <c r="F89" s="708">
        <v>19002396</v>
      </c>
      <c r="G89" s="708">
        <v>19952515.800000001</v>
      </c>
      <c r="H89" s="52"/>
      <c r="I89" s="52"/>
      <c r="J89" s="52"/>
      <c r="K89" s="52"/>
      <c r="L89" s="14"/>
      <c r="M89" s="53"/>
    </row>
    <row r="90" spans="1:22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708">
        <v>3628166.8499999996</v>
      </c>
      <c r="F90" s="708">
        <v>3809603.9999999995</v>
      </c>
      <c r="G90" s="708">
        <v>4000084.1999999997</v>
      </c>
      <c r="H90" s="52"/>
    </row>
    <row r="91" spans="1:22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708">
        <v>16119760</v>
      </c>
      <c r="F91" s="708">
        <v>17550000</v>
      </c>
      <c r="G91" s="708">
        <v>18300000</v>
      </c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22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708"/>
      <c r="F92" s="708"/>
      <c r="G92" s="708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22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708"/>
      <c r="F93" s="708"/>
      <c r="G93" s="708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22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708"/>
      <c r="F94" s="708"/>
      <c r="G94" s="708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22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708"/>
      <c r="F95" s="708"/>
      <c r="G95" s="708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22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713"/>
      <c r="F96" s="713"/>
      <c r="G96" s="713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708"/>
      <c r="F97" s="708"/>
      <c r="G97" s="708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708"/>
      <c r="F98" s="708"/>
      <c r="G98" s="708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716">
        <f>-E87+E72-(SUM(E89:E98))</f>
        <v>0</v>
      </c>
      <c r="F99" s="717">
        <f>-F87+F72-(SUM(F89:F98))</f>
        <v>0</v>
      </c>
      <c r="G99" s="717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37845310</v>
      </c>
      <c r="F100" s="126">
        <f>SUM(F89:F99)</f>
        <v>40362000</v>
      </c>
      <c r="G100" s="126">
        <f>SUM(G89:G99)</f>
        <v>42252600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774">
        <f>B72</f>
        <v>213152994</v>
      </c>
      <c r="C102" s="774">
        <f>C72</f>
        <v>32485173</v>
      </c>
      <c r="D102" s="774">
        <f>D72</f>
        <v>47482899</v>
      </c>
      <c r="E102" s="126">
        <f>E87+E100</f>
        <v>205545310</v>
      </c>
      <c r="F102" s="126">
        <f>F87+F100</f>
        <v>208462000</v>
      </c>
      <c r="G102" s="126">
        <f>G87+G100</f>
        <v>214454600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8</v>
      </c>
      <c r="B105" s="1225" t="str">
        <f t="shared" si="22"/>
        <v>045 Trasporti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8b</v>
      </c>
      <c r="B106" s="1225" t="str">
        <f>C7</f>
        <v>Studimi i rrugëve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 t="str">
        <f>'(B3) Struktura Funksionale'!B50</f>
        <v>04530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52253884</v>
      </c>
      <c r="D111" s="33">
        <f>VLOOKUP(A106,'(C1) Shpenzimet vitet e kaluara'!A$9:O$177,13,FALSE)</f>
        <v>128440000</v>
      </c>
      <c r="E111" s="36">
        <v>0</v>
      </c>
      <c r="F111" s="36">
        <v>0</v>
      </c>
      <c r="G111" s="36">
        <v>0</v>
      </c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42778290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42778290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9475594</v>
      </c>
      <c r="L127" s="18">
        <f t="shared" si="32"/>
        <v>128440000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52253884</v>
      </c>
      <c r="D141" s="33">
        <f>D111</f>
        <v>128440000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8</v>
      </c>
      <c r="B144" s="1225" t="str">
        <f t="shared" si="33"/>
        <v>045 Trasporti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8c</v>
      </c>
      <c r="B145" s="1225" t="str">
        <f>C8</f>
        <v>Transporti publik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 t="str">
        <f>'(B3) Struktura Funksionale'!B51</f>
        <v>04570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301"/>
      <c r="K175" s="1302"/>
      <c r="L175" s="1302"/>
      <c r="M175" s="1302"/>
      <c r="N175" s="1302"/>
      <c r="O175" s="130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304"/>
      <c r="K176" s="1305"/>
      <c r="L176" s="1305"/>
      <c r="M176" s="1305"/>
      <c r="N176" s="1305"/>
      <c r="O176" s="130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301"/>
      <c r="K177" s="1302"/>
      <c r="L177" s="1302"/>
      <c r="M177" s="1302"/>
      <c r="N177" s="1302"/>
      <c r="O177" s="130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307"/>
      <c r="K178" s="1308"/>
      <c r="L178" s="1308"/>
      <c r="M178" s="1308"/>
      <c r="N178" s="1308"/>
      <c r="O178" s="130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301"/>
      <c r="K179" s="1302"/>
      <c r="L179" s="1302"/>
      <c r="M179" s="1302"/>
      <c r="N179" s="1302"/>
      <c r="O179" s="130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307"/>
      <c r="K180" s="1308"/>
      <c r="L180" s="1308"/>
      <c r="M180" s="1308"/>
      <c r="N180" s="1308"/>
      <c r="O180" s="1309"/>
    </row>
    <row r="181" spans="1:15" ht="12.75" x14ac:dyDescent="0.2"/>
    <row r="182" spans="1:15" ht="12.75" x14ac:dyDescent="0.2"/>
    <row r="183" spans="1:15" ht="18.75" x14ac:dyDescent="0.2">
      <c r="A183" s="204" t="str">
        <f t="shared" ref="A183:O183" si="44">A66</f>
        <v>Nënfunksioni 8</v>
      </c>
      <c r="B183" s="1225" t="str">
        <f t="shared" si="44"/>
        <v>045 Trasporti</v>
      </c>
      <c r="C183" s="1225">
        <f t="shared" si="44"/>
        <v>0</v>
      </c>
      <c r="D183" s="1225">
        <f t="shared" si="44"/>
        <v>0</v>
      </c>
      <c r="E183" s="1225">
        <f t="shared" si="44"/>
        <v>0</v>
      </c>
      <c r="F183" s="1225">
        <f t="shared" si="44"/>
        <v>0</v>
      </c>
      <c r="G183" s="1225">
        <f t="shared" si="44"/>
        <v>0</v>
      </c>
      <c r="H183" s="1225">
        <f t="shared" si="44"/>
        <v>0</v>
      </c>
      <c r="I183" s="1225">
        <f t="shared" si="44"/>
        <v>0</v>
      </c>
      <c r="J183" s="1225">
        <f t="shared" si="44"/>
        <v>0</v>
      </c>
      <c r="K183" s="1225">
        <f t="shared" si="44"/>
        <v>0</v>
      </c>
      <c r="L183" s="1225">
        <f t="shared" si="44"/>
        <v>0</v>
      </c>
      <c r="M183" s="1225">
        <f t="shared" si="44"/>
        <v>0</v>
      </c>
      <c r="N183" s="1225">
        <f t="shared" si="44"/>
        <v>0</v>
      </c>
      <c r="O183" s="1225">
        <f t="shared" si="44"/>
        <v>0</v>
      </c>
    </row>
    <row r="184" spans="1:15" ht="18.75" x14ac:dyDescent="0.2">
      <c r="A184" s="262" t="str">
        <f>A9</f>
        <v>Programi 8d</v>
      </c>
      <c r="B184" s="1225">
        <f>C9</f>
        <v>0</v>
      </c>
      <c r="C184" s="1225" t="e">
        <f>#REF!</f>
        <v>#REF!</v>
      </c>
      <c r="D184" s="1225" t="e">
        <f>#REF!</f>
        <v>#REF!</v>
      </c>
      <c r="E184" s="1225" t="e">
        <f>#REF!</f>
        <v>#REF!</v>
      </c>
      <c r="F184" s="1225" t="e">
        <f>#REF!</f>
        <v>#REF!</v>
      </c>
      <c r="G184" s="1225" t="e">
        <f>#REF!</f>
        <v>#REF!</v>
      </c>
      <c r="H184" s="1225" t="e">
        <f>#REF!</f>
        <v>#REF!</v>
      </c>
      <c r="I184" s="1225" t="e">
        <f>#REF!</f>
        <v>#REF!</v>
      </c>
      <c r="J184" s="1225" t="e">
        <f>#REF!</f>
        <v>#REF!</v>
      </c>
      <c r="K184" s="1225" t="e">
        <f>#REF!</f>
        <v>#REF!</v>
      </c>
      <c r="L184" s="1225" t="e">
        <f>#REF!</f>
        <v>#REF!</v>
      </c>
      <c r="M184" s="1225" t="e">
        <f>#REF!</f>
        <v>#REF!</v>
      </c>
      <c r="N184" s="1225" t="e">
        <f>#REF!</f>
        <v>#REF!</v>
      </c>
      <c r="O184" s="1225" t="e">
        <f>#REF!</f>
        <v>#REF!</v>
      </c>
    </row>
    <row r="185" spans="1:15" ht="18.75" x14ac:dyDescent="0.2">
      <c r="A185" s="562">
        <f>'(B3) Struktura Funksionale'!B52</f>
        <v>0</v>
      </c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6"/>
    </row>
    <row r="186" spans="1:15" ht="22.5" customHeight="1" x14ac:dyDescent="0.2">
      <c r="A186" s="1252" t="str">
        <f t="shared" ref="A186:G186" si="45">A69</f>
        <v>SHPENZIME TË PRITSHME</v>
      </c>
      <c r="B186" s="1253">
        <f t="shared" si="45"/>
        <v>0</v>
      </c>
      <c r="C186" s="1253">
        <f t="shared" si="45"/>
        <v>0</v>
      </c>
      <c r="D186" s="1253">
        <f t="shared" si="45"/>
        <v>0</v>
      </c>
      <c r="E186" s="1253">
        <f t="shared" si="45"/>
        <v>0</v>
      </c>
      <c r="F186" s="1253">
        <f t="shared" si="45"/>
        <v>0</v>
      </c>
      <c r="G186" s="1254">
        <f t="shared" si="45"/>
        <v>0</v>
      </c>
      <c r="H186" s="128"/>
      <c r="I186" s="1255" t="str">
        <f t="shared" ref="I186:O186" si="46">I69</f>
        <v xml:space="preserve">TË ARDHURAT E PRITSHME </v>
      </c>
      <c r="J186" s="1253">
        <f t="shared" si="46"/>
        <v>0</v>
      </c>
      <c r="K186" s="1253">
        <f t="shared" si="46"/>
        <v>0</v>
      </c>
      <c r="L186" s="1253">
        <f t="shared" si="46"/>
        <v>0</v>
      </c>
      <c r="M186" s="1253">
        <f t="shared" si="46"/>
        <v>0</v>
      </c>
      <c r="N186" s="1253">
        <f t="shared" si="46"/>
        <v>0</v>
      </c>
      <c r="O186" s="1254">
        <f t="shared" si="46"/>
        <v>0</v>
      </c>
    </row>
    <row r="187" spans="1:15" ht="21.75" customHeight="1" x14ac:dyDescent="0.2">
      <c r="A187" s="202"/>
      <c r="B187" s="363">
        <f t="shared" ref="B187:G187" si="47">B70</f>
        <v>2019</v>
      </c>
      <c r="C187" s="363">
        <f t="shared" si="47"/>
        <v>2020</v>
      </c>
      <c r="D187" s="363">
        <f t="shared" si="47"/>
        <v>2021</v>
      </c>
      <c r="E187" s="238">
        <f t="shared" si="47"/>
        <v>2022</v>
      </c>
      <c r="F187" s="238">
        <f t="shared" si="47"/>
        <v>2023</v>
      </c>
      <c r="G187" s="238">
        <f t="shared" si="47"/>
        <v>2024</v>
      </c>
      <c r="H187" s="203"/>
      <c r="I187" s="360"/>
      <c r="J187" s="363">
        <f t="shared" ref="J187:O187" si="48">J70</f>
        <v>2019</v>
      </c>
      <c r="K187" s="363">
        <f t="shared" si="48"/>
        <v>2020</v>
      </c>
      <c r="L187" s="363">
        <f t="shared" si="48"/>
        <v>2021</v>
      </c>
      <c r="M187" s="238">
        <f t="shared" si="48"/>
        <v>2022</v>
      </c>
      <c r="N187" s="238">
        <f t="shared" si="48"/>
        <v>2023</v>
      </c>
      <c r="O187" s="238">
        <f t="shared" si="48"/>
        <v>2024</v>
      </c>
    </row>
    <row r="188" spans="1:15" ht="12.75" x14ac:dyDescent="0.2">
      <c r="A188" s="377"/>
      <c r="B188" s="370"/>
      <c r="C188" s="303"/>
      <c r="D188" s="304"/>
      <c r="E188" s="378"/>
      <c r="F188" s="378"/>
      <c r="G188" s="379"/>
      <c r="H188" s="128"/>
      <c r="I188" s="302"/>
      <c r="J188" s="1250"/>
      <c r="K188" s="1250"/>
      <c r="L188" s="375"/>
      <c r="M188" s="375"/>
      <c r="N188" s="375"/>
      <c r="O188" s="376"/>
    </row>
    <row r="189" spans="1:15" ht="12.75" x14ac:dyDescent="0.2">
      <c r="A189" s="134" t="str">
        <f>A72</f>
        <v>SHPENZIME TË PRITSHME</v>
      </c>
      <c r="B189" s="33">
        <f>VLOOKUP(A184,'(C1) Shpenzimet vitet e kaluara'!A$9:O$177,5,FALSE)</f>
        <v>0</v>
      </c>
      <c r="C189" s="33">
        <f>VLOOKUP(A184,'(C1) Shpenzimet vitet e kaluara'!A$9:O$177,9,FALSE)</f>
        <v>0</v>
      </c>
      <c r="D189" s="33">
        <f>VLOOKUP(A184,'(C1) Shpenzimet vitet e kaluara'!A$9:O$177,13,FALSE)</f>
        <v>0</v>
      </c>
      <c r="E189" s="36"/>
      <c r="F189" s="36"/>
      <c r="G189" s="36"/>
      <c r="H189" s="128"/>
      <c r="I189" s="1226" t="str">
        <f t="shared" ref="I189:O189" si="49">I72</f>
        <v>VLERËSIM I ARDHURAVE NGA TARIFAT</v>
      </c>
      <c r="J189" s="1227">
        <f t="shared" si="49"/>
        <v>0</v>
      </c>
      <c r="K189" s="1227">
        <f t="shared" si="49"/>
        <v>0</v>
      </c>
      <c r="L189" s="1227">
        <f t="shared" si="49"/>
        <v>0</v>
      </c>
      <c r="M189" s="1227">
        <f t="shared" si="49"/>
        <v>0</v>
      </c>
      <c r="N189" s="1227">
        <f t="shared" si="49"/>
        <v>0</v>
      </c>
      <c r="O189" s="1228">
        <f t="shared" si="49"/>
        <v>0</v>
      </c>
    </row>
    <row r="190" spans="1:15" ht="12.75" x14ac:dyDescent="0.2">
      <c r="A190" s="122"/>
      <c r="B190" s="201"/>
      <c r="C190" s="123"/>
      <c r="D190" s="123"/>
      <c r="E190" s="10"/>
      <c r="F190" s="10"/>
      <c r="G190" s="130"/>
      <c r="H190" s="10"/>
      <c r="I190" s="134" t="str">
        <f>I73</f>
        <v>VLERËSIM I ARDHURAVE NGA TARIFAT</v>
      </c>
      <c r="J190" s="34">
        <f>VLOOKUP($A184,'(C1) Shpenzimet vitet e kaluara'!$A$9:$O$177,6,FALSE)</f>
        <v>0</v>
      </c>
      <c r="K190" s="34">
        <f>VLOOKUP($A184,'(C1) Shpenzimet vitet e kaluara'!$A$9:$O$177,10,FALSE)</f>
        <v>0</v>
      </c>
      <c r="L190" s="34">
        <f>VLOOKUP($A184,'(C1) Shpenzimet vitet e kaluara'!$A$9:$O$177,14,FALSE)</f>
        <v>0</v>
      </c>
      <c r="M190" s="36"/>
      <c r="N190" s="36"/>
      <c r="O190" s="36"/>
    </row>
    <row r="191" spans="1:15" ht="12.75" x14ac:dyDescent="0.2">
      <c r="A191" s="1232" t="str">
        <f t="shared" ref="A191:G192" si="50">A74</f>
        <v>SHPENZIME TË PRITSHME</v>
      </c>
      <c r="B191" s="1233">
        <f t="shared" si="50"/>
        <v>0</v>
      </c>
      <c r="C191" s="1233">
        <f t="shared" si="50"/>
        <v>0</v>
      </c>
      <c r="D191" s="1233">
        <f t="shared" si="50"/>
        <v>0</v>
      </c>
      <c r="E191" s="1233">
        <f t="shared" si="50"/>
        <v>0</v>
      </c>
      <c r="F191" s="1233">
        <f t="shared" si="50"/>
        <v>0</v>
      </c>
      <c r="G191" s="1234">
        <f t="shared" si="50"/>
        <v>0</v>
      </c>
      <c r="H191" s="10"/>
    </row>
    <row r="192" spans="1:15" ht="12.75" x14ac:dyDescent="0.2">
      <c r="A192" s="1226" t="str">
        <f t="shared" si="50"/>
        <v>KOSTO DIREKTE PËR PROJEKTET DHE SHPENZIMET KAPITALE</v>
      </c>
      <c r="B192" s="1227">
        <f t="shared" si="50"/>
        <v>0</v>
      </c>
      <c r="C192" s="1227">
        <f t="shared" si="50"/>
        <v>0</v>
      </c>
      <c r="D192" s="1227">
        <f t="shared" si="50"/>
        <v>0</v>
      </c>
      <c r="E192" s="1227">
        <f t="shared" si="50"/>
        <v>0</v>
      </c>
      <c r="F192" s="1227">
        <f t="shared" si="50"/>
        <v>0</v>
      </c>
      <c r="G192" s="1228">
        <f t="shared" si="50"/>
        <v>0</v>
      </c>
      <c r="H192" s="30"/>
      <c r="I192" s="1226" t="str">
        <f t="shared" ref="I192:I197" si="51">I75</f>
        <v>VLERËSIMI I TË ARDHURAVE ME DESTINACION</v>
      </c>
      <c r="J192" s="1227"/>
      <c r="K192" s="1227"/>
      <c r="L192" s="1227"/>
      <c r="M192" s="1227"/>
      <c r="N192" s="1227"/>
      <c r="O192" s="1228"/>
    </row>
    <row r="193" spans="1:15" ht="12.75" x14ac:dyDescent="0.2">
      <c r="A193" s="121" t="str">
        <f t="shared" ref="A193:D215" si="52">A76</f>
        <v>Pagat</v>
      </c>
      <c r="B193" s="1229">
        <f t="shared" si="52"/>
        <v>600</v>
      </c>
      <c r="C193" s="1230">
        <f t="shared" si="52"/>
        <v>0</v>
      </c>
      <c r="D193" s="1231">
        <f t="shared" si="52"/>
        <v>0</v>
      </c>
      <c r="E193" s="126"/>
      <c r="F193" s="126"/>
      <c r="G193" s="126"/>
      <c r="H193" s="30"/>
      <c r="I193" s="339" t="str">
        <f t="shared" si="51"/>
        <v>Transferta e kushtëzuar</v>
      </c>
      <c r="J193" s="336"/>
      <c r="K193" s="338"/>
      <c r="L193" s="337"/>
      <c r="M193" s="125"/>
      <c r="N193" s="125"/>
      <c r="O193" s="129"/>
    </row>
    <row r="194" spans="1:15" ht="12.75" x14ac:dyDescent="0.2">
      <c r="A194" s="121" t="str">
        <f t="shared" si="52"/>
        <v>Sigurimet Shoqërore</v>
      </c>
      <c r="B194" s="1229">
        <f t="shared" si="52"/>
        <v>601</v>
      </c>
      <c r="C194" s="1230">
        <f t="shared" si="52"/>
        <v>0</v>
      </c>
      <c r="D194" s="1231">
        <f t="shared" si="52"/>
        <v>0</v>
      </c>
      <c r="E194" s="126"/>
      <c r="F194" s="126"/>
      <c r="G194" s="126"/>
      <c r="H194" s="30"/>
      <c r="I194" s="339" t="str">
        <f t="shared" si="51"/>
        <v>Trasferta Specifike</v>
      </c>
      <c r="J194" s="336"/>
      <c r="K194" s="338"/>
      <c r="L194" s="337"/>
      <c r="M194" s="125"/>
      <c r="N194" s="125"/>
      <c r="O194" s="129"/>
    </row>
    <row r="195" spans="1:15" ht="12.75" x14ac:dyDescent="0.2">
      <c r="A195" s="121" t="str">
        <f t="shared" si="52"/>
        <v>Mallra dhe shërbime</v>
      </c>
      <c r="B195" s="1229">
        <f t="shared" si="52"/>
        <v>602</v>
      </c>
      <c r="C195" s="1230">
        <f t="shared" si="52"/>
        <v>0</v>
      </c>
      <c r="D195" s="1231">
        <f t="shared" si="52"/>
        <v>0</v>
      </c>
      <c r="E195" s="126"/>
      <c r="F195" s="126"/>
      <c r="G195" s="126"/>
      <c r="H195" s="52"/>
      <c r="I195" s="339" t="str">
        <f t="shared" si="51"/>
        <v>Trashëgimi me destinacion</v>
      </c>
      <c r="J195" s="336"/>
      <c r="K195" s="338"/>
      <c r="L195" s="337"/>
      <c r="M195" s="264">
        <f>VLOOKUP($A184,'(C4) Trashëgimi me destinacion'!$A$8:$F$168,4,FALSE)</f>
        <v>0</v>
      </c>
      <c r="N195" s="479">
        <f>VLOOKUP($A184,'(C4) Trashëgimi me destinacion'!$A$8:$F$168,5,FALSE)</f>
        <v>0</v>
      </c>
      <c r="O195" s="479">
        <f>VLOOKUP($A184,'(C4) Trashëgimi me destinacion'!$A$8:$F$168,6,FALSE)</f>
        <v>0</v>
      </c>
    </row>
    <row r="196" spans="1:15" ht="12.75" x14ac:dyDescent="0.2">
      <c r="A196" s="121" t="str">
        <f t="shared" si="52"/>
        <v>Subvencione</v>
      </c>
      <c r="B196" s="1229">
        <f t="shared" si="52"/>
        <v>603</v>
      </c>
      <c r="C196" s="1230">
        <f t="shared" si="52"/>
        <v>0</v>
      </c>
      <c r="D196" s="1231">
        <f t="shared" si="52"/>
        <v>0</v>
      </c>
      <c r="E196" s="126"/>
      <c r="F196" s="126"/>
      <c r="G196" s="126"/>
      <c r="H196" s="8"/>
      <c r="I196" s="339" t="str">
        <f t="shared" si="51"/>
        <v>Burime të tjera (përfshirë gjobat)</v>
      </c>
      <c r="J196" s="336"/>
      <c r="K196" s="338"/>
      <c r="L196" s="337"/>
      <c r="M196" s="125"/>
      <c r="N196" s="125"/>
      <c r="O196" s="129"/>
    </row>
    <row r="197" spans="1:15" ht="12.75" x14ac:dyDescent="0.2">
      <c r="A197" s="121" t="str">
        <f t="shared" si="52"/>
        <v>Të tjera transferta korrente të brendshme</v>
      </c>
      <c r="B197" s="1229">
        <f t="shared" si="52"/>
        <v>604</v>
      </c>
      <c r="C197" s="1230">
        <f t="shared" si="52"/>
        <v>0</v>
      </c>
      <c r="D197" s="1231">
        <f t="shared" si="52"/>
        <v>0</v>
      </c>
      <c r="E197" s="126"/>
      <c r="F197" s="126"/>
      <c r="G197" s="126"/>
      <c r="H197" s="52"/>
      <c r="I197" s="339" t="str">
        <f t="shared" si="51"/>
        <v>VLERËSIMI I TË ARDHURAVE ME DESTINACION</v>
      </c>
      <c r="J197" s="34">
        <f>VLOOKUP($A184,'(C1) Shpenzimet vitet e kaluara'!$A$9:$O$177,7,FALSE)</f>
        <v>0</v>
      </c>
      <c r="K197" s="34">
        <f>VLOOKUP($A184,'(C1) Shpenzimet vitet e kaluara'!$A$9:$O$177,11,FALSE)</f>
        <v>0</v>
      </c>
      <c r="L197" s="34">
        <f>VLOOKUP($A184,'(C1) Shpenzimet vitet e kaluara'!$A$9:$O$177,15,FALSE)</f>
        <v>0</v>
      </c>
      <c r="M197" s="126">
        <f>SUM(M193:M196)</f>
        <v>0</v>
      </c>
      <c r="N197" s="126">
        <f>SUM(N193:N196)</f>
        <v>0</v>
      </c>
      <c r="O197" s="126">
        <f>SUM(O193:O196)</f>
        <v>0</v>
      </c>
    </row>
    <row r="198" spans="1:15" ht="12.75" x14ac:dyDescent="0.2">
      <c r="A198" s="121" t="str">
        <f t="shared" si="52"/>
        <v>Transferta korrente të huaja</v>
      </c>
      <c r="B198" s="1229">
        <f t="shared" si="52"/>
        <v>605</v>
      </c>
      <c r="C198" s="1230">
        <f t="shared" si="52"/>
        <v>0</v>
      </c>
      <c r="D198" s="1231">
        <f t="shared" si="52"/>
        <v>0</v>
      </c>
      <c r="E198" s="126"/>
      <c r="F198" s="126"/>
      <c r="G198" s="126"/>
      <c r="H198" s="52"/>
    </row>
    <row r="199" spans="1:15" ht="12.75" x14ac:dyDescent="0.2">
      <c r="A199" s="121" t="str">
        <f t="shared" si="52"/>
        <v>Transferta për Buxhetet Familiare dhe Individët</v>
      </c>
      <c r="B199" s="1229">
        <f t="shared" si="52"/>
        <v>606</v>
      </c>
      <c r="C199" s="1230">
        <f t="shared" si="52"/>
        <v>0</v>
      </c>
      <c r="D199" s="1231">
        <f t="shared" si="52"/>
        <v>0</v>
      </c>
      <c r="E199" s="126"/>
      <c r="F199" s="126"/>
      <c r="G199" s="126"/>
      <c r="H199" s="52"/>
      <c r="I199" s="134" t="str">
        <f>I82</f>
        <v xml:space="preserve">TË ARDHURAT E PRITSHME </v>
      </c>
      <c r="J199" s="33">
        <f>J190+J197</f>
        <v>0</v>
      </c>
      <c r="K199" s="33">
        <f>K190+K197</f>
        <v>0</v>
      </c>
      <c r="L199" s="33">
        <f>L190+L197</f>
        <v>0</v>
      </c>
      <c r="M199" s="126">
        <f>M197+M190</f>
        <v>0</v>
      </c>
      <c r="N199" s="126">
        <f>N197+N190</f>
        <v>0</v>
      </c>
      <c r="O199" s="126">
        <f>O197+O190</f>
        <v>0</v>
      </c>
    </row>
    <row r="200" spans="1:15" ht="12.75" x14ac:dyDescent="0.2">
      <c r="A200" s="121" t="str">
        <f t="shared" si="52"/>
        <v>Shpenzimet kapitale</v>
      </c>
      <c r="B200" s="1229" t="str">
        <f t="shared" si="52"/>
        <v>230 / 231</v>
      </c>
      <c r="C200" s="1230">
        <f t="shared" si="52"/>
        <v>0</v>
      </c>
      <c r="D200" s="1231">
        <f t="shared" si="52"/>
        <v>0</v>
      </c>
      <c r="E200" s="36"/>
      <c r="F200" s="36"/>
      <c r="G200" s="36"/>
      <c r="H200" s="52"/>
    </row>
    <row r="201" spans="1:15" ht="12.75" x14ac:dyDescent="0.2">
      <c r="A201" s="121" t="str">
        <f t="shared" si="52"/>
        <v>Rezerva</v>
      </c>
      <c r="B201" s="1229">
        <f t="shared" si="52"/>
        <v>609</v>
      </c>
      <c r="C201" s="1230">
        <f t="shared" si="52"/>
        <v>0</v>
      </c>
      <c r="D201" s="1231">
        <f t="shared" si="52"/>
        <v>0</v>
      </c>
      <c r="E201" s="126"/>
      <c r="F201" s="126"/>
      <c r="G201" s="126"/>
      <c r="H201" s="52"/>
    </row>
    <row r="202" spans="1:15" ht="12.75" x14ac:dyDescent="0.2">
      <c r="A202" s="121" t="str">
        <f t="shared" si="52"/>
        <v>Interesa per kredi direkte ose bono</v>
      </c>
      <c r="B202" s="1229">
        <f t="shared" si="52"/>
        <v>650</v>
      </c>
      <c r="C202" s="1230">
        <f t="shared" si="52"/>
        <v>0</v>
      </c>
      <c r="D202" s="1231">
        <f t="shared" si="52"/>
        <v>0</v>
      </c>
      <c r="E202" s="126"/>
      <c r="F202" s="126"/>
      <c r="G202" s="126"/>
      <c r="H202" s="52"/>
    </row>
    <row r="203" spans="1:15" ht="12.75" x14ac:dyDescent="0.2">
      <c r="A203" s="121" t="str">
        <f t="shared" si="52"/>
        <v>Të tjera</v>
      </c>
      <c r="B203" s="1229" t="str">
        <f t="shared" si="52"/>
        <v>69 / ?</v>
      </c>
      <c r="C203" s="1230">
        <f t="shared" si="52"/>
        <v>0</v>
      </c>
      <c r="D203" s="1231">
        <f t="shared" si="52"/>
        <v>0</v>
      </c>
      <c r="E203" s="126"/>
      <c r="F203" s="126"/>
      <c r="G203" s="126"/>
      <c r="H203" s="52"/>
      <c r="I203" s="1235" t="str">
        <f t="shared" ref="I203:O204" si="53">I86</f>
        <v>SHUMA E KËRKUAR NETO</v>
      </c>
      <c r="J203" s="1236">
        <f t="shared" si="53"/>
        <v>0</v>
      </c>
      <c r="K203" s="1236">
        <f t="shared" si="53"/>
        <v>0</v>
      </c>
      <c r="L203" s="1236">
        <f t="shared" si="53"/>
        <v>0</v>
      </c>
      <c r="M203" s="1236">
        <f t="shared" si="53"/>
        <v>0</v>
      </c>
      <c r="N203" s="1236">
        <f t="shared" si="53"/>
        <v>0</v>
      </c>
      <c r="O203" s="1237">
        <f t="shared" si="53"/>
        <v>0</v>
      </c>
    </row>
    <row r="204" spans="1:15" ht="12.75" customHeight="1" x14ac:dyDescent="0.2">
      <c r="A204" s="268" t="str">
        <f t="shared" si="52"/>
        <v>KOSTO DIREKTE PËR PROJEKTET DHE SHPENZIMET KAPITALE</v>
      </c>
      <c r="B204" s="1229">
        <f t="shared" si="52"/>
        <v>0</v>
      </c>
      <c r="C204" s="1230">
        <f t="shared" si="52"/>
        <v>0</v>
      </c>
      <c r="D204" s="1231">
        <f t="shared" si="52"/>
        <v>0</v>
      </c>
      <c r="E204" s="126">
        <f>SUM(E193:E203)</f>
        <v>0</v>
      </c>
      <c r="F204" s="126">
        <f>SUM(F193:F203)</f>
        <v>0</v>
      </c>
      <c r="G204" s="126">
        <f>SUM(G193:G203)</f>
        <v>0</v>
      </c>
      <c r="H204" s="52"/>
      <c r="I204" s="1238">
        <f t="shared" si="53"/>
        <v>0</v>
      </c>
      <c r="J204" s="1239">
        <f t="shared" si="53"/>
        <v>0</v>
      </c>
      <c r="K204" s="1239">
        <f t="shared" si="53"/>
        <v>0</v>
      </c>
      <c r="L204" s="1239">
        <f t="shared" si="53"/>
        <v>0</v>
      </c>
      <c r="M204" s="1239">
        <f t="shared" si="53"/>
        <v>0</v>
      </c>
      <c r="N204" s="1239">
        <f t="shared" si="53"/>
        <v>0</v>
      </c>
      <c r="O204" s="1240">
        <f t="shared" si="53"/>
        <v>0</v>
      </c>
    </row>
    <row r="205" spans="1:15" ht="12.75" x14ac:dyDescent="0.2">
      <c r="A205" s="1226" t="str">
        <f t="shared" si="52"/>
        <v>SHPENZIME KORRENTE</v>
      </c>
      <c r="B205" s="1227">
        <f t="shared" si="52"/>
        <v>0</v>
      </c>
      <c r="C205" s="1227">
        <f t="shared" si="52"/>
        <v>0</v>
      </c>
      <c r="D205" s="1227">
        <f t="shared" si="52"/>
        <v>0</v>
      </c>
      <c r="E205" s="1227">
        <f>E88</f>
        <v>0</v>
      </c>
      <c r="F205" s="1227">
        <f>F88</f>
        <v>0</v>
      </c>
      <c r="G205" s="1228">
        <f>G88</f>
        <v>0</v>
      </c>
      <c r="H205" s="52"/>
      <c r="I205" s="17" t="str">
        <f>I88</f>
        <v>SHUMA E KËRKUAR NETO</v>
      </c>
      <c r="J205" s="18">
        <f t="shared" ref="J205:O205" si="54">B189-J199</f>
        <v>0</v>
      </c>
      <c r="K205" s="18">
        <f t="shared" si="54"/>
        <v>0</v>
      </c>
      <c r="L205" s="18">
        <f t="shared" si="54"/>
        <v>0</v>
      </c>
      <c r="M205" s="18">
        <f t="shared" si="54"/>
        <v>0</v>
      </c>
      <c r="N205" s="18">
        <f t="shared" si="54"/>
        <v>0</v>
      </c>
      <c r="O205" s="18">
        <f t="shared" si="54"/>
        <v>0</v>
      </c>
    </row>
    <row r="206" spans="1:15" ht="12.75" x14ac:dyDescent="0.2">
      <c r="A206" s="121" t="str">
        <f t="shared" si="52"/>
        <v>Pagat</v>
      </c>
      <c r="B206" s="1229">
        <f t="shared" si="52"/>
        <v>600</v>
      </c>
      <c r="C206" s="1230">
        <f t="shared" si="52"/>
        <v>0</v>
      </c>
      <c r="D206" s="1231">
        <f t="shared" si="52"/>
        <v>0</v>
      </c>
      <c r="E206" s="36"/>
      <c r="F206" s="36"/>
      <c r="G206" s="36"/>
      <c r="H206" s="52"/>
      <c r="I206" s="52"/>
      <c r="J206" s="52"/>
      <c r="K206" s="52"/>
      <c r="L206" s="14"/>
      <c r="M206" s="53"/>
    </row>
    <row r="207" spans="1:15" ht="12.75" x14ac:dyDescent="0.2">
      <c r="A207" s="121" t="str">
        <f t="shared" si="52"/>
        <v>Sigurimet Shoqërore</v>
      </c>
      <c r="B207" s="1229">
        <f t="shared" si="52"/>
        <v>601</v>
      </c>
      <c r="C207" s="1230">
        <f t="shared" si="52"/>
        <v>0</v>
      </c>
      <c r="D207" s="1231">
        <f t="shared" si="52"/>
        <v>0</v>
      </c>
      <c r="E207" s="36"/>
      <c r="F207" s="36"/>
      <c r="G207" s="36"/>
      <c r="H207" s="52"/>
    </row>
    <row r="208" spans="1:15" ht="12.75" x14ac:dyDescent="0.2">
      <c r="A208" s="121" t="str">
        <f t="shared" si="52"/>
        <v>Mallra dhe shërbime</v>
      </c>
      <c r="B208" s="1229">
        <f t="shared" si="52"/>
        <v>602</v>
      </c>
      <c r="C208" s="1230">
        <f t="shared" si="52"/>
        <v>0</v>
      </c>
      <c r="D208" s="1231">
        <f t="shared" si="52"/>
        <v>0</v>
      </c>
      <c r="E208" s="36"/>
      <c r="F208" s="36"/>
      <c r="G208" s="36"/>
      <c r="H208" s="52"/>
      <c r="I208" s="239" t="str">
        <f>I169</f>
        <v>Angazhimet</v>
      </c>
      <c r="J208" s="1290" t="str">
        <f>J169</f>
        <v>Vlera Totale për Aktivitet</v>
      </c>
      <c r="K208" s="1291"/>
      <c r="L208" s="1292"/>
      <c r="M208" s="126">
        <f>VLOOKUP($A184,'(C5) Angazhimet'!$A$8:$F$168,4,FALSE)</f>
        <v>0</v>
      </c>
      <c r="N208" s="126">
        <f>VLOOKUP($A184,'(C5) Angazhimet'!$A$8:$F$168,5,FALSE)</f>
        <v>0</v>
      </c>
      <c r="O208" s="126">
        <f>VLOOKUP($A184,'(C5) Angazhimet'!$A$8:$F$168,6,FALSE)</f>
        <v>0</v>
      </c>
    </row>
    <row r="209" spans="1:15" ht="12.75" x14ac:dyDescent="0.2">
      <c r="A209" s="121" t="str">
        <f t="shared" si="52"/>
        <v>Subvencione</v>
      </c>
      <c r="B209" s="1229">
        <f t="shared" si="52"/>
        <v>603</v>
      </c>
      <c r="C209" s="1230">
        <f t="shared" si="52"/>
        <v>0</v>
      </c>
      <c r="D209" s="1231">
        <f t="shared" si="52"/>
        <v>0</v>
      </c>
      <c r="E209" s="36"/>
      <c r="F209" s="36"/>
      <c r="G209" s="36"/>
      <c r="H209" s="52"/>
      <c r="I209" s="279" t="str">
        <f>I170</f>
        <v>Qëllime</v>
      </c>
      <c r="J209" s="1290" t="str">
        <f>J170</f>
        <v>Shpenzimet kapitale</v>
      </c>
      <c r="K209" s="1291"/>
      <c r="L209" s="1292"/>
      <c r="M209" s="125"/>
      <c r="N209" s="125"/>
      <c r="O209" s="129"/>
    </row>
    <row r="210" spans="1:15" ht="12.75" x14ac:dyDescent="0.2">
      <c r="A210" s="121" t="str">
        <f t="shared" si="52"/>
        <v>Të tjera transferta korrente të brendshme</v>
      </c>
      <c r="B210" s="1229">
        <f t="shared" si="52"/>
        <v>604</v>
      </c>
      <c r="C210" s="1230">
        <f t="shared" si="52"/>
        <v>0</v>
      </c>
      <c r="D210" s="1231">
        <f t="shared" si="52"/>
        <v>0</v>
      </c>
      <c r="E210" s="36"/>
      <c r="F210" s="36"/>
      <c r="G210" s="36"/>
      <c r="H210" s="52"/>
      <c r="I210" s="276"/>
      <c r="J210" s="1290" t="str">
        <f>J171</f>
        <v>Mallra dhe shërbime</v>
      </c>
      <c r="K210" s="1291"/>
      <c r="L210" s="1292"/>
      <c r="M210" s="125"/>
      <c r="N210" s="125"/>
      <c r="O210" s="129"/>
    </row>
    <row r="211" spans="1:15" ht="12.75" x14ac:dyDescent="0.2">
      <c r="A211" s="121" t="str">
        <f t="shared" si="52"/>
        <v>Transferta korrente të huaja</v>
      </c>
      <c r="B211" s="1229">
        <f t="shared" si="52"/>
        <v>605</v>
      </c>
      <c r="C211" s="1230">
        <f t="shared" si="52"/>
        <v>0</v>
      </c>
      <c r="D211" s="1231">
        <f t="shared" si="52"/>
        <v>0</v>
      </c>
      <c r="E211" s="36"/>
      <c r="F211" s="36"/>
      <c r="G211" s="36"/>
      <c r="H211" s="52"/>
      <c r="I211" s="276"/>
      <c r="J211" s="1290" t="str">
        <f>J172</f>
        <v>Qëllime të mëtejshme</v>
      </c>
      <c r="K211" s="1291"/>
      <c r="L211" s="1292"/>
      <c r="M211" s="125"/>
      <c r="N211" s="125"/>
      <c r="O211" s="129"/>
    </row>
    <row r="212" spans="1:15" ht="12.75" x14ac:dyDescent="0.2">
      <c r="A212" s="121" t="str">
        <f t="shared" si="52"/>
        <v>Transferta për Buxhetet Familiare dhe Individët</v>
      </c>
      <c r="B212" s="1229">
        <f t="shared" si="52"/>
        <v>606</v>
      </c>
      <c r="C212" s="1230">
        <f t="shared" si="52"/>
        <v>0</v>
      </c>
      <c r="D212" s="1231">
        <f t="shared" si="52"/>
        <v>0</v>
      </c>
      <c r="E212" s="36"/>
      <c r="F212" s="36"/>
      <c r="G212" s="36"/>
      <c r="H212" s="52"/>
      <c r="I212" s="276"/>
      <c r="J212" s="1286"/>
      <c r="K212" s="1286"/>
      <c r="L212" s="1286"/>
      <c r="M212" s="300" t="str">
        <f>IF(SUM(M209:M211)=M208,"OK","STOP")</f>
        <v>OK</v>
      </c>
      <c r="N212" s="300" t="str">
        <f>IF(SUM(N209:N211)=N208,"OK","STOP")</f>
        <v>OK</v>
      </c>
      <c r="O212" s="300" t="str">
        <f>IF(SUM(O209:O211)=O208,"OK","STOP")</f>
        <v>OK</v>
      </c>
    </row>
    <row r="213" spans="1:15" ht="12.75" x14ac:dyDescent="0.2">
      <c r="A213" s="564" t="str">
        <f t="shared" si="52"/>
        <v>Shpenzimet kapitale</v>
      </c>
      <c r="B213" s="1256" t="str">
        <f t="shared" si="52"/>
        <v>230 / 231</v>
      </c>
      <c r="C213" s="1257">
        <f t="shared" si="52"/>
        <v>0</v>
      </c>
      <c r="D213" s="1258">
        <f t="shared" si="52"/>
        <v>0</v>
      </c>
      <c r="E213" s="126"/>
      <c r="F213" s="126"/>
      <c r="G213" s="126"/>
      <c r="H213" s="52"/>
      <c r="I213" s="367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2.75" x14ac:dyDescent="0.2">
      <c r="A214" s="121" t="str">
        <f t="shared" si="52"/>
        <v>Rezerva</v>
      </c>
      <c r="B214" s="1229">
        <f t="shared" si="52"/>
        <v>609</v>
      </c>
      <c r="C214" s="1230">
        <f t="shared" si="52"/>
        <v>0</v>
      </c>
      <c r="D214" s="1231">
        <f t="shared" si="52"/>
        <v>0</v>
      </c>
      <c r="E214" s="36"/>
      <c r="F214" s="36"/>
      <c r="G214" s="36"/>
      <c r="H214" s="52"/>
      <c r="I214" s="365">
        <f>M187</f>
        <v>2022</v>
      </c>
      <c r="J214" s="1271"/>
      <c r="K214" s="1272"/>
      <c r="L214" s="1272"/>
      <c r="M214" s="1272"/>
      <c r="N214" s="1272"/>
      <c r="O214" s="1273"/>
    </row>
    <row r="215" spans="1:15" ht="12.75" x14ac:dyDescent="0.2">
      <c r="A215" s="121" t="str">
        <f t="shared" si="52"/>
        <v>Interesa per kredi direkte ose bono</v>
      </c>
      <c r="B215" s="1259">
        <f t="shared" si="52"/>
        <v>650</v>
      </c>
      <c r="C215" s="1260">
        <f t="shared" si="52"/>
        <v>0</v>
      </c>
      <c r="D215" s="1261">
        <f t="shared" si="52"/>
        <v>0</v>
      </c>
      <c r="E215" s="36"/>
      <c r="F215" s="36"/>
      <c r="G215" s="36"/>
      <c r="H215" s="52"/>
      <c r="I215" s="366"/>
      <c r="J215" s="1274"/>
      <c r="K215" s="1275"/>
      <c r="L215" s="1275"/>
      <c r="M215" s="1275"/>
      <c r="N215" s="1275"/>
      <c r="O215" s="1276"/>
    </row>
    <row r="216" spans="1:15" ht="12.75" x14ac:dyDescent="0.2">
      <c r="A216" s="239" t="str">
        <f>A99</f>
        <v>Të tjera</v>
      </c>
      <c r="B216" s="1229" t="str">
        <f>B99</f>
        <v>69 / ?</v>
      </c>
      <c r="C216" s="1230">
        <f>C99</f>
        <v>0</v>
      </c>
      <c r="D216" s="273" t="str">
        <f>IF(OR(E216&lt;0,F216&lt;0,G216&lt;0),"STOP","OK!")</f>
        <v>OK!</v>
      </c>
      <c r="E216" s="127">
        <f>-E204+E189-(SUM(E206:E215))</f>
        <v>0</v>
      </c>
      <c r="F216" s="270">
        <f>-F204+F189-(SUM(F206:F215))</f>
        <v>0</v>
      </c>
      <c r="G216" s="270">
        <f>-G204+G189-(SUM(G206:G215))</f>
        <v>0</v>
      </c>
      <c r="H216" s="52"/>
      <c r="I216" s="365">
        <f>N187</f>
        <v>2023</v>
      </c>
      <c r="J216" s="1271"/>
      <c r="K216" s="1272"/>
      <c r="L216" s="1272"/>
      <c r="M216" s="1272"/>
      <c r="N216" s="1272"/>
      <c r="O216" s="1273"/>
    </row>
    <row r="217" spans="1:15" ht="12.75" x14ac:dyDescent="0.2">
      <c r="A217" s="121" t="str">
        <f>A100</f>
        <v>SHPENZIME KORRENTE</v>
      </c>
      <c r="B217" s="1262"/>
      <c r="C217" s="1263"/>
      <c r="D217" s="1264"/>
      <c r="E217" s="126">
        <f>SUM(E206:E216)</f>
        <v>0</v>
      </c>
      <c r="F217" s="126">
        <f>SUM(F206:F216)</f>
        <v>0</v>
      </c>
      <c r="G217" s="126">
        <f>SUM(G206:G216)</f>
        <v>0</v>
      </c>
      <c r="H217" s="52"/>
      <c r="I217" s="366"/>
      <c r="J217" s="1277"/>
      <c r="K217" s="1278"/>
      <c r="L217" s="1278"/>
      <c r="M217" s="1278"/>
      <c r="N217" s="1278"/>
      <c r="O217" s="1279"/>
    </row>
    <row r="218" spans="1:15" ht="12.75" x14ac:dyDescent="0.2">
      <c r="A218" s="122"/>
      <c r="B218" s="201"/>
      <c r="C218" s="123"/>
      <c r="D218" s="123"/>
      <c r="E218" s="10"/>
      <c r="F218" s="10"/>
      <c r="G218" s="130"/>
      <c r="H218" s="52"/>
      <c r="I218" s="365">
        <f>O187</f>
        <v>2024</v>
      </c>
      <c r="J218" s="1271"/>
      <c r="K218" s="1272"/>
      <c r="L218" s="1272"/>
      <c r="M218" s="1272"/>
      <c r="N218" s="1272"/>
      <c r="O218" s="1273"/>
    </row>
    <row r="219" spans="1:15" ht="12.75" x14ac:dyDescent="0.2">
      <c r="A219" s="134" t="str">
        <f>A102</f>
        <v>SHPENZIME TË PRITSHME</v>
      </c>
      <c r="B219" s="33">
        <f>B189</f>
        <v>0</v>
      </c>
      <c r="C219" s="33">
        <f>C189</f>
        <v>0</v>
      </c>
      <c r="D219" s="33">
        <f>D189</f>
        <v>0</v>
      </c>
      <c r="E219" s="126">
        <f>E204+E217</f>
        <v>0</v>
      </c>
      <c r="F219" s="126">
        <f>F204+F217</f>
        <v>0</v>
      </c>
      <c r="G219" s="126">
        <f>G204+G217</f>
        <v>0</v>
      </c>
      <c r="H219" s="52"/>
      <c r="I219" s="366"/>
      <c r="J219" s="1277"/>
      <c r="K219" s="1278"/>
      <c r="L219" s="1278"/>
      <c r="M219" s="1278"/>
      <c r="N219" s="1278"/>
      <c r="O219" s="1279"/>
    </row>
    <row r="222" spans="1:15" ht="17.25" hidden="1" customHeight="1" x14ac:dyDescent="0.2">
      <c r="A222" s="204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17.25" hidden="1" customHeight="1" x14ac:dyDescent="0.2">
      <c r="A223" s="262"/>
      <c r="B223" s="1225"/>
      <c r="C223" s="1225"/>
      <c r="D223" s="1225"/>
      <c r="E223" s="1225"/>
      <c r="F223" s="1225"/>
      <c r="G223" s="1225"/>
      <c r="H223" s="1225"/>
      <c r="I223" s="1225"/>
      <c r="J223" s="1225"/>
      <c r="K223" s="1225"/>
      <c r="L223" s="1225"/>
      <c r="M223" s="1225"/>
      <c r="N223" s="1225"/>
      <c r="O223" s="1225"/>
    </row>
    <row r="224" spans="1:15" ht="21.75" hidden="1" customHeight="1" x14ac:dyDescent="0.2">
      <c r="A224" s="1221"/>
      <c r="B224" s="1222"/>
      <c r="C224" s="1222"/>
      <c r="D224" s="1222"/>
      <c r="E224" s="1222"/>
      <c r="F224" s="1222"/>
      <c r="G224" s="1242"/>
      <c r="H224" s="128"/>
      <c r="I224" s="1243"/>
      <c r="J224" s="1222"/>
      <c r="K224" s="1222"/>
      <c r="L224" s="1222"/>
      <c r="M224" s="1222"/>
      <c r="N224" s="1222"/>
      <c r="O224" s="1242"/>
    </row>
    <row r="225" spans="1:15" ht="18.75" hidden="1" customHeight="1" x14ac:dyDescent="0.2">
      <c r="A225" s="202"/>
      <c r="B225" s="363"/>
      <c r="C225" s="363"/>
      <c r="D225" s="363"/>
      <c r="E225" s="238"/>
      <c r="F225" s="238"/>
      <c r="G225" s="238"/>
      <c r="H225" s="203"/>
      <c r="I225" s="360"/>
      <c r="J225" s="363"/>
      <c r="K225" s="363"/>
      <c r="L225" s="363"/>
      <c r="M225" s="238"/>
      <c r="N225" s="238"/>
      <c r="O225" s="238"/>
    </row>
    <row r="226" spans="1:15" ht="12.75" hidden="1" x14ac:dyDescent="0.2">
      <c r="A226" s="380"/>
      <c r="B226" s="200"/>
      <c r="C226" s="368"/>
      <c r="D226" s="281"/>
      <c r="E226" s="8"/>
      <c r="F226" s="8"/>
      <c r="G226" s="381"/>
      <c r="H226" s="128"/>
      <c r="I226" s="369"/>
      <c r="J226" s="305"/>
      <c r="K226" s="305"/>
      <c r="L226" s="305"/>
      <c r="M226" s="305"/>
      <c r="N226" s="305"/>
      <c r="O226" s="306"/>
    </row>
    <row r="227" spans="1:15" ht="12.75" hidden="1" x14ac:dyDescent="0.2">
      <c r="A227" s="134"/>
      <c r="B227" s="33"/>
      <c r="C227" s="33"/>
      <c r="D227" s="33"/>
      <c r="E227" s="36"/>
      <c r="F227" s="36"/>
      <c r="G227" s="36"/>
      <c r="H227" s="128"/>
      <c r="I227" s="1226"/>
      <c r="J227" s="1227"/>
      <c r="K227" s="1227"/>
      <c r="L227" s="1227"/>
      <c r="M227" s="1227"/>
      <c r="N227" s="1227"/>
      <c r="O227" s="1228"/>
    </row>
    <row r="228" spans="1:15" ht="12.75" hidden="1" x14ac:dyDescent="0.2">
      <c r="A228" s="122"/>
      <c r="B228" s="201"/>
      <c r="C228" s="123"/>
      <c r="D228" s="123"/>
      <c r="E228" s="10"/>
      <c r="F228" s="10"/>
      <c r="G228" s="130"/>
      <c r="H228" s="10"/>
      <c r="I228" s="134"/>
      <c r="J228" s="34"/>
      <c r="K228" s="34"/>
      <c r="L228" s="34"/>
      <c r="M228" s="36"/>
      <c r="N228" s="36"/>
      <c r="O228" s="36"/>
    </row>
    <row r="229" spans="1:15" ht="12.75" hidden="1" x14ac:dyDescent="0.2">
      <c r="A229" s="1232"/>
      <c r="B229" s="1233"/>
      <c r="C229" s="1233"/>
      <c r="D229" s="1233"/>
      <c r="E229" s="1233"/>
      <c r="F229" s="1233"/>
      <c r="G229" s="1234"/>
      <c r="H229" s="10"/>
    </row>
    <row r="230" spans="1:15" ht="12.75" hidden="1" x14ac:dyDescent="0.2">
      <c r="A230" s="1226"/>
      <c r="B230" s="1227"/>
      <c r="C230" s="1227"/>
      <c r="D230" s="1227"/>
      <c r="E230" s="1227"/>
      <c r="F230" s="1227"/>
      <c r="G230" s="1228"/>
      <c r="H230" s="30"/>
      <c r="I230" s="1226"/>
      <c r="J230" s="1227"/>
      <c r="K230" s="1227"/>
      <c r="L230" s="1227"/>
      <c r="M230" s="1227"/>
      <c r="N230" s="1227"/>
      <c r="O230" s="1228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30"/>
      <c r="I232" s="339"/>
      <c r="J232" s="336"/>
      <c r="K232" s="338"/>
      <c r="L232" s="337"/>
      <c r="M232" s="125"/>
      <c r="N232" s="125"/>
      <c r="O232" s="129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52"/>
      <c r="I233" s="339"/>
      <c r="J233" s="336"/>
      <c r="K233" s="338"/>
      <c r="L233" s="337"/>
      <c r="M233" s="264"/>
      <c r="N233" s="479"/>
      <c r="O233" s="481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8"/>
      <c r="I234" s="339"/>
      <c r="J234" s="336"/>
      <c r="K234" s="338"/>
      <c r="L234" s="337"/>
      <c r="M234" s="125"/>
      <c r="N234" s="125"/>
      <c r="O234" s="129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  <c r="I235" s="339"/>
      <c r="J235" s="34"/>
      <c r="K235" s="34"/>
      <c r="L235" s="34"/>
      <c r="M235" s="126"/>
      <c r="N235" s="126"/>
      <c r="O235" s="126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  <c r="I237" s="134"/>
      <c r="J237" s="33"/>
      <c r="K237" s="33"/>
      <c r="L237" s="33"/>
      <c r="M237" s="126"/>
      <c r="N237" s="126"/>
      <c r="O237" s="126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</row>
    <row r="241" spans="1:15" ht="12.75" hidden="1" x14ac:dyDescent="0.2">
      <c r="A241" s="121"/>
      <c r="B241" s="1229"/>
      <c r="C241" s="1230"/>
      <c r="D241" s="1231"/>
      <c r="E241" s="36"/>
      <c r="F241" s="36"/>
      <c r="G241" s="36"/>
      <c r="H241" s="52"/>
      <c r="I241" s="1235"/>
      <c r="J241" s="1236"/>
      <c r="K241" s="1236"/>
      <c r="L241" s="1236"/>
      <c r="M241" s="1236"/>
      <c r="N241" s="1236"/>
      <c r="O241" s="1237"/>
    </row>
    <row r="242" spans="1:15" ht="12.75" hidden="1" customHeight="1" x14ac:dyDescent="0.2">
      <c r="A242" s="268"/>
      <c r="B242" s="1229"/>
      <c r="C242" s="1230"/>
      <c r="D242" s="1231"/>
      <c r="E242" s="126"/>
      <c r="F242" s="126"/>
      <c r="G242" s="126"/>
      <c r="H242" s="52"/>
      <c r="I242" s="1238"/>
      <c r="J242" s="1239"/>
      <c r="K242" s="1239"/>
      <c r="L242" s="1239"/>
      <c r="M242" s="1239"/>
      <c r="N242" s="1239"/>
      <c r="O242" s="1240"/>
    </row>
    <row r="243" spans="1:15" ht="12.75" hidden="1" x14ac:dyDescent="0.2">
      <c r="A243" s="1226"/>
      <c r="B243" s="1227"/>
      <c r="C243" s="1227"/>
      <c r="D243" s="1227"/>
      <c r="E243" s="1227"/>
      <c r="F243" s="1227"/>
      <c r="G243" s="1228"/>
      <c r="H243" s="52"/>
      <c r="I243" s="17"/>
      <c r="J243" s="18"/>
      <c r="K243" s="18"/>
      <c r="L243" s="18"/>
      <c r="M243" s="18"/>
      <c r="N243" s="18"/>
      <c r="O243" s="18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  <c r="I244" s="52"/>
      <c r="J244" s="52"/>
      <c r="K244" s="52"/>
      <c r="L244" s="14"/>
      <c r="M244" s="53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39"/>
      <c r="J246" s="1290"/>
      <c r="K246" s="1291"/>
      <c r="L246" s="1292"/>
      <c r="M246" s="126"/>
      <c r="N246" s="126"/>
      <c r="O246" s="126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9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90"/>
      <c r="K249" s="1291"/>
      <c r="L249" s="1292"/>
      <c r="M249" s="125"/>
      <c r="N249" s="125"/>
      <c r="O249" s="129"/>
    </row>
    <row r="250" spans="1:15" ht="12.75" hidden="1" x14ac:dyDescent="0.2">
      <c r="A250" s="121"/>
      <c r="B250" s="1229"/>
      <c r="C250" s="1230"/>
      <c r="D250" s="1231"/>
      <c r="E250" s="36"/>
      <c r="F250" s="36"/>
      <c r="G250" s="36"/>
      <c r="H250" s="52"/>
      <c r="I250" s="276"/>
      <c r="J250" s="1286"/>
      <c r="K250" s="1286"/>
      <c r="L250" s="1286"/>
      <c r="M250" s="300" t="str">
        <f>IF(SUM(M247:M249)=M246,"OK","STOP")</f>
        <v>OK</v>
      </c>
      <c r="N250" s="300" t="str">
        <f>IF(SUM(N247:N249)=N246,"OK","STOP")</f>
        <v>OK</v>
      </c>
      <c r="O250" s="300" t="str">
        <f>IF(SUM(O247:O249)=O246,"OK","STOP")</f>
        <v>OK</v>
      </c>
    </row>
    <row r="251" spans="1:15" ht="12.75" hidden="1" x14ac:dyDescent="0.2">
      <c r="A251" s="121"/>
      <c r="B251" s="1229"/>
      <c r="C251" s="1230"/>
      <c r="D251" s="1231"/>
      <c r="E251" s="126"/>
      <c r="F251" s="126"/>
      <c r="G251" s="126"/>
      <c r="H251" s="52"/>
      <c r="I251" s="367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2.75" hidden="1" x14ac:dyDescent="0.2">
      <c r="A252" s="121"/>
      <c r="B252" s="1229"/>
      <c r="C252" s="1230"/>
      <c r="D252" s="1231"/>
      <c r="E252" s="36"/>
      <c r="F252" s="36"/>
      <c r="G252" s="36"/>
      <c r="H252" s="52"/>
      <c r="I252" s="365">
        <f>M225</f>
        <v>0</v>
      </c>
      <c r="J252" s="1271"/>
      <c r="K252" s="1272"/>
      <c r="L252" s="1272"/>
      <c r="M252" s="1272"/>
      <c r="N252" s="1272"/>
      <c r="O252" s="1273"/>
    </row>
    <row r="253" spans="1:15" ht="12.75" hidden="1" x14ac:dyDescent="0.2">
      <c r="A253" s="121"/>
      <c r="B253" s="1259"/>
      <c r="C253" s="1260"/>
      <c r="D253" s="1261"/>
      <c r="E253" s="36"/>
      <c r="F253" s="36"/>
      <c r="G253" s="36"/>
      <c r="H253" s="52"/>
      <c r="I253" s="366"/>
      <c r="J253" s="1274"/>
      <c r="K253" s="1275"/>
      <c r="L253" s="1275"/>
      <c r="M253" s="1275"/>
      <c r="N253" s="1275"/>
      <c r="O253" s="1276"/>
    </row>
    <row r="254" spans="1:15" ht="12.75" hidden="1" x14ac:dyDescent="0.2">
      <c r="A254" s="239"/>
      <c r="B254" s="1229"/>
      <c r="C254" s="1230"/>
      <c r="D254" s="273"/>
      <c r="E254" s="270"/>
      <c r="F254" s="270"/>
      <c r="G254" s="270"/>
      <c r="H254" s="52"/>
      <c r="I254" s="365">
        <f>N225</f>
        <v>0</v>
      </c>
      <c r="J254" s="1271"/>
      <c r="K254" s="1272"/>
      <c r="L254" s="1272"/>
      <c r="M254" s="1272"/>
      <c r="N254" s="1272"/>
      <c r="O254" s="1273"/>
    </row>
    <row r="255" spans="1:15" ht="12.75" hidden="1" x14ac:dyDescent="0.2">
      <c r="A255" s="121"/>
      <c r="B255" s="1262"/>
      <c r="C255" s="1263"/>
      <c r="D255" s="1264"/>
      <c r="E255" s="126"/>
      <c r="F255" s="126"/>
      <c r="G255" s="126"/>
      <c r="H255" s="52"/>
      <c r="I255" s="366"/>
      <c r="J255" s="1277"/>
      <c r="K255" s="1278"/>
      <c r="L255" s="1278"/>
      <c r="M255" s="1278"/>
      <c r="N255" s="1278"/>
      <c r="O255" s="1279"/>
    </row>
    <row r="256" spans="1:15" ht="12.75" hidden="1" x14ac:dyDescent="0.2">
      <c r="A256" s="122"/>
      <c r="B256" s="201"/>
      <c r="C256" s="123"/>
      <c r="D256" s="123"/>
      <c r="E256" s="10"/>
      <c r="F256" s="10"/>
      <c r="G256" s="130"/>
      <c r="H256" s="52"/>
      <c r="I256" s="365">
        <f>O225</f>
        <v>0</v>
      </c>
      <c r="J256" s="1271"/>
      <c r="K256" s="1272"/>
      <c r="L256" s="1272"/>
      <c r="M256" s="1272"/>
      <c r="N256" s="1272"/>
      <c r="O256" s="1273"/>
    </row>
    <row r="257" spans="1:15" ht="12.75" hidden="1" x14ac:dyDescent="0.2">
      <c r="A257" s="134"/>
      <c r="B257" s="33"/>
      <c r="C257" s="33"/>
      <c r="D257" s="33"/>
      <c r="E257" s="126"/>
      <c r="F257" s="126"/>
      <c r="G257" s="126"/>
      <c r="H257" s="52"/>
      <c r="I257" s="366"/>
      <c r="J257" s="1277"/>
      <c r="K257" s="1278"/>
      <c r="L257" s="1278"/>
      <c r="M257" s="1278"/>
      <c r="N257" s="1278"/>
      <c r="O257" s="1279"/>
    </row>
    <row r="258" spans="1:15" ht="17.25" hidden="1" customHeight="1" x14ac:dyDescent="0.2"/>
    <row r="259" spans="1:15" ht="17.25" hidden="1" customHeight="1" x14ac:dyDescent="0.2"/>
    <row r="260" spans="1:15" ht="17.25" hidden="1" customHeight="1" x14ac:dyDescent="0.2">
      <c r="A260" s="204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17.25" hidden="1" customHeight="1" x14ac:dyDescent="0.2">
      <c r="A261" s="262"/>
      <c r="B261" s="1225"/>
      <c r="C261" s="1225"/>
      <c r="D261" s="1225"/>
      <c r="E261" s="1225"/>
      <c r="F261" s="1225"/>
      <c r="G261" s="1225"/>
      <c r="H261" s="1225"/>
      <c r="I261" s="1225"/>
      <c r="J261" s="1225"/>
      <c r="K261" s="1225"/>
      <c r="L261" s="1225"/>
      <c r="M261" s="1225"/>
      <c r="N261" s="1225"/>
      <c r="O261" s="1225"/>
    </row>
    <row r="262" spans="1:15" ht="22.5" hidden="1" customHeight="1" x14ac:dyDescent="0.2">
      <c r="A262" s="1221"/>
      <c r="B262" s="1222"/>
      <c r="C262" s="1222"/>
      <c r="D262" s="1222"/>
      <c r="E262" s="1222"/>
      <c r="F262" s="1222"/>
      <c r="G262" s="1242"/>
      <c r="H262" s="128"/>
      <c r="I262" s="1243"/>
      <c r="J262" s="1222"/>
      <c r="K262" s="1222"/>
      <c r="L262" s="1222"/>
      <c r="M262" s="1222"/>
      <c r="N262" s="1222"/>
      <c r="O262" s="1242"/>
    </row>
    <row r="263" spans="1:15" ht="20.25" hidden="1" customHeight="1" x14ac:dyDescent="0.2">
      <c r="A263" s="202"/>
      <c r="B263" s="236"/>
      <c r="C263" s="236"/>
      <c r="D263" s="236"/>
      <c r="E263" s="237"/>
      <c r="F263" s="237"/>
      <c r="G263" s="237"/>
      <c r="H263" s="203"/>
      <c r="I263" s="269"/>
      <c r="J263" s="236"/>
      <c r="K263" s="236"/>
      <c r="L263" s="236"/>
      <c r="M263" s="237"/>
      <c r="N263" s="237"/>
      <c r="O263" s="237"/>
    </row>
    <row r="264" spans="1:15" ht="12.75" hidden="1" x14ac:dyDescent="0.2">
      <c r="A264" s="122"/>
      <c r="B264" s="201"/>
      <c r="C264" s="123"/>
      <c r="D264" s="123"/>
      <c r="E264" s="10"/>
      <c r="F264" s="10"/>
      <c r="G264" s="130"/>
      <c r="H264" s="128"/>
    </row>
    <row r="265" spans="1:15" ht="12.75" hidden="1" x14ac:dyDescent="0.2">
      <c r="A265" s="134"/>
      <c r="B265" s="33"/>
      <c r="C265" s="33"/>
      <c r="D265" s="33"/>
      <c r="E265" s="36"/>
      <c r="F265" s="36"/>
      <c r="G265" s="36"/>
      <c r="H265" s="128"/>
      <c r="I265" s="1226"/>
      <c r="J265" s="1227"/>
      <c r="K265" s="1227"/>
      <c r="L265" s="1227"/>
      <c r="M265" s="1227"/>
      <c r="N265" s="1227"/>
      <c r="O265" s="1228"/>
    </row>
    <row r="266" spans="1:15" ht="12.75" hidden="1" x14ac:dyDescent="0.2">
      <c r="A266" s="122"/>
      <c r="B266" s="201"/>
      <c r="C266" s="123"/>
      <c r="D266" s="123"/>
      <c r="E266" s="10"/>
      <c r="F266" s="10"/>
      <c r="G266" s="130"/>
      <c r="H266" s="10"/>
      <c r="I266" s="134"/>
      <c r="J266" s="34"/>
      <c r="K266" s="34"/>
      <c r="L266" s="34"/>
      <c r="M266" s="36"/>
      <c r="N266" s="36"/>
      <c r="O266" s="36"/>
    </row>
    <row r="267" spans="1:15" ht="12.75" hidden="1" x14ac:dyDescent="0.2">
      <c r="A267" s="1293"/>
      <c r="B267" s="1294"/>
      <c r="C267" s="1294"/>
      <c r="D267" s="1294"/>
      <c r="E267" s="1294"/>
      <c r="F267" s="1294"/>
      <c r="G267" s="1295"/>
      <c r="H267" s="10"/>
    </row>
    <row r="268" spans="1:15" ht="12.75" hidden="1" x14ac:dyDescent="0.2">
      <c r="A268" s="1226"/>
      <c r="B268" s="1227"/>
      <c r="C268" s="1227"/>
      <c r="D268" s="1227"/>
      <c r="E268" s="1227"/>
      <c r="F268" s="1227"/>
      <c r="G268" s="1228"/>
      <c r="H268" s="30"/>
      <c r="I268" s="333"/>
      <c r="J268" s="334"/>
      <c r="K268" s="334"/>
      <c r="L268" s="334"/>
      <c r="M268" s="334"/>
      <c r="N268" s="334"/>
      <c r="O268" s="335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30"/>
      <c r="I270" s="339"/>
      <c r="J270" s="336"/>
      <c r="K270" s="338"/>
      <c r="L270" s="337"/>
      <c r="M270" s="125"/>
      <c r="N270" s="125"/>
      <c r="O270" s="12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52"/>
      <c r="I271" s="339"/>
      <c r="J271" s="336"/>
      <c r="K271" s="338"/>
      <c r="L271" s="337"/>
      <c r="M271" s="264"/>
      <c r="N271" s="479"/>
      <c r="O271" s="47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8"/>
      <c r="I272" s="339"/>
      <c r="J272" s="336"/>
      <c r="K272" s="338"/>
      <c r="L272" s="337"/>
      <c r="M272" s="125"/>
      <c r="N272" s="125"/>
      <c r="O272" s="129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  <c r="I273" s="339"/>
      <c r="J273" s="34"/>
      <c r="K273" s="34"/>
      <c r="L273" s="34"/>
      <c r="M273" s="126"/>
      <c r="N273" s="126"/>
      <c r="O273" s="126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  <c r="I275" s="134"/>
      <c r="J275" s="33"/>
      <c r="K275" s="33"/>
      <c r="L275" s="33"/>
      <c r="M275" s="126"/>
      <c r="N275" s="126"/>
      <c r="O275" s="126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</row>
    <row r="279" spans="1:15" ht="12.75" hidden="1" x14ac:dyDescent="0.2">
      <c r="A279" s="121"/>
      <c r="B279" s="1229"/>
      <c r="C279" s="1230"/>
      <c r="D279" s="1231"/>
      <c r="E279" s="36"/>
      <c r="F279" s="36"/>
      <c r="G279" s="36"/>
      <c r="H279" s="52"/>
      <c r="I279" s="1235"/>
      <c r="J279" s="1236"/>
      <c r="K279" s="1236"/>
      <c r="L279" s="1236"/>
      <c r="M279" s="1236"/>
      <c r="N279" s="1236"/>
      <c r="O279" s="1237"/>
    </row>
    <row r="280" spans="1:15" ht="12.75" hidden="1" customHeight="1" x14ac:dyDescent="0.2">
      <c r="A280" s="268"/>
      <c r="B280" s="1229"/>
      <c r="C280" s="1230"/>
      <c r="D280" s="1231"/>
      <c r="E280" s="126"/>
      <c r="F280" s="126"/>
      <c r="G280" s="126"/>
      <c r="H280" s="52"/>
      <c r="I280" s="1238"/>
      <c r="J280" s="1239"/>
      <c r="K280" s="1239"/>
      <c r="L280" s="1239"/>
      <c r="M280" s="1239"/>
      <c r="N280" s="1239"/>
      <c r="O280" s="1240"/>
    </row>
    <row r="281" spans="1:15" ht="12.75" hidden="1" x14ac:dyDescent="0.2">
      <c r="A281" s="1226"/>
      <c r="B281" s="1227"/>
      <c r="C281" s="1227"/>
      <c r="D281" s="1227"/>
      <c r="E281" s="1227"/>
      <c r="F281" s="1227"/>
      <c r="G281" s="1228"/>
      <c r="H281" s="52"/>
      <c r="I281" s="17"/>
      <c r="J281" s="18"/>
      <c r="K281" s="18"/>
      <c r="L281" s="18"/>
      <c r="M281" s="18"/>
      <c r="N281" s="18"/>
      <c r="O281" s="18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  <c r="I282" s="52"/>
      <c r="J282" s="52"/>
      <c r="K282" s="52"/>
      <c r="L282" s="14"/>
      <c r="M282" s="53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39"/>
      <c r="J284" s="1297"/>
      <c r="K284" s="1298"/>
      <c r="L284" s="1299"/>
      <c r="M284" s="126"/>
      <c r="N284" s="126"/>
      <c r="O284" s="126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9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97"/>
      <c r="K287" s="1298"/>
      <c r="L287" s="1299"/>
      <c r="M287" s="125"/>
      <c r="N287" s="125"/>
      <c r="O287" s="129"/>
    </row>
    <row r="288" spans="1:15" ht="12.75" hidden="1" x14ac:dyDescent="0.2">
      <c r="A288" s="121"/>
      <c r="B288" s="1229"/>
      <c r="C288" s="1230"/>
      <c r="D288" s="1231"/>
      <c r="E288" s="36"/>
      <c r="F288" s="36"/>
      <c r="G288" s="36"/>
      <c r="H288" s="52"/>
      <c r="I288" s="276"/>
      <c r="J288" s="1286"/>
      <c r="K288" s="1286"/>
      <c r="L288" s="1286"/>
      <c r="M288" s="300" t="str">
        <f>IF(SUM(M285:M287)=M284,"OK","STOP")</f>
        <v>OK</v>
      </c>
      <c r="N288" s="300" t="str">
        <f>IF(SUM(N285:N287)=N284,"OK","STOP")</f>
        <v>OK</v>
      </c>
      <c r="O288" s="300" t="str">
        <f>IF(SUM(O285:O287)=O284,"OK","STOP")</f>
        <v>OK</v>
      </c>
    </row>
    <row r="289" spans="1:15" ht="12.75" hidden="1" x14ac:dyDescent="0.2">
      <c r="A289" s="121"/>
      <c r="B289" s="1229"/>
      <c r="C289" s="1230"/>
      <c r="D289" s="1231"/>
      <c r="E289" s="126"/>
      <c r="F289" s="126"/>
      <c r="G289" s="126"/>
      <c r="H289" s="52"/>
      <c r="I289" s="367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2.75" hidden="1" x14ac:dyDescent="0.2">
      <c r="A290" s="121"/>
      <c r="B290" s="1229"/>
      <c r="C290" s="1230"/>
      <c r="D290" s="1231"/>
      <c r="E290" s="36"/>
      <c r="F290" s="36"/>
      <c r="G290" s="36"/>
      <c r="H290" s="52"/>
      <c r="I290" s="365">
        <f>M263</f>
        <v>0</v>
      </c>
      <c r="J290" s="1271"/>
      <c r="K290" s="1272"/>
      <c r="L290" s="1272"/>
      <c r="M290" s="1272"/>
      <c r="N290" s="1272"/>
      <c r="O290" s="1273"/>
    </row>
    <row r="291" spans="1:15" ht="12.75" hidden="1" x14ac:dyDescent="0.2">
      <c r="A291" s="121"/>
      <c r="B291" s="1259"/>
      <c r="C291" s="1260"/>
      <c r="D291" s="1261"/>
      <c r="E291" s="36"/>
      <c r="F291" s="36"/>
      <c r="G291" s="36"/>
      <c r="H291" s="52"/>
      <c r="I291" s="366"/>
      <c r="J291" s="1274"/>
      <c r="K291" s="1275"/>
      <c r="L291" s="1275"/>
      <c r="M291" s="1275"/>
      <c r="N291" s="1275"/>
      <c r="O291" s="1276"/>
    </row>
    <row r="292" spans="1:15" ht="12.75" hidden="1" x14ac:dyDescent="0.2">
      <c r="A292" s="239"/>
      <c r="B292" s="1229"/>
      <c r="C292" s="1230"/>
      <c r="D292" s="273"/>
      <c r="E292" s="270"/>
      <c r="F292" s="270"/>
      <c r="G292" s="270"/>
      <c r="H292" s="52"/>
      <c r="I292" s="365">
        <f>N263</f>
        <v>0</v>
      </c>
      <c r="J292" s="1271"/>
      <c r="K292" s="1272"/>
      <c r="L292" s="1272"/>
      <c r="M292" s="1272"/>
      <c r="N292" s="1272"/>
      <c r="O292" s="1273"/>
    </row>
    <row r="293" spans="1:15" ht="12.75" hidden="1" x14ac:dyDescent="0.2">
      <c r="A293" s="121"/>
      <c r="B293" s="1262"/>
      <c r="C293" s="1263"/>
      <c r="D293" s="1264"/>
      <c r="E293" s="126"/>
      <c r="F293" s="126"/>
      <c r="G293" s="126"/>
      <c r="H293" s="52"/>
      <c r="I293" s="366"/>
      <c r="J293" s="1277"/>
      <c r="K293" s="1278"/>
      <c r="L293" s="1278"/>
      <c r="M293" s="1278"/>
      <c r="N293" s="1278"/>
      <c r="O293" s="1279"/>
    </row>
    <row r="294" spans="1:15" ht="12.75" hidden="1" x14ac:dyDescent="0.2">
      <c r="A294" s="122"/>
      <c r="B294" s="201"/>
      <c r="C294" s="123"/>
      <c r="D294" s="123"/>
      <c r="E294" s="10"/>
      <c r="F294" s="10"/>
      <c r="G294" s="130"/>
      <c r="H294" s="52"/>
      <c r="I294" s="365">
        <f>O263</f>
        <v>0</v>
      </c>
      <c r="J294" s="1271"/>
      <c r="K294" s="1272"/>
      <c r="L294" s="1272"/>
      <c r="M294" s="1272"/>
      <c r="N294" s="1272"/>
      <c r="O294" s="1273"/>
    </row>
    <row r="295" spans="1:15" ht="12.75" hidden="1" x14ac:dyDescent="0.2">
      <c r="A295" s="134"/>
      <c r="B295" s="33"/>
      <c r="C295" s="33"/>
      <c r="D295" s="33"/>
      <c r="E295" s="126"/>
      <c r="F295" s="126"/>
      <c r="G295" s="126"/>
      <c r="H295" s="52"/>
      <c r="I295" s="366"/>
      <c r="J295" s="1277"/>
      <c r="K295" s="1278"/>
      <c r="L295" s="1278"/>
      <c r="M295" s="1278"/>
      <c r="N295" s="1278"/>
      <c r="O295" s="1279"/>
    </row>
  </sheetData>
  <sheetProtection selectLockedCells="1"/>
  <mergeCells count="338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0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rgb="FFFF0000"/>
    <pageSetUpPr fitToPage="1"/>
  </sheetPr>
  <dimension ref="A1:O295"/>
  <sheetViews>
    <sheetView showGridLines="0" workbookViewId="0">
      <selection activeCell="J136" sqref="J136:O141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29.710937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Fjalori'!A72</f>
        <v>Nënfunksioni 9</v>
      </c>
      <c r="B2" s="1130" t="str">
        <f>+VLOOKUP($A2,'(B2) Struktura Organizative'!$A7:$E33,2,FALSE)</f>
        <v>047 Industri të tjera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Funksionale'!A54</f>
        <v>Programi 9a</v>
      </c>
      <c r="B6" s="1203"/>
      <c r="C6" s="1204" t="str">
        <f>VLOOKUP($A6,'(B3) Struktura Funksionale'!$A$7:$E$146,3,FALSE)</f>
        <v>Projekte Zhvillimi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Funksionale'!A55</f>
        <v>Programi 9b</v>
      </c>
      <c r="B7" s="1203"/>
      <c r="C7" s="1204" t="str">
        <f>VLOOKUP($A7,'(B3) Struktura Funksionale'!$A$7:$E$146,3,FALSE)</f>
        <v>Zhvillimi i turizmit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hidden="1" customHeight="1" x14ac:dyDescent="0.2">
      <c r="A8" s="1202" t="str">
        <f>'(B3) Struktura Funksionale'!A56</f>
        <v>Programi 9c</v>
      </c>
      <c r="B8" s="1203"/>
      <c r="C8" s="1204" t="str">
        <f>VLOOKUP($A8,'(B3) Struktura Funksionale'!$A$7:$E$146,3,FALSE)</f>
        <v>Rekreacioni</v>
      </c>
      <c r="D8" s="1205"/>
      <c r="E8" s="1205"/>
      <c r="F8" s="1205"/>
      <c r="G8" s="1205"/>
      <c r="H8" s="1206"/>
      <c r="I8" s="1204" t="str">
        <f>VLOOKUP($A8,'(B3) Struktura Funksionale'!$A$7:$E$146,4,FALSE)</f>
        <v>E detyrueshme</v>
      </c>
      <c r="J8" s="1205"/>
      <c r="K8" s="1206"/>
      <c r="L8" s="1204" t="str">
        <f>VLOOKUP($A8,'(B3) Struktura Funksionale'!$A$7:$E$146,5,FALSE)</f>
        <v>I veti</v>
      </c>
      <c r="M8" s="1205"/>
      <c r="N8" s="1205"/>
      <c r="O8" s="1206"/>
    </row>
    <row r="9" spans="1:15" ht="13.5" customHeight="1" x14ac:dyDescent="0.2">
      <c r="A9" s="1202" t="str">
        <f>'(B3) Struktura Funksionale'!A57</f>
        <v>Programi 9d</v>
      </c>
      <c r="B9" s="1203"/>
      <c r="C9" s="1204">
        <f>VLOOKUP($A9,'(B3) Struktura Funksionale'!$A$7:$E$146,3,FALSE)</f>
        <v>0</v>
      </c>
      <c r="D9" s="1205"/>
      <c r="E9" s="1205"/>
      <c r="F9" s="1205"/>
      <c r="G9" s="1205"/>
      <c r="H9" s="1206"/>
      <c r="I9" s="1204">
        <f>VLOOKUP($A9,'(B3) Struktura Funksionale'!$A$7:$E$146,4,FALSE)</f>
        <v>0</v>
      </c>
      <c r="J9" s="1205"/>
      <c r="K9" s="1206"/>
      <c r="L9" s="1204">
        <f>VLOOKUP($A9,'(B3) Struktura Funksionale'!$A$7:$E$146,5,FALSE)</f>
        <v>0</v>
      </c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9</v>
      </c>
      <c r="B14" s="1225" t="str">
        <f>B$2</f>
        <v>047 Industri të tjera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B72+B111+B150+B189+B227+B265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J73+J112+J151+J190+J228+J266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E76+E115+E154+E193+E231+E269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M76+M115+M154+M193+M231+M269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J80+J119+J158+J197+J235+J273</f>
        <v>0</v>
      </c>
      <c r="K27" s="33">
        <f>K80+K119+K158+K197+K235+K273</f>
        <v>0</v>
      </c>
      <c r="L27" s="33">
        <f>L80+L119+L158+L197+L235+L273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J82+J121+J160+J199+J237+J275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J88+J127+J166+J205+J243+J281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E89+E128+E167+E206+E244+E282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M91+M130+M169+M208+M246+M284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B102+B141+B180+B219+B257+B295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9</v>
      </c>
      <c r="B66" s="1225" t="str">
        <f t="shared" si="12"/>
        <v>047 Industri të tjera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9a</v>
      </c>
      <c r="B67" s="1225" t="str">
        <f>C6</f>
        <v>Projekte Zhvillimi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Funksionale'!B54</f>
        <v>04740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9</v>
      </c>
      <c r="B105" s="1225" t="str">
        <f t="shared" si="22"/>
        <v>047 Industri të tjera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9b</v>
      </c>
      <c r="B106" s="1225" t="str">
        <f>C7</f>
        <v>Zhvillimi i turizmit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 t="str">
        <f>'(B3) Struktura Funksionale'!B55</f>
        <v>04760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hidden="1" customHeight="1" x14ac:dyDescent="0.2">
      <c r="A144" s="204" t="str">
        <f t="shared" ref="A144:O144" si="33">A66</f>
        <v>Nënfunksioni 9</v>
      </c>
      <c r="B144" s="1225" t="str">
        <f t="shared" si="33"/>
        <v>047 Industri të tjera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hidden="1" customHeight="1" x14ac:dyDescent="0.2">
      <c r="A145" s="262" t="str">
        <f>A8</f>
        <v>Programi 9c</v>
      </c>
      <c r="B145" s="1225" t="str">
        <f>C8</f>
        <v>Rekreacioni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hidden="1" customHeight="1" x14ac:dyDescent="0.2">
      <c r="A146" s="562" t="str">
        <f>'(B3) Struktura Funksionale'!B56</f>
        <v>04742</v>
      </c>
      <c r="B146" s="485"/>
      <c r="C146" s="485"/>
      <c r="D146" s="485"/>
      <c r="E146" s="485"/>
      <c r="F146" s="485"/>
      <c r="G146" s="486"/>
      <c r="H146" s="487"/>
      <c r="I146" s="488"/>
      <c r="J146" s="485"/>
      <c r="K146" s="485"/>
      <c r="L146" s="485"/>
      <c r="M146" s="485"/>
      <c r="N146" s="485"/>
      <c r="O146" s="486"/>
    </row>
    <row r="147" spans="1:15" ht="22.5" hidden="1" customHeight="1" x14ac:dyDescent="0.2">
      <c r="A147" s="1221" t="str">
        <f t="shared" ref="A147:G147" si="34">A69</f>
        <v>SHPENZIME TË PRITSHME</v>
      </c>
      <c r="B147" s="1222">
        <f t="shared" si="34"/>
        <v>0</v>
      </c>
      <c r="C147" s="1222">
        <f t="shared" si="34"/>
        <v>0</v>
      </c>
      <c r="D147" s="1222">
        <f t="shared" si="34"/>
        <v>0</v>
      </c>
      <c r="E147" s="1222">
        <f t="shared" si="34"/>
        <v>0</v>
      </c>
      <c r="F147" s="1222">
        <f t="shared" si="34"/>
        <v>0</v>
      </c>
      <c r="G147" s="1242">
        <f t="shared" si="34"/>
        <v>0</v>
      </c>
      <c r="H147" s="128"/>
      <c r="I147" s="1243" t="str">
        <f t="shared" ref="I147:O147" si="35">I69</f>
        <v xml:space="preserve">TË ARDHURAT E PRITSHME </v>
      </c>
      <c r="J147" s="1222">
        <f t="shared" si="35"/>
        <v>0</v>
      </c>
      <c r="K147" s="1222">
        <f t="shared" si="35"/>
        <v>0</v>
      </c>
      <c r="L147" s="1222">
        <f t="shared" si="35"/>
        <v>0</v>
      </c>
      <c r="M147" s="1222">
        <f t="shared" si="35"/>
        <v>0</v>
      </c>
      <c r="N147" s="1222">
        <f t="shared" si="35"/>
        <v>0</v>
      </c>
      <c r="O147" s="1242">
        <f t="shared" si="35"/>
        <v>0</v>
      </c>
    </row>
    <row r="148" spans="1:15" ht="20.25" hidden="1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hidden="1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hidden="1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hidden="1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hidden="1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hidden="1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hidden="1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36"/>
      <c r="F154" s="36"/>
      <c r="G154" s="3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hidden="1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36"/>
      <c r="F155" s="36"/>
      <c r="G155" s="3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hidden="1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36"/>
      <c r="F156" s="36"/>
      <c r="G156" s="3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hidden="1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36"/>
      <c r="F157" s="36"/>
      <c r="G157" s="3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hidden="1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36"/>
      <c r="F158" s="36"/>
      <c r="G158" s="3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hidden="1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36"/>
      <c r="F159" s="36"/>
      <c r="G159" s="36"/>
      <c r="H159" s="52"/>
    </row>
    <row r="160" spans="1:15" ht="12.75" hidden="1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36"/>
      <c r="F160" s="36"/>
      <c r="G160" s="3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hidden="1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hidden="1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36"/>
      <c r="F162" s="36"/>
      <c r="G162" s="36"/>
      <c r="H162" s="52"/>
    </row>
    <row r="163" spans="1:15" ht="12.75" hidden="1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36"/>
      <c r="F163" s="36"/>
      <c r="G163" s="36"/>
      <c r="H163" s="52"/>
    </row>
    <row r="164" spans="1:15" ht="12.75" hidden="1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36"/>
      <c r="F164" s="36"/>
      <c r="G164" s="3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hidden="1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hidden="1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hidden="1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hidden="1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hidden="1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hidden="1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hidden="1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hidden="1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hidden="1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hidden="1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hidden="1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hidden="1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hidden="1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hidden="1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hidden="1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hidden="1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hidden="1" x14ac:dyDescent="0.2"/>
    <row r="182" spans="1:15" ht="12.75" hidden="1" x14ac:dyDescent="0.2"/>
    <row r="183" spans="1:15" ht="18.75" x14ac:dyDescent="0.2">
      <c r="A183" s="204" t="str">
        <f t="shared" ref="A183:O183" si="44">A66</f>
        <v>Nënfunksioni 9</v>
      </c>
      <c r="B183" s="1225" t="str">
        <f t="shared" si="44"/>
        <v>047 Industri të tjera</v>
      </c>
      <c r="C183" s="1225">
        <f t="shared" si="44"/>
        <v>0</v>
      </c>
      <c r="D183" s="1225">
        <f t="shared" si="44"/>
        <v>0</v>
      </c>
      <c r="E183" s="1225">
        <f t="shared" si="44"/>
        <v>0</v>
      </c>
      <c r="F183" s="1225">
        <f t="shared" si="44"/>
        <v>0</v>
      </c>
      <c r="G183" s="1225">
        <f t="shared" si="44"/>
        <v>0</v>
      </c>
      <c r="H183" s="1225">
        <f t="shared" si="44"/>
        <v>0</v>
      </c>
      <c r="I183" s="1225">
        <f t="shared" si="44"/>
        <v>0</v>
      </c>
      <c r="J183" s="1225">
        <f t="shared" si="44"/>
        <v>0</v>
      </c>
      <c r="K183" s="1225">
        <f t="shared" si="44"/>
        <v>0</v>
      </c>
      <c r="L183" s="1225">
        <f t="shared" si="44"/>
        <v>0</v>
      </c>
      <c r="M183" s="1225">
        <f t="shared" si="44"/>
        <v>0</v>
      </c>
      <c r="N183" s="1225">
        <f t="shared" si="44"/>
        <v>0</v>
      </c>
      <c r="O183" s="1225">
        <f t="shared" si="44"/>
        <v>0</v>
      </c>
    </row>
    <row r="184" spans="1:15" ht="18.75" x14ac:dyDescent="0.2">
      <c r="A184" s="262" t="str">
        <f>A9</f>
        <v>Programi 9d</v>
      </c>
      <c r="B184" s="1225">
        <f>C9</f>
        <v>0</v>
      </c>
      <c r="C184" s="1225" t="e">
        <f>#REF!</f>
        <v>#REF!</v>
      </c>
      <c r="D184" s="1225" t="e">
        <f>#REF!</f>
        <v>#REF!</v>
      </c>
      <c r="E184" s="1225" t="e">
        <f>#REF!</f>
        <v>#REF!</v>
      </c>
      <c r="F184" s="1225" t="e">
        <f>#REF!</f>
        <v>#REF!</v>
      </c>
      <c r="G184" s="1225" t="e">
        <f>#REF!</f>
        <v>#REF!</v>
      </c>
      <c r="H184" s="1225" t="e">
        <f>#REF!</f>
        <v>#REF!</v>
      </c>
      <c r="I184" s="1225" t="e">
        <f>#REF!</f>
        <v>#REF!</v>
      </c>
      <c r="J184" s="1225" t="e">
        <f>#REF!</f>
        <v>#REF!</v>
      </c>
      <c r="K184" s="1225" t="e">
        <f>#REF!</f>
        <v>#REF!</v>
      </c>
      <c r="L184" s="1225" t="e">
        <f>#REF!</f>
        <v>#REF!</v>
      </c>
      <c r="M184" s="1225" t="e">
        <f>#REF!</f>
        <v>#REF!</v>
      </c>
      <c r="N184" s="1225" t="e">
        <f>#REF!</f>
        <v>#REF!</v>
      </c>
      <c r="O184" s="1225" t="e">
        <f>#REF!</f>
        <v>#REF!</v>
      </c>
    </row>
    <row r="185" spans="1:15" ht="18.75" x14ac:dyDescent="0.2">
      <c r="A185" s="562">
        <f>'(B3) Struktura Funksionale'!B57</f>
        <v>0</v>
      </c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6"/>
    </row>
    <row r="186" spans="1:15" ht="22.5" customHeight="1" x14ac:dyDescent="0.2">
      <c r="A186" s="1252" t="str">
        <f t="shared" ref="A186:G186" si="45">A69</f>
        <v>SHPENZIME TË PRITSHME</v>
      </c>
      <c r="B186" s="1253">
        <f t="shared" si="45"/>
        <v>0</v>
      </c>
      <c r="C186" s="1253">
        <f t="shared" si="45"/>
        <v>0</v>
      </c>
      <c r="D186" s="1253">
        <f t="shared" si="45"/>
        <v>0</v>
      </c>
      <c r="E186" s="1253">
        <f t="shared" si="45"/>
        <v>0</v>
      </c>
      <c r="F186" s="1253">
        <f t="shared" si="45"/>
        <v>0</v>
      </c>
      <c r="G186" s="1254">
        <f t="shared" si="45"/>
        <v>0</v>
      </c>
      <c r="H186" s="128"/>
      <c r="I186" s="1255" t="str">
        <f t="shared" ref="I186:O186" si="46">I69</f>
        <v xml:space="preserve">TË ARDHURAT E PRITSHME </v>
      </c>
      <c r="J186" s="1253">
        <f t="shared" si="46"/>
        <v>0</v>
      </c>
      <c r="K186" s="1253">
        <f t="shared" si="46"/>
        <v>0</v>
      </c>
      <c r="L186" s="1253">
        <f t="shared" si="46"/>
        <v>0</v>
      </c>
      <c r="M186" s="1253">
        <f t="shared" si="46"/>
        <v>0</v>
      </c>
      <c r="N186" s="1253">
        <f t="shared" si="46"/>
        <v>0</v>
      </c>
      <c r="O186" s="1254">
        <f t="shared" si="46"/>
        <v>0</v>
      </c>
    </row>
    <row r="187" spans="1:15" ht="21.75" customHeight="1" x14ac:dyDescent="0.2">
      <c r="A187" s="202"/>
      <c r="B187" s="363">
        <f t="shared" ref="B187:G187" si="47">B70</f>
        <v>2019</v>
      </c>
      <c r="C187" s="363">
        <f t="shared" si="47"/>
        <v>2020</v>
      </c>
      <c r="D187" s="363">
        <f t="shared" si="47"/>
        <v>2021</v>
      </c>
      <c r="E187" s="238">
        <f t="shared" si="47"/>
        <v>2022</v>
      </c>
      <c r="F187" s="238">
        <f t="shared" si="47"/>
        <v>2023</v>
      </c>
      <c r="G187" s="238">
        <f t="shared" si="47"/>
        <v>2024</v>
      </c>
      <c r="H187" s="203"/>
      <c r="I187" s="360"/>
      <c r="J187" s="363">
        <f t="shared" ref="J187:O187" si="48">J70</f>
        <v>2019</v>
      </c>
      <c r="K187" s="363">
        <f t="shared" si="48"/>
        <v>2020</v>
      </c>
      <c r="L187" s="363">
        <f t="shared" si="48"/>
        <v>2021</v>
      </c>
      <c r="M187" s="238">
        <f t="shared" si="48"/>
        <v>2022</v>
      </c>
      <c r="N187" s="238">
        <f t="shared" si="48"/>
        <v>2023</v>
      </c>
      <c r="O187" s="238">
        <f t="shared" si="48"/>
        <v>2024</v>
      </c>
    </row>
    <row r="188" spans="1:15" ht="12.75" x14ac:dyDescent="0.2">
      <c r="A188" s="377"/>
      <c r="B188" s="370"/>
      <c r="C188" s="303"/>
      <c r="D188" s="304"/>
      <c r="E188" s="378"/>
      <c r="F188" s="378"/>
      <c r="G188" s="379"/>
      <c r="H188" s="128"/>
      <c r="I188" s="302"/>
      <c r="J188" s="1250"/>
      <c r="K188" s="1250"/>
      <c r="L188" s="375"/>
      <c r="M188" s="375"/>
      <c r="N188" s="375"/>
      <c r="O188" s="376"/>
    </row>
    <row r="189" spans="1:15" ht="12.75" x14ac:dyDescent="0.2">
      <c r="A189" s="134" t="str">
        <f>A72</f>
        <v>SHPENZIME TË PRITSHME</v>
      </c>
      <c r="B189" s="33">
        <f>VLOOKUP(A184,'(C1) Shpenzimet vitet e kaluara'!A$9:O$177,5,FALSE)</f>
        <v>0</v>
      </c>
      <c r="C189" s="33">
        <f>VLOOKUP(A184,'(C1) Shpenzimet vitet e kaluara'!A$9:O$177,9,FALSE)</f>
        <v>0</v>
      </c>
      <c r="D189" s="33">
        <f>VLOOKUP(A184,'(C1) Shpenzimet vitet e kaluara'!A$9:O$177,13,FALSE)</f>
        <v>0</v>
      </c>
      <c r="E189" s="36"/>
      <c r="F189" s="36"/>
      <c r="G189" s="36"/>
      <c r="H189" s="128"/>
      <c r="I189" s="1226" t="str">
        <f t="shared" ref="I189:O189" si="49">I72</f>
        <v>VLERËSIM I ARDHURAVE NGA TARIFAT</v>
      </c>
      <c r="J189" s="1227">
        <f t="shared" si="49"/>
        <v>0</v>
      </c>
      <c r="K189" s="1227">
        <f t="shared" si="49"/>
        <v>0</v>
      </c>
      <c r="L189" s="1227">
        <f t="shared" si="49"/>
        <v>0</v>
      </c>
      <c r="M189" s="1227">
        <f t="shared" si="49"/>
        <v>0</v>
      </c>
      <c r="N189" s="1227">
        <f t="shared" si="49"/>
        <v>0</v>
      </c>
      <c r="O189" s="1228">
        <f t="shared" si="49"/>
        <v>0</v>
      </c>
    </row>
    <row r="190" spans="1:15" ht="12.75" x14ac:dyDescent="0.2">
      <c r="A190" s="122"/>
      <c r="B190" s="201"/>
      <c r="C190" s="123"/>
      <c r="D190" s="123"/>
      <c r="E190" s="10"/>
      <c r="F190" s="10"/>
      <c r="G190" s="130"/>
      <c r="H190" s="10"/>
      <c r="I190" s="134" t="str">
        <f>I73</f>
        <v>VLERËSIM I ARDHURAVE NGA TARIFAT</v>
      </c>
      <c r="J190" s="34">
        <f>VLOOKUP($A184,'(C1) Shpenzimet vitet e kaluara'!$A$9:$O$177,6,FALSE)</f>
        <v>0</v>
      </c>
      <c r="K190" s="34">
        <f>VLOOKUP($A184,'(C1) Shpenzimet vitet e kaluara'!$A$9:$O$177,10,FALSE)</f>
        <v>0</v>
      </c>
      <c r="L190" s="34">
        <f>VLOOKUP($A184,'(C1) Shpenzimet vitet e kaluara'!$A$9:$O$177,14,FALSE)</f>
        <v>0</v>
      </c>
      <c r="M190" s="36"/>
      <c r="N190" s="36"/>
      <c r="O190" s="36"/>
    </row>
    <row r="191" spans="1:15" ht="12.75" x14ac:dyDescent="0.2">
      <c r="A191" s="1232" t="str">
        <f t="shared" ref="A191:G192" si="50">A74</f>
        <v>SHPENZIME TË PRITSHME</v>
      </c>
      <c r="B191" s="1233">
        <f t="shared" si="50"/>
        <v>0</v>
      </c>
      <c r="C191" s="1233">
        <f t="shared" si="50"/>
        <v>0</v>
      </c>
      <c r="D191" s="1233">
        <f t="shared" si="50"/>
        <v>0</v>
      </c>
      <c r="E191" s="1233">
        <f t="shared" si="50"/>
        <v>0</v>
      </c>
      <c r="F191" s="1233">
        <f t="shared" si="50"/>
        <v>0</v>
      </c>
      <c r="G191" s="1234">
        <f t="shared" si="50"/>
        <v>0</v>
      </c>
      <c r="H191" s="10"/>
    </row>
    <row r="192" spans="1:15" ht="12.75" x14ac:dyDescent="0.2">
      <c r="A192" s="1226" t="str">
        <f t="shared" si="50"/>
        <v>KOSTO DIREKTE PËR PROJEKTET DHE SHPENZIMET KAPITALE</v>
      </c>
      <c r="B192" s="1227">
        <f t="shared" si="50"/>
        <v>0</v>
      </c>
      <c r="C192" s="1227">
        <f t="shared" si="50"/>
        <v>0</v>
      </c>
      <c r="D192" s="1227">
        <f t="shared" si="50"/>
        <v>0</v>
      </c>
      <c r="E192" s="1227">
        <f t="shared" si="50"/>
        <v>0</v>
      </c>
      <c r="F192" s="1227">
        <f t="shared" si="50"/>
        <v>0</v>
      </c>
      <c r="G192" s="1228">
        <f t="shared" si="50"/>
        <v>0</v>
      </c>
      <c r="H192" s="30"/>
      <c r="I192" s="1226" t="str">
        <f t="shared" ref="I192:I197" si="51">I75</f>
        <v>VLERËSIMI I TË ARDHURAVE ME DESTINACION</v>
      </c>
      <c r="J192" s="1227"/>
      <c r="K192" s="1227"/>
      <c r="L192" s="1227"/>
      <c r="M192" s="1227"/>
      <c r="N192" s="1227"/>
      <c r="O192" s="1228"/>
    </row>
    <row r="193" spans="1:15" ht="12.75" x14ac:dyDescent="0.2">
      <c r="A193" s="121" t="str">
        <f t="shared" ref="A193:D215" si="52">A76</f>
        <v>Pagat</v>
      </c>
      <c r="B193" s="1229">
        <f t="shared" si="52"/>
        <v>600</v>
      </c>
      <c r="C193" s="1230">
        <f t="shared" si="52"/>
        <v>0</v>
      </c>
      <c r="D193" s="1231">
        <f t="shared" si="52"/>
        <v>0</v>
      </c>
      <c r="E193" s="126"/>
      <c r="F193" s="126"/>
      <c r="G193" s="126"/>
      <c r="H193" s="30"/>
      <c r="I193" s="339" t="str">
        <f t="shared" si="51"/>
        <v>Transferta e kushtëzuar</v>
      </c>
      <c r="J193" s="336"/>
      <c r="K193" s="338"/>
      <c r="L193" s="337"/>
      <c r="M193" s="125"/>
      <c r="N193" s="125"/>
      <c r="O193" s="129"/>
    </row>
    <row r="194" spans="1:15" ht="12.75" x14ac:dyDescent="0.2">
      <c r="A194" s="121" t="str">
        <f t="shared" si="52"/>
        <v>Sigurimet Shoqërore</v>
      </c>
      <c r="B194" s="1229">
        <f t="shared" si="52"/>
        <v>601</v>
      </c>
      <c r="C194" s="1230">
        <f t="shared" si="52"/>
        <v>0</v>
      </c>
      <c r="D194" s="1231">
        <f t="shared" si="52"/>
        <v>0</v>
      </c>
      <c r="E194" s="126"/>
      <c r="F194" s="126"/>
      <c r="G194" s="126"/>
      <c r="H194" s="30"/>
      <c r="I194" s="339" t="str">
        <f t="shared" si="51"/>
        <v>Trasferta Specifike</v>
      </c>
      <c r="J194" s="336"/>
      <c r="K194" s="338"/>
      <c r="L194" s="337"/>
      <c r="M194" s="125"/>
      <c r="N194" s="125"/>
      <c r="O194" s="129"/>
    </row>
    <row r="195" spans="1:15" ht="12.75" x14ac:dyDescent="0.2">
      <c r="A195" s="121" t="str">
        <f t="shared" si="52"/>
        <v>Mallra dhe shërbime</v>
      </c>
      <c r="B195" s="1229">
        <f t="shared" si="52"/>
        <v>602</v>
      </c>
      <c r="C195" s="1230">
        <f t="shared" si="52"/>
        <v>0</v>
      </c>
      <c r="D195" s="1231">
        <f t="shared" si="52"/>
        <v>0</v>
      </c>
      <c r="E195" s="126"/>
      <c r="F195" s="126"/>
      <c r="G195" s="126"/>
      <c r="H195" s="52"/>
      <c r="I195" s="339" t="str">
        <f t="shared" si="51"/>
        <v>Trashëgimi me destinacion</v>
      </c>
      <c r="J195" s="336"/>
      <c r="K195" s="338"/>
      <c r="L195" s="337"/>
      <c r="M195" s="264">
        <f>VLOOKUP($A184,'(C4) Trashëgimi me destinacion'!$A$8:$F$168,4,FALSE)</f>
        <v>0</v>
      </c>
      <c r="N195" s="479">
        <f>VLOOKUP($A184,'(C4) Trashëgimi me destinacion'!$A$8:$F$168,5,FALSE)</f>
        <v>0</v>
      </c>
      <c r="O195" s="479">
        <f>VLOOKUP($A184,'(C4) Trashëgimi me destinacion'!$A$8:$F$168,6,FALSE)</f>
        <v>0</v>
      </c>
    </row>
    <row r="196" spans="1:15" ht="12.75" x14ac:dyDescent="0.2">
      <c r="A196" s="121" t="str">
        <f t="shared" si="52"/>
        <v>Subvencione</v>
      </c>
      <c r="B196" s="1229">
        <f t="shared" si="52"/>
        <v>603</v>
      </c>
      <c r="C196" s="1230">
        <f t="shared" si="52"/>
        <v>0</v>
      </c>
      <c r="D196" s="1231">
        <f t="shared" si="52"/>
        <v>0</v>
      </c>
      <c r="E196" s="126"/>
      <c r="F196" s="126"/>
      <c r="G196" s="126"/>
      <c r="H196" s="8"/>
      <c r="I196" s="339" t="str">
        <f t="shared" si="51"/>
        <v>Burime të tjera (përfshirë gjobat)</v>
      </c>
      <c r="J196" s="336"/>
      <c r="K196" s="338"/>
      <c r="L196" s="337"/>
      <c r="M196" s="125"/>
      <c r="N196" s="125"/>
      <c r="O196" s="129"/>
    </row>
    <row r="197" spans="1:15" ht="12.75" x14ac:dyDescent="0.2">
      <c r="A197" s="121" t="str">
        <f t="shared" si="52"/>
        <v>Të tjera transferta korrente të brendshme</v>
      </c>
      <c r="B197" s="1229">
        <f t="shared" si="52"/>
        <v>604</v>
      </c>
      <c r="C197" s="1230">
        <f t="shared" si="52"/>
        <v>0</v>
      </c>
      <c r="D197" s="1231">
        <f t="shared" si="52"/>
        <v>0</v>
      </c>
      <c r="E197" s="126"/>
      <c r="F197" s="126"/>
      <c r="G197" s="126"/>
      <c r="H197" s="52"/>
      <c r="I197" s="339" t="str">
        <f t="shared" si="51"/>
        <v>VLERËSIMI I TË ARDHURAVE ME DESTINACION</v>
      </c>
      <c r="J197" s="34">
        <f>VLOOKUP($A184,'(C1) Shpenzimet vitet e kaluara'!$A$9:$O$177,7,FALSE)</f>
        <v>0</v>
      </c>
      <c r="K197" s="34">
        <f>VLOOKUP($A184,'(C1) Shpenzimet vitet e kaluara'!$A$9:$O$177,11,FALSE)</f>
        <v>0</v>
      </c>
      <c r="L197" s="34">
        <f>VLOOKUP($A184,'(C1) Shpenzimet vitet e kaluara'!$A$9:$O$177,15,FALSE)</f>
        <v>0</v>
      </c>
      <c r="M197" s="126">
        <f>SUM(M193:M196)</f>
        <v>0</v>
      </c>
      <c r="N197" s="126">
        <f>SUM(N193:N196)</f>
        <v>0</v>
      </c>
      <c r="O197" s="126">
        <f>SUM(O193:O196)</f>
        <v>0</v>
      </c>
    </row>
    <row r="198" spans="1:15" ht="12.75" x14ac:dyDescent="0.2">
      <c r="A198" s="121" t="str">
        <f t="shared" si="52"/>
        <v>Transferta korrente të huaja</v>
      </c>
      <c r="B198" s="1229">
        <f t="shared" si="52"/>
        <v>605</v>
      </c>
      <c r="C198" s="1230">
        <f t="shared" si="52"/>
        <v>0</v>
      </c>
      <c r="D198" s="1231">
        <f t="shared" si="52"/>
        <v>0</v>
      </c>
      <c r="E198" s="126"/>
      <c r="F198" s="126"/>
      <c r="G198" s="126"/>
      <c r="H198" s="52"/>
    </row>
    <row r="199" spans="1:15" ht="12.75" x14ac:dyDescent="0.2">
      <c r="A199" s="121" t="str">
        <f t="shared" si="52"/>
        <v>Transferta për Buxhetet Familiare dhe Individët</v>
      </c>
      <c r="B199" s="1229">
        <f t="shared" si="52"/>
        <v>606</v>
      </c>
      <c r="C199" s="1230">
        <f t="shared" si="52"/>
        <v>0</v>
      </c>
      <c r="D199" s="1231">
        <f t="shared" si="52"/>
        <v>0</v>
      </c>
      <c r="E199" s="126"/>
      <c r="F199" s="126"/>
      <c r="G199" s="126"/>
      <c r="H199" s="52"/>
      <c r="I199" s="134" t="str">
        <f>I82</f>
        <v xml:space="preserve">TË ARDHURAT E PRITSHME </v>
      </c>
      <c r="J199" s="33">
        <f>J190+J197</f>
        <v>0</v>
      </c>
      <c r="K199" s="33">
        <f>K190+K197</f>
        <v>0</v>
      </c>
      <c r="L199" s="33">
        <f>L190+L197</f>
        <v>0</v>
      </c>
      <c r="M199" s="126">
        <f>M197+M190</f>
        <v>0</v>
      </c>
      <c r="N199" s="126">
        <f>N197+N190</f>
        <v>0</v>
      </c>
      <c r="O199" s="126">
        <f>O197+O190</f>
        <v>0</v>
      </c>
    </row>
    <row r="200" spans="1:15" ht="12.75" x14ac:dyDescent="0.2">
      <c r="A200" s="121" t="str">
        <f t="shared" si="52"/>
        <v>Shpenzimet kapitale</v>
      </c>
      <c r="B200" s="1229" t="str">
        <f t="shared" si="52"/>
        <v>230 / 231</v>
      </c>
      <c r="C200" s="1230">
        <f t="shared" si="52"/>
        <v>0</v>
      </c>
      <c r="D200" s="1231">
        <f t="shared" si="52"/>
        <v>0</v>
      </c>
      <c r="E200" s="36"/>
      <c r="F200" s="36"/>
      <c r="G200" s="36"/>
      <c r="H200" s="52"/>
    </row>
    <row r="201" spans="1:15" ht="12.75" x14ac:dyDescent="0.2">
      <c r="A201" s="121" t="str">
        <f t="shared" si="52"/>
        <v>Rezerva</v>
      </c>
      <c r="B201" s="1229">
        <f t="shared" si="52"/>
        <v>609</v>
      </c>
      <c r="C201" s="1230">
        <f t="shared" si="52"/>
        <v>0</v>
      </c>
      <c r="D201" s="1231">
        <f t="shared" si="52"/>
        <v>0</v>
      </c>
      <c r="E201" s="126"/>
      <c r="F201" s="126"/>
      <c r="G201" s="126"/>
      <c r="H201" s="52"/>
    </row>
    <row r="202" spans="1:15" ht="12.75" x14ac:dyDescent="0.2">
      <c r="A202" s="121" t="str">
        <f t="shared" si="52"/>
        <v>Interesa per kredi direkte ose bono</v>
      </c>
      <c r="B202" s="1229">
        <f t="shared" si="52"/>
        <v>650</v>
      </c>
      <c r="C202" s="1230">
        <f t="shared" si="52"/>
        <v>0</v>
      </c>
      <c r="D202" s="1231">
        <f t="shared" si="52"/>
        <v>0</v>
      </c>
      <c r="E202" s="126"/>
      <c r="F202" s="126"/>
      <c r="G202" s="126"/>
      <c r="H202" s="52"/>
    </row>
    <row r="203" spans="1:15" ht="12.75" x14ac:dyDescent="0.2">
      <c r="A203" s="121" t="str">
        <f t="shared" si="52"/>
        <v>Të tjera</v>
      </c>
      <c r="B203" s="1229" t="str">
        <f t="shared" si="52"/>
        <v>69 / ?</v>
      </c>
      <c r="C203" s="1230">
        <f t="shared" si="52"/>
        <v>0</v>
      </c>
      <c r="D203" s="1231">
        <f t="shared" si="52"/>
        <v>0</v>
      </c>
      <c r="E203" s="126"/>
      <c r="F203" s="126"/>
      <c r="G203" s="126"/>
      <c r="H203" s="52"/>
      <c r="I203" s="1235" t="str">
        <f t="shared" ref="I203:O204" si="53">I86</f>
        <v>SHUMA E KËRKUAR NETO</v>
      </c>
      <c r="J203" s="1236">
        <f t="shared" si="53"/>
        <v>0</v>
      </c>
      <c r="K203" s="1236">
        <f t="shared" si="53"/>
        <v>0</v>
      </c>
      <c r="L203" s="1236">
        <f t="shared" si="53"/>
        <v>0</v>
      </c>
      <c r="M203" s="1236">
        <f t="shared" si="53"/>
        <v>0</v>
      </c>
      <c r="N203" s="1236">
        <f t="shared" si="53"/>
        <v>0</v>
      </c>
      <c r="O203" s="1237">
        <f t="shared" si="53"/>
        <v>0</v>
      </c>
    </row>
    <row r="204" spans="1:15" ht="12.75" customHeight="1" x14ac:dyDescent="0.2">
      <c r="A204" s="268" t="str">
        <f t="shared" si="52"/>
        <v>KOSTO DIREKTE PËR PROJEKTET DHE SHPENZIMET KAPITALE</v>
      </c>
      <c r="B204" s="1229">
        <f t="shared" si="52"/>
        <v>0</v>
      </c>
      <c r="C204" s="1230">
        <f t="shared" si="52"/>
        <v>0</v>
      </c>
      <c r="D204" s="1231">
        <f t="shared" si="52"/>
        <v>0</v>
      </c>
      <c r="E204" s="126">
        <f>SUM(E193:E203)</f>
        <v>0</v>
      </c>
      <c r="F204" s="126">
        <f>SUM(F193:F203)</f>
        <v>0</v>
      </c>
      <c r="G204" s="126">
        <f>SUM(G193:G203)</f>
        <v>0</v>
      </c>
      <c r="H204" s="52"/>
      <c r="I204" s="1238">
        <f t="shared" si="53"/>
        <v>0</v>
      </c>
      <c r="J204" s="1239">
        <f t="shared" si="53"/>
        <v>0</v>
      </c>
      <c r="K204" s="1239">
        <f t="shared" si="53"/>
        <v>0</v>
      </c>
      <c r="L204" s="1239">
        <f t="shared" si="53"/>
        <v>0</v>
      </c>
      <c r="M204" s="1239">
        <f t="shared" si="53"/>
        <v>0</v>
      </c>
      <c r="N204" s="1239">
        <f t="shared" si="53"/>
        <v>0</v>
      </c>
      <c r="O204" s="1240">
        <f t="shared" si="53"/>
        <v>0</v>
      </c>
    </row>
    <row r="205" spans="1:15" ht="12.75" x14ac:dyDescent="0.2">
      <c r="A205" s="1226" t="str">
        <f t="shared" si="52"/>
        <v>SHPENZIME KORRENTE</v>
      </c>
      <c r="B205" s="1227">
        <f t="shared" si="52"/>
        <v>0</v>
      </c>
      <c r="C205" s="1227">
        <f t="shared" si="52"/>
        <v>0</v>
      </c>
      <c r="D205" s="1227">
        <f t="shared" si="52"/>
        <v>0</v>
      </c>
      <c r="E205" s="1227">
        <f>E88</f>
        <v>0</v>
      </c>
      <c r="F205" s="1227">
        <f>F88</f>
        <v>0</v>
      </c>
      <c r="G205" s="1228">
        <f>G88</f>
        <v>0</v>
      </c>
      <c r="H205" s="52"/>
      <c r="I205" s="17" t="str">
        <f>I88</f>
        <v>SHUMA E KËRKUAR NETO</v>
      </c>
      <c r="J205" s="18">
        <f t="shared" ref="J205:O205" si="54">B189-J199</f>
        <v>0</v>
      </c>
      <c r="K205" s="18">
        <f t="shared" si="54"/>
        <v>0</v>
      </c>
      <c r="L205" s="18">
        <f t="shared" si="54"/>
        <v>0</v>
      </c>
      <c r="M205" s="18">
        <f t="shared" si="54"/>
        <v>0</v>
      </c>
      <c r="N205" s="18">
        <f t="shared" si="54"/>
        <v>0</v>
      </c>
      <c r="O205" s="18">
        <f t="shared" si="54"/>
        <v>0</v>
      </c>
    </row>
    <row r="206" spans="1:15" ht="12.75" x14ac:dyDescent="0.2">
      <c r="A206" s="121" t="str">
        <f t="shared" si="52"/>
        <v>Pagat</v>
      </c>
      <c r="B206" s="1229">
        <f t="shared" si="52"/>
        <v>600</v>
      </c>
      <c r="C206" s="1230">
        <f t="shared" si="52"/>
        <v>0</v>
      </c>
      <c r="D206" s="1231">
        <f t="shared" si="52"/>
        <v>0</v>
      </c>
      <c r="E206" s="36"/>
      <c r="F206" s="36"/>
      <c r="G206" s="36"/>
      <c r="H206" s="52"/>
      <c r="I206" s="52"/>
      <c r="J206" s="52"/>
      <c r="K206" s="52"/>
      <c r="L206" s="14"/>
      <c r="M206" s="53"/>
    </row>
    <row r="207" spans="1:15" ht="12.75" x14ac:dyDescent="0.2">
      <c r="A207" s="121" t="str">
        <f t="shared" si="52"/>
        <v>Sigurimet Shoqërore</v>
      </c>
      <c r="B207" s="1229">
        <f t="shared" si="52"/>
        <v>601</v>
      </c>
      <c r="C207" s="1230">
        <f t="shared" si="52"/>
        <v>0</v>
      </c>
      <c r="D207" s="1231">
        <f t="shared" si="52"/>
        <v>0</v>
      </c>
      <c r="E207" s="36"/>
      <c r="F207" s="36"/>
      <c r="G207" s="36"/>
      <c r="H207" s="52"/>
    </row>
    <row r="208" spans="1:15" ht="12.75" x14ac:dyDescent="0.2">
      <c r="A208" s="121" t="str">
        <f t="shared" si="52"/>
        <v>Mallra dhe shërbime</v>
      </c>
      <c r="B208" s="1229">
        <f t="shared" si="52"/>
        <v>602</v>
      </c>
      <c r="C208" s="1230">
        <f t="shared" si="52"/>
        <v>0</v>
      </c>
      <c r="D208" s="1231">
        <f t="shared" si="52"/>
        <v>0</v>
      </c>
      <c r="E208" s="36"/>
      <c r="F208" s="36"/>
      <c r="G208" s="36"/>
      <c r="H208" s="52"/>
      <c r="I208" s="239" t="str">
        <f>I169</f>
        <v>Angazhimet</v>
      </c>
      <c r="J208" s="1290" t="str">
        <f>J169</f>
        <v>Vlera Totale për Aktivitet</v>
      </c>
      <c r="K208" s="1291"/>
      <c r="L208" s="1292"/>
      <c r="M208" s="126">
        <f>VLOOKUP($A184,'(C5) Angazhimet'!$A$8:$F$168,4,FALSE)</f>
        <v>0</v>
      </c>
      <c r="N208" s="126">
        <f>VLOOKUP($A184,'(C5) Angazhimet'!$A$8:$F$168,5,FALSE)</f>
        <v>0</v>
      </c>
      <c r="O208" s="126">
        <f>VLOOKUP($A184,'(C5) Angazhimet'!$A$8:$F$168,6,FALSE)</f>
        <v>0</v>
      </c>
    </row>
    <row r="209" spans="1:15" ht="12.75" x14ac:dyDescent="0.2">
      <c r="A209" s="121" t="str">
        <f t="shared" si="52"/>
        <v>Subvencione</v>
      </c>
      <c r="B209" s="1229">
        <f t="shared" si="52"/>
        <v>603</v>
      </c>
      <c r="C209" s="1230">
        <f t="shared" si="52"/>
        <v>0</v>
      </c>
      <c r="D209" s="1231">
        <f t="shared" si="52"/>
        <v>0</v>
      </c>
      <c r="E209" s="36"/>
      <c r="F209" s="36"/>
      <c r="G209" s="36"/>
      <c r="H209" s="52"/>
      <c r="I209" s="279" t="str">
        <f>I170</f>
        <v>Qëllime</v>
      </c>
      <c r="J209" s="1290" t="str">
        <f>J170</f>
        <v>Shpenzimet kapitale</v>
      </c>
      <c r="K209" s="1291"/>
      <c r="L209" s="1292"/>
      <c r="M209" s="125"/>
      <c r="N209" s="125"/>
      <c r="O209" s="129"/>
    </row>
    <row r="210" spans="1:15" ht="12.75" x14ac:dyDescent="0.2">
      <c r="A210" s="121" t="str">
        <f t="shared" si="52"/>
        <v>Të tjera transferta korrente të brendshme</v>
      </c>
      <c r="B210" s="1229">
        <f t="shared" si="52"/>
        <v>604</v>
      </c>
      <c r="C210" s="1230">
        <f t="shared" si="52"/>
        <v>0</v>
      </c>
      <c r="D210" s="1231">
        <f t="shared" si="52"/>
        <v>0</v>
      </c>
      <c r="E210" s="36"/>
      <c r="F210" s="36"/>
      <c r="G210" s="36"/>
      <c r="H210" s="52"/>
      <c r="I210" s="276"/>
      <c r="J210" s="1290" t="str">
        <f>J171</f>
        <v>Mallra dhe shërbime</v>
      </c>
      <c r="K210" s="1291"/>
      <c r="L210" s="1292"/>
      <c r="M210" s="125"/>
      <c r="N210" s="125"/>
      <c r="O210" s="129"/>
    </row>
    <row r="211" spans="1:15" ht="12.75" x14ac:dyDescent="0.2">
      <c r="A211" s="121" t="str">
        <f t="shared" si="52"/>
        <v>Transferta korrente të huaja</v>
      </c>
      <c r="B211" s="1229">
        <f t="shared" si="52"/>
        <v>605</v>
      </c>
      <c r="C211" s="1230">
        <f t="shared" si="52"/>
        <v>0</v>
      </c>
      <c r="D211" s="1231">
        <f t="shared" si="52"/>
        <v>0</v>
      </c>
      <c r="E211" s="36"/>
      <c r="F211" s="36"/>
      <c r="G211" s="36"/>
      <c r="H211" s="52"/>
      <c r="I211" s="276"/>
      <c r="J211" s="1290" t="str">
        <f>J172</f>
        <v>Qëllime të mëtejshme</v>
      </c>
      <c r="K211" s="1291"/>
      <c r="L211" s="1292"/>
      <c r="M211" s="125"/>
      <c r="N211" s="125"/>
      <c r="O211" s="129"/>
    </row>
    <row r="212" spans="1:15" ht="12.75" x14ac:dyDescent="0.2">
      <c r="A212" s="121" t="str">
        <f t="shared" si="52"/>
        <v>Transferta për Buxhetet Familiare dhe Individët</v>
      </c>
      <c r="B212" s="1229">
        <f t="shared" si="52"/>
        <v>606</v>
      </c>
      <c r="C212" s="1230">
        <f t="shared" si="52"/>
        <v>0</v>
      </c>
      <c r="D212" s="1231">
        <f t="shared" si="52"/>
        <v>0</v>
      </c>
      <c r="E212" s="36"/>
      <c r="F212" s="36"/>
      <c r="G212" s="36"/>
      <c r="H212" s="52"/>
      <c r="I212" s="276"/>
      <c r="J212" s="1286"/>
      <c r="K212" s="1286"/>
      <c r="L212" s="1286"/>
      <c r="M212" s="300" t="str">
        <f>IF(SUM(M209:M211)=M208,"OK","STOP")</f>
        <v>OK</v>
      </c>
      <c r="N212" s="300" t="str">
        <f>IF(SUM(N209:N211)=N208,"OK","STOP")</f>
        <v>OK</v>
      </c>
      <c r="O212" s="300" t="str">
        <f>IF(SUM(O209:O211)=O208,"OK","STOP")</f>
        <v>OK</v>
      </c>
    </row>
    <row r="213" spans="1:15" ht="12.75" x14ac:dyDescent="0.2">
      <c r="A213" s="564" t="str">
        <f t="shared" si="52"/>
        <v>Shpenzimet kapitale</v>
      </c>
      <c r="B213" s="1256" t="str">
        <f t="shared" si="52"/>
        <v>230 / 231</v>
      </c>
      <c r="C213" s="1257">
        <f t="shared" si="52"/>
        <v>0</v>
      </c>
      <c r="D213" s="1258">
        <f t="shared" si="52"/>
        <v>0</v>
      </c>
      <c r="E213" s="126"/>
      <c r="F213" s="126"/>
      <c r="G213" s="126"/>
      <c r="H213" s="52"/>
      <c r="I213" s="367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2.75" x14ac:dyDescent="0.2">
      <c r="A214" s="121" t="str">
        <f t="shared" si="52"/>
        <v>Rezerva</v>
      </c>
      <c r="B214" s="1229">
        <f t="shared" si="52"/>
        <v>609</v>
      </c>
      <c r="C214" s="1230">
        <f t="shared" si="52"/>
        <v>0</v>
      </c>
      <c r="D214" s="1231">
        <f t="shared" si="52"/>
        <v>0</v>
      </c>
      <c r="E214" s="36"/>
      <c r="F214" s="36"/>
      <c r="G214" s="36"/>
      <c r="H214" s="52"/>
      <c r="I214" s="365">
        <f>M187</f>
        <v>2022</v>
      </c>
      <c r="J214" s="1271"/>
      <c r="K214" s="1272"/>
      <c r="L214" s="1272"/>
      <c r="M214" s="1272"/>
      <c r="N214" s="1272"/>
      <c r="O214" s="1273"/>
    </row>
    <row r="215" spans="1:15" ht="12.75" x14ac:dyDescent="0.2">
      <c r="A215" s="121" t="str">
        <f t="shared" si="52"/>
        <v>Interesa per kredi direkte ose bono</v>
      </c>
      <c r="B215" s="1259">
        <f t="shared" si="52"/>
        <v>650</v>
      </c>
      <c r="C215" s="1260">
        <f t="shared" si="52"/>
        <v>0</v>
      </c>
      <c r="D215" s="1261">
        <f t="shared" si="52"/>
        <v>0</v>
      </c>
      <c r="E215" s="36"/>
      <c r="F215" s="36"/>
      <c r="G215" s="36"/>
      <c r="H215" s="52"/>
      <c r="I215" s="366"/>
      <c r="J215" s="1274"/>
      <c r="K215" s="1275"/>
      <c r="L215" s="1275"/>
      <c r="M215" s="1275"/>
      <c r="N215" s="1275"/>
      <c r="O215" s="1276"/>
    </row>
    <row r="216" spans="1:15" ht="12.75" x14ac:dyDescent="0.2">
      <c r="A216" s="239" t="str">
        <f>A99</f>
        <v>Të tjera</v>
      </c>
      <c r="B216" s="1229" t="str">
        <f>B99</f>
        <v>69 / ?</v>
      </c>
      <c r="C216" s="1230">
        <f>C99</f>
        <v>0</v>
      </c>
      <c r="D216" s="273" t="str">
        <f>IF(OR(E216&lt;0,F216&lt;0,G216&lt;0),"STOP","OK!")</f>
        <v>OK!</v>
      </c>
      <c r="E216" s="127">
        <f>-E204+E189-(SUM(E206:E215))</f>
        <v>0</v>
      </c>
      <c r="F216" s="270">
        <f>-F204+F189-(SUM(F206:F215))</f>
        <v>0</v>
      </c>
      <c r="G216" s="270">
        <f>-G204+G189-(SUM(G206:G215))</f>
        <v>0</v>
      </c>
      <c r="H216" s="52"/>
      <c r="I216" s="365">
        <f>N187</f>
        <v>2023</v>
      </c>
      <c r="J216" s="1271"/>
      <c r="K216" s="1272"/>
      <c r="L216" s="1272"/>
      <c r="M216" s="1272"/>
      <c r="N216" s="1272"/>
      <c r="O216" s="1273"/>
    </row>
    <row r="217" spans="1:15" ht="12.75" x14ac:dyDescent="0.2">
      <c r="A217" s="121" t="str">
        <f>A100</f>
        <v>SHPENZIME KORRENTE</v>
      </c>
      <c r="B217" s="1262"/>
      <c r="C217" s="1263"/>
      <c r="D217" s="1264"/>
      <c r="E217" s="126">
        <f>SUM(E206:E216)</f>
        <v>0</v>
      </c>
      <c r="F217" s="126">
        <f>SUM(F206:F216)</f>
        <v>0</v>
      </c>
      <c r="G217" s="126">
        <f>SUM(G206:G216)</f>
        <v>0</v>
      </c>
      <c r="H217" s="52"/>
      <c r="I217" s="366"/>
      <c r="J217" s="1277"/>
      <c r="K217" s="1278"/>
      <c r="L217" s="1278"/>
      <c r="M217" s="1278"/>
      <c r="N217" s="1278"/>
      <c r="O217" s="1279"/>
    </row>
    <row r="218" spans="1:15" ht="12.75" x14ac:dyDescent="0.2">
      <c r="A218" s="122"/>
      <c r="B218" s="201"/>
      <c r="C218" s="123"/>
      <c r="D218" s="123"/>
      <c r="E218" s="10"/>
      <c r="F218" s="10"/>
      <c r="G218" s="130"/>
      <c r="H218" s="52"/>
      <c r="I218" s="365">
        <f>O187</f>
        <v>2024</v>
      </c>
      <c r="J218" s="1271"/>
      <c r="K218" s="1272"/>
      <c r="L218" s="1272"/>
      <c r="M218" s="1272"/>
      <c r="N218" s="1272"/>
      <c r="O218" s="1273"/>
    </row>
    <row r="219" spans="1:15" ht="12.75" x14ac:dyDescent="0.2">
      <c r="A219" s="134" t="str">
        <f>A102</f>
        <v>SHPENZIME TË PRITSHME</v>
      </c>
      <c r="B219" s="33">
        <f>B189</f>
        <v>0</v>
      </c>
      <c r="C219" s="33">
        <f>C189</f>
        <v>0</v>
      </c>
      <c r="D219" s="33">
        <f>D189</f>
        <v>0</v>
      </c>
      <c r="E219" s="126">
        <f>E204+E217</f>
        <v>0</v>
      </c>
      <c r="F219" s="126">
        <f>F204+F217</f>
        <v>0</v>
      </c>
      <c r="G219" s="126">
        <f>G204+G217</f>
        <v>0</v>
      </c>
      <c r="H219" s="52"/>
      <c r="I219" s="366"/>
      <c r="J219" s="1277"/>
      <c r="K219" s="1278"/>
      <c r="L219" s="1278"/>
      <c r="M219" s="1278"/>
      <c r="N219" s="1278"/>
      <c r="O219" s="1279"/>
    </row>
    <row r="222" spans="1:15" ht="17.25" hidden="1" customHeight="1" x14ac:dyDescent="0.2">
      <c r="A222" s="204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17.25" hidden="1" customHeight="1" x14ac:dyDescent="0.2">
      <c r="A223" s="262"/>
      <c r="B223" s="1225"/>
      <c r="C223" s="1225"/>
      <c r="D223" s="1225"/>
      <c r="E223" s="1225"/>
      <c r="F223" s="1225"/>
      <c r="G223" s="1225"/>
      <c r="H223" s="1225"/>
      <c r="I223" s="1225"/>
      <c r="J223" s="1225"/>
      <c r="K223" s="1225"/>
      <c r="L223" s="1225"/>
      <c r="M223" s="1225"/>
      <c r="N223" s="1225"/>
      <c r="O223" s="1225"/>
    </row>
    <row r="224" spans="1:15" ht="21.75" hidden="1" customHeight="1" x14ac:dyDescent="0.2">
      <c r="A224" s="1221"/>
      <c r="B224" s="1222"/>
      <c r="C224" s="1222"/>
      <c r="D224" s="1222"/>
      <c r="E224" s="1222"/>
      <c r="F224" s="1222"/>
      <c r="G224" s="1242"/>
      <c r="H224" s="128"/>
      <c r="I224" s="1243"/>
      <c r="J224" s="1222"/>
      <c r="K224" s="1222"/>
      <c r="L224" s="1222"/>
      <c r="M224" s="1222"/>
      <c r="N224" s="1222"/>
      <c r="O224" s="1242"/>
    </row>
    <row r="225" spans="1:15" ht="18.75" hidden="1" customHeight="1" x14ac:dyDescent="0.2">
      <c r="A225" s="202"/>
      <c r="B225" s="363"/>
      <c r="C225" s="363"/>
      <c r="D225" s="363"/>
      <c r="E225" s="238"/>
      <c r="F225" s="238"/>
      <c r="G225" s="238"/>
      <c r="H225" s="203"/>
      <c r="I225" s="360"/>
      <c r="J225" s="363"/>
      <c r="K225" s="363"/>
      <c r="L225" s="363"/>
      <c r="M225" s="238"/>
      <c r="N225" s="238"/>
      <c r="O225" s="238"/>
    </row>
    <row r="226" spans="1:15" ht="12.75" hidden="1" x14ac:dyDescent="0.2">
      <c r="A226" s="380"/>
      <c r="B226" s="200"/>
      <c r="C226" s="368"/>
      <c r="D226" s="281"/>
      <c r="E226" s="8"/>
      <c r="F226" s="8"/>
      <c r="G226" s="381"/>
      <c r="H226" s="128"/>
      <c r="I226" s="369"/>
      <c r="J226" s="305"/>
      <c r="K226" s="305"/>
      <c r="L226" s="305"/>
      <c r="M226" s="305"/>
      <c r="N226" s="305"/>
      <c r="O226" s="306"/>
    </row>
    <row r="227" spans="1:15" ht="12.75" hidden="1" x14ac:dyDescent="0.2">
      <c r="A227" s="134"/>
      <c r="B227" s="33"/>
      <c r="C227" s="33"/>
      <c r="D227" s="33"/>
      <c r="E227" s="36"/>
      <c r="F227" s="36"/>
      <c r="G227" s="36"/>
      <c r="H227" s="128"/>
      <c r="I227" s="1226"/>
      <c r="J227" s="1227"/>
      <c r="K227" s="1227"/>
      <c r="L227" s="1227"/>
      <c r="M227" s="1227"/>
      <c r="N227" s="1227"/>
      <c r="O227" s="1228"/>
    </row>
    <row r="228" spans="1:15" ht="12.75" hidden="1" x14ac:dyDescent="0.2">
      <c r="A228" s="122"/>
      <c r="B228" s="201"/>
      <c r="C228" s="123"/>
      <c r="D228" s="123"/>
      <c r="E228" s="10"/>
      <c r="F228" s="10"/>
      <c r="G228" s="130"/>
      <c r="H228" s="10"/>
      <c r="I228" s="134"/>
      <c r="J228" s="34"/>
      <c r="K228" s="34"/>
      <c r="L228" s="34"/>
      <c r="M228" s="36"/>
      <c r="N228" s="36"/>
      <c r="O228" s="36"/>
    </row>
    <row r="229" spans="1:15" ht="12.75" hidden="1" x14ac:dyDescent="0.2">
      <c r="A229" s="1232"/>
      <c r="B229" s="1233"/>
      <c r="C229" s="1233"/>
      <c r="D229" s="1233"/>
      <c r="E229" s="1233"/>
      <c r="F229" s="1233"/>
      <c r="G229" s="1234"/>
      <c r="H229" s="10"/>
    </row>
    <row r="230" spans="1:15" ht="12.75" hidden="1" x14ac:dyDescent="0.2">
      <c r="A230" s="1226"/>
      <c r="B230" s="1227"/>
      <c r="C230" s="1227"/>
      <c r="D230" s="1227"/>
      <c r="E230" s="1227"/>
      <c r="F230" s="1227"/>
      <c r="G230" s="1228"/>
      <c r="H230" s="30"/>
      <c r="I230" s="1226"/>
      <c r="J230" s="1227"/>
      <c r="K230" s="1227"/>
      <c r="L230" s="1227"/>
      <c r="M230" s="1227"/>
      <c r="N230" s="1227"/>
      <c r="O230" s="1228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30"/>
      <c r="I232" s="339"/>
      <c r="J232" s="336"/>
      <c r="K232" s="338"/>
      <c r="L232" s="337"/>
      <c r="M232" s="125"/>
      <c r="N232" s="125"/>
      <c r="O232" s="129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52"/>
      <c r="I233" s="339"/>
      <c r="J233" s="336"/>
      <c r="K233" s="338"/>
      <c r="L233" s="337"/>
      <c r="M233" s="264"/>
      <c r="N233" s="479"/>
      <c r="O233" s="481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8"/>
      <c r="I234" s="339"/>
      <c r="J234" s="336"/>
      <c r="K234" s="338"/>
      <c r="L234" s="337"/>
      <c r="M234" s="125"/>
      <c r="N234" s="125"/>
      <c r="O234" s="129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  <c r="I235" s="339"/>
      <c r="J235" s="34"/>
      <c r="K235" s="34"/>
      <c r="L235" s="34"/>
      <c r="M235" s="126"/>
      <c r="N235" s="126"/>
      <c r="O235" s="126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  <c r="I237" s="134"/>
      <c r="J237" s="33"/>
      <c r="K237" s="33"/>
      <c r="L237" s="33"/>
      <c r="M237" s="126"/>
      <c r="N237" s="126"/>
      <c r="O237" s="126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</row>
    <row r="241" spans="1:15" ht="12.75" hidden="1" x14ac:dyDescent="0.2">
      <c r="A241" s="121"/>
      <c r="B241" s="1229"/>
      <c r="C241" s="1230"/>
      <c r="D241" s="1231"/>
      <c r="E241" s="36"/>
      <c r="F241" s="36"/>
      <c r="G241" s="36"/>
      <c r="H241" s="52"/>
      <c r="I241" s="1235"/>
      <c r="J241" s="1236"/>
      <c r="K241" s="1236"/>
      <c r="L241" s="1236"/>
      <c r="M241" s="1236"/>
      <c r="N241" s="1236"/>
      <c r="O241" s="1237"/>
    </row>
    <row r="242" spans="1:15" ht="12.75" hidden="1" customHeight="1" x14ac:dyDescent="0.2">
      <c r="A242" s="268"/>
      <c r="B242" s="1229"/>
      <c r="C242" s="1230"/>
      <c r="D242" s="1231"/>
      <c r="E242" s="126"/>
      <c r="F242" s="126"/>
      <c r="G242" s="126"/>
      <c r="H242" s="52"/>
      <c r="I242" s="1238"/>
      <c r="J242" s="1239"/>
      <c r="K242" s="1239"/>
      <c r="L242" s="1239"/>
      <c r="M242" s="1239"/>
      <c r="N242" s="1239"/>
      <c r="O242" s="1240"/>
    </row>
    <row r="243" spans="1:15" ht="12.75" hidden="1" x14ac:dyDescent="0.2">
      <c r="A243" s="1226"/>
      <c r="B243" s="1227"/>
      <c r="C243" s="1227"/>
      <c r="D243" s="1227"/>
      <c r="E243" s="1227"/>
      <c r="F243" s="1227"/>
      <c r="G243" s="1228"/>
      <c r="H243" s="52"/>
      <c r="I243" s="17"/>
      <c r="J243" s="18"/>
      <c r="K243" s="18"/>
      <c r="L243" s="18"/>
      <c r="M243" s="18"/>
      <c r="N243" s="18"/>
      <c r="O243" s="18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  <c r="I244" s="52"/>
      <c r="J244" s="52"/>
      <c r="K244" s="52"/>
      <c r="L244" s="14"/>
      <c r="M244" s="53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39"/>
      <c r="J246" s="1290"/>
      <c r="K246" s="1291"/>
      <c r="L246" s="1292"/>
      <c r="M246" s="126"/>
      <c r="N246" s="126"/>
      <c r="O246" s="126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9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90"/>
      <c r="K249" s="1291"/>
      <c r="L249" s="1292"/>
      <c r="M249" s="125"/>
      <c r="N249" s="125"/>
      <c r="O249" s="129"/>
    </row>
    <row r="250" spans="1:15" ht="12.75" hidden="1" x14ac:dyDescent="0.2">
      <c r="A250" s="121"/>
      <c r="B250" s="1229"/>
      <c r="C250" s="1230"/>
      <c r="D250" s="1231"/>
      <c r="E250" s="36"/>
      <c r="F250" s="36"/>
      <c r="G250" s="36"/>
      <c r="H250" s="52"/>
      <c r="I250" s="276"/>
      <c r="J250" s="1286"/>
      <c r="K250" s="1286"/>
      <c r="L250" s="1286"/>
      <c r="M250" s="300" t="str">
        <f>IF(SUM(M247:M249)=M246,"OK","STOP")</f>
        <v>OK</v>
      </c>
      <c r="N250" s="300" t="str">
        <f>IF(SUM(N247:N249)=N246,"OK","STOP")</f>
        <v>OK</v>
      </c>
      <c r="O250" s="300" t="str">
        <f>IF(SUM(O247:O249)=O246,"OK","STOP")</f>
        <v>OK</v>
      </c>
    </row>
    <row r="251" spans="1:15" ht="12.75" hidden="1" x14ac:dyDescent="0.2">
      <c r="A251" s="121"/>
      <c r="B251" s="1229"/>
      <c r="C251" s="1230"/>
      <c r="D251" s="1231"/>
      <c r="E251" s="126"/>
      <c r="F251" s="126"/>
      <c r="G251" s="126"/>
      <c r="H251" s="52"/>
      <c r="I251" s="367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2.75" hidden="1" x14ac:dyDescent="0.2">
      <c r="A252" s="121"/>
      <c r="B252" s="1229"/>
      <c r="C252" s="1230"/>
      <c r="D252" s="1231"/>
      <c r="E252" s="36"/>
      <c r="F252" s="36"/>
      <c r="G252" s="36"/>
      <c r="H252" s="52"/>
      <c r="I252" s="365">
        <f>M225</f>
        <v>0</v>
      </c>
      <c r="J252" s="1271"/>
      <c r="K252" s="1272"/>
      <c r="L252" s="1272"/>
      <c r="M252" s="1272"/>
      <c r="N252" s="1272"/>
      <c r="O252" s="1273"/>
    </row>
    <row r="253" spans="1:15" ht="12.75" hidden="1" x14ac:dyDescent="0.2">
      <c r="A253" s="121"/>
      <c r="B253" s="1259"/>
      <c r="C253" s="1260"/>
      <c r="D253" s="1261"/>
      <c r="E253" s="36"/>
      <c r="F253" s="36"/>
      <c r="G253" s="36"/>
      <c r="H253" s="52"/>
      <c r="I253" s="366"/>
      <c r="J253" s="1274"/>
      <c r="K253" s="1275"/>
      <c r="L253" s="1275"/>
      <c r="M253" s="1275"/>
      <c r="N253" s="1275"/>
      <c r="O253" s="1276"/>
    </row>
    <row r="254" spans="1:15" ht="12.75" hidden="1" x14ac:dyDescent="0.2">
      <c r="A254" s="239"/>
      <c r="B254" s="1229"/>
      <c r="C254" s="1230"/>
      <c r="D254" s="273"/>
      <c r="E254" s="270"/>
      <c r="F254" s="270"/>
      <c r="G254" s="270"/>
      <c r="H254" s="52"/>
      <c r="I254" s="365">
        <f>N225</f>
        <v>0</v>
      </c>
      <c r="J254" s="1271"/>
      <c r="K254" s="1272"/>
      <c r="L254" s="1272"/>
      <c r="M254" s="1272"/>
      <c r="N254" s="1272"/>
      <c r="O254" s="1273"/>
    </row>
    <row r="255" spans="1:15" ht="12.75" hidden="1" x14ac:dyDescent="0.2">
      <c r="A255" s="121"/>
      <c r="B255" s="1262"/>
      <c r="C255" s="1263"/>
      <c r="D255" s="1264"/>
      <c r="E255" s="126"/>
      <c r="F255" s="126"/>
      <c r="G255" s="126"/>
      <c r="H255" s="52"/>
      <c r="I255" s="366"/>
      <c r="J255" s="1277"/>
      <c r="K255" s="1278"/>
      <c r="L255" s="1278"/>
      <c r="M255" s="1278"/>
      <c r="N255" s="1278"/>
      <c r="O255" s="1279"/>
    </row>
    <row r="256" spans="1:15" ht="12.75" hidden="1" x14ac:dyDescent="0.2">
      <c r="A256" s="122"/>
      <c r="B256" s="201"/>
      <c r="C256" s="123"/>
      <c r="D256" s="123"/>
      <c r="E256" s="10"/>
      <c r="F256" s="10"/>
      <c r="G256" s="130"/>
      <c r="H256" s="52"/>
      <c r="I256" s="365">
        <f>O225</f>
        <v>0</v>
      </c>
      <c r="J256" s="1271"/>
      <c r="K256" s="1272"/>
      <c r="L256" s="1272"/>
      <c r="M256" s="1272"/>
      <c r="N256" s="1272"/>
      <c r="O256" s="1273"/>
    </row>
    <row r="257" spans="1:15" ht="12.75" hidden="1" x14ac:dyDescent="0.2">
      <c r="A257" s="134"/>
      <c r="B257" s="33"/>
      <c r="C257" s="33"/>
      <c r="D257" s="33"/>
      <c r="E257" s="126"/>
      <c r="F257" s="126"/>
      <c r="G257" s="126"/>
      <c r="H257" s="52"/>
      <c r="I257" s="366"/>
      <c r="J257" s="1277"/>
      <c r="K257" s="1278"/>
      <c r="L257" s="1278"/>
      <c r="M257" s="1278"/>
      <c r="N257" s="1278"/>
      <c r="O257" s="1279"/>
    </row>
    <row r="258" spans="1:15" ht="17.25" hidden="1" customHeight="1" x14ac:dyDescent="0.2"/>
    <row r="259" spans="1:15" ht="17.25" hidden="1" customHeight="1" x14ac:dyDescent="0.2"/>
    <row r="260" spans="1:15" ht="17.25" hidden="1" customHeight="1" x14ac:dyDescent="0.2">
      <c r="A260" s="204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17.25" hidden="1" customHeight="1" x14ac:dyDescent="0.2">
      <c r="A261" s="262"/>
      <c r="B261" s="1225"/>
      <c r="C261" s="1225"/>
      <c r="D261" s="1225"/>
      <c r="E261" s="1225"/>
      <c r="F261" s="1225"/>
      <c r="G261" s="1225"/>
      <c r="H261" s="1225"/>
      <c r="I261" s="1225"/>
      <c r="J261" s="1225"/>
      <c r="K261" s="1225"/>
      <c r="L261" s="1225"/>
      <c r="M261" s="1225"/>
      <c r="N261" s="1225"/>
      <c r="O261" s="1225"/>
    </row>
    <row r="262" spans="1:15" ht="22.5" hidden="1" customHeight="1" x14ac:dyDescent="0.2">
      <c r="A262" s="1221"/>
      <c r="B262" s="1222"/>
      <c r="C262" s="1222"/>
      <c r="D262" s="1222"/>
      <c r="E262" s="1222"/>
      <c r="F262" s="1222"/>
      <c r="G262" s="1242"/>
      <c r="H262" s="128"/>
      <c r="I262" s="1243"/>
      <c r="J262" s="1222"/>
      <c r="K262" s="1222"/>
      <c r="L262" s="1222"/>
      <c r="M262" s="1222"/>
      <c r="N262" s="1222"/>
      <c r="O262" s="1242"/>
    </row>
    <row r="263" spans="1:15" ht="20.25" hidden="1" customHeight="1" x14ac:dyDescent="0.2">
      <c r="A263" s="202"/>
      <c r="B263" s="236"/>
      <c r="C263" s="236"/>
      <c r="D263" s="236"/>
      <c r="E263" s="237"/>
      <c r="F263" s="237"/>
      <c r="G263" s="237"/>
      <c r="H263" s="203"/>
      <c r="I263" s="269"/>
      <c r="J263" s="236"/>
      <c r="K263" s="236"/>
      <c r="L263" s="236"/>
      <c r="M263" s="237"/>
      <c r="N263" s="237"/>
      <c r="O263" s="237"/>
    </row>
    <row r="264" spans="1:15" ht="12.75" hidden="1" x14ac:dyDescent="0.2">
      <c r="A264" s="122"/>
      <c r="B264" s="201"/>
      <c r="C264" s="123"/>
      <c r="D264" s="123"/>
      <c r="E264" s="10"/>
      <c r="F264" s="10"/>
      <c r="G264" s="130"/>
      <c r="H264" s="128"/>
    </row>
    <row r="265" spans="1:15" ht="12.75" hidden="1" x14ac:dyDescent="0.2">
      <c r="A265" s="134"/>
      <c r="B265" s="33"/>
      <c r="C265" s="33"/>
      <c r="D265" s="33"/>
      <c r="E265" s="36"/>
      <c r="F265" s="36"/>
      <c r="G265" s="36"/>
      <c r="H265" s="128"/>
      <c r="I265" s="1226"/>
      <c r="J265" s="1227"/>
      <c r="K265" s="1227"/>
      <c r="L265" s="1227"/>
      <c r="M265" s="1227"/>
      <c r="N265" s="1227"/>
      <c r="O265" s="1228"/>
    </row>
    <row r="266" spans="1:15" ht="12.75" hidden="1" x14ac:dyDescent="0.2">
      <c r="A266" s="122"/>
      <c r="B266" s="201"/>
      <c r="C266" s="123"/>
      <c r="D266" s="123"/>
      <c r="E266" s="10"/>
      <c r="F266" s="10"/>
      <c r="G266" s="130"/>
      <c r="H266" s="10"/>
      <c r="I266" s="134"/>
      <c r="J266" s="34"/>
      <c r="K266" s="34"/>
      <c r="L266" s="34"/>
      <c r="M266" s="36"/>
      <c r="N266" s="36"/>
      <c r="O266" s="36"/>
    </row>
    <row r="267" spans="1:15" ht="12.75" hidden="1" x14ac:dyDescent="0.2">
      <c r="A267" s="1293"/>
      <c r="B267" s="1294"/>
      <c r="C267" s="1294"/>
      <c r="D267" s="1294"/>
      <c r="E267" s="1294"/>
      <c r="F267" s="1294"/>
      <c r="G267" s="1295"/>
      <c r="H267" s="10"/>
    </row>
    <row r="268" spans="1:15" ht="12.75" hidden="1" x14ac:dyDescent="0.2">
      <c r="A268" s="1226"/>
      <c r="B268" s="1227"/>
      <c r="C268" s="1227"/>
      <c r="D268" s="1227"/>
      <c r="E268" s="1227"/>
      <c r="F268" s="1227"/>
      <c r="G268" s="1228"/>
      <c r="H268" s="30"/>
      <c r="I268" s="333"/>
      <c r="J268" s="334"/>
      <c r="K268" s="334"/>
      <c r="L268" s="334"/>
      <c r="M268" s="334"/>
      <c r="N268" s="334"/>
      <c r="O268" s="335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30"/>
      <c r="I270" s="339"/>
      <c r="J270" s="336"/>
      <c r="K270" s="338"/>
      <c r="L270" s="337"/>
      <c r="M270" s="125"/>
      <c r="N270" s="125"/>
      <c r="O270" s="12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52"/>
      <c r="I271" s="339"/>
      <c r="J271" s="336"/>
      <c r="K271" s="338"/>
      <c r="L271" s="337"/>
      <c r="M271" s="264"/>
      <c r="N271" s="479"/>
      <c r="O271" s="47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8"/>
      <c r="I272" s="339"/>
      <c r="J272" s="336"/>
      <c r="K272" s="338"/>
      <c r="L272" s="337"/>
      <c r="M272" s="125"/>
      <c r="N272" s="125"/>
      <c r="O272" s="129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  <c r="I273" s="339"/>
      <c r="J273" s="34"/>
      <c r="K273" s="34"/>
      <c r="L273" s="34"/>
      <c r="M273" s="126"/>
      <c r="N273" s="126"/>
      <c r="O273" s="126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  <c r="I275" s="134"/>
      <c r="J275" s="33"/>
      <c r="K275" s="33"/>
      <c r="L275" s="33"/>
      <c r="M275" s="126"/>
      <c r="N275" s="126"/>
      <c r="O275" s="126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</row>
    <row r="279" spans="1:15" ht="12.75" hidden="1" x14ac:dyDescent="0.2">
      <c r="A279" s="121"/>
      <c r="B279" s="1229"/>
      <c r="C279" s="1230"/>
      <c r="D279" s="1231"/>
      <c r="E279" s="36"/>
      <c r="F279" s="36"/>
      <c r="G279" s="36"/>
      <c r="H279" s="52"/>
      <c r="I279" s="1235"/>
      <c r="J279" s="1236"/>
      <c r="K279" s="1236"/>
      <c r="L279" s="1236"/>
      <c r="M279" s="1236"/>
      <c r="N279" s="1236"/>
      <c r="O279" s="1237"/>
    </row>
    <row r="280" spans="1:15" ht="12.75" hidden="1" customHeight="1" x14ac:dyDescent="0.2">
      <c r="A280" s="268"/>
      <c r="B280" s="1229"/>
      <c r="C280" s="1230"/>
      <c r="D280" s="1231"/>
      <c r="E280" s="126"/>
      <c r="F280" s="126"/>
      <c r="G280" s="126"/>
      <c r="H280" s="52"/>
      <c r="I280" s="1238"/>
      <c r="J280" s="1239"/>
      <c r="K280" s="1239"/>
      <c r="L280" s="1239"/>
      <c r="M280" s="1239"/>
      <c r="N280" s="1239"/>
      <c r="O280" s="1240"/>
    </row>
    <row r="281" spans="1:15" ht="12.75" hidden="1" x14ac:dyDescent="0.2">
      <c r="A281" s="1226"/>
      <c r="B281" s="1227"/>
      <c r="C281" s="1227"/>
      <c r="D281" s="1227"/>
      <c r="E281" s="1227"/>
      <c r="F281" s="1227"/>
      <c r="G281" s="1228"/>
      <c r="H281" s="52"/>
      <c r="I281" s="17"/>
      <c r="J281" s="18"/>
      <c r="K281" s="18"/>
      <c r="L281" s="18"/>
      <c r="M281" s="18"/>
      <c r="N281" s="18"/>
      <c r="O281" s="18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  <c r="I282" s="52"/>
      <c r="J282" s="52"/>
      <c r="K282" s="52"/>
      <c r="L282" s="14"/>
      <c r="M282" s="53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39"/>
      <c r="J284" s="1297"/>
      <c r="K284" s="1298"/>
      <c r="L284" s="1299"/>
      <c r="M284" s="126"/>
      <c r="N284" s="126"/>
      <c r="O284" s="126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9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97"/>
      <c r="K287" s="1298"/>
      <c r="L287" s="1299"/>
      <c r="M287" s="125"/>
      <c r="N287" s="125"/>
      <c r="O287" s="129"/>
    </row>
    <row r="288" spans="1:15" ht="12.75" hidden="1" x14ac:dyDescent="0.2">
      <c r="A288" s="121"/>
      <c r="B288" s="1229"/>
      <c r="C288" s="1230"/>
      <c r="D288" s="1231"/>
      <c r="E288" s="36"/>
      <c r="F288" s="36"/>
      <c r="G288" s="36"/>
      <c r="H288" s="52"/>
      <c r="I288" s="276"/>
      <c r="J288" s="1286"/>
      <c r="K288" s="1286"/>
      <c r="L288" s="1286"/>
      <c r="M288" s="300" t="str">
        <f>IF(SUM(M285:M287)=M284,"OK","STOP")</f>
        <v>OK</v>
      </c>
      <c r="N288" s="300" t="str">
        <f>IF(SUM(N285:N287)=N284,"OK","STOP")</f>
        <v>OK</v>
      </c>
      <c r="O288" s="300" t="str">
        <f>IF(SUM(O285:O287)=O284,"OK","STOP")</f>
        <v>OK</v>
      </c>
    </row>
    <row r="289" spans="1:15" ht="12.75" hidden="1" x14ac:dyDescent="0.2">
      <c r="A289" s="121"/>
      <c r="B289" s="1229"/>
      <c r="C289" s="1230"/>
      <c r="D289" s="1231"/>
      <c r="E289" s="126"/>
      <c r="F289" s="126"/>
      <c r="G289" s="126"/>
      <c r="H289" s="52"/>
      <c r="I289" s="367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2.75" hidden="1" x14ac:dyDescent="0.2">
      <c r="A290" s="121"/>
      <c r="B290" s="1229"/>
      <c r="C290" s="1230"/>
      <c r="D290" s="1231"/>
      <c r="E290" s="36"/>
      <c r="F290" s="36"/>
      <c r="G290" s="36"/>
      <c r="H290" s="52"/>
      <c r="I290" s="365">
        <f>M263</f>
        <v>0</v>
      </c>
      <c r="J290" s="1271"/>
      <c r="K290" s="1272"/>
      <c r="L290" s="1272"/>
      <c r="M290" s="1272"/>
      <c r="N290" s="1272"/>
      <c r="O290" s="1273"/>
    </row>
    <row r="291" spans="1:15" ht="12.75" hidden="1" x14ac:dyDescent="0.2">
      <c r="A291" s="121"/>
      <c r="B291" s="1259"/>
      <c r="C291" s="1260"/>
      <c r="D291" s="1261"/>
      <c r="E291" s="36"/>
      <c r="F291" s="36"/>
      <c r="G291" s="36"/>
      <c r="H291" s="52"/>
      <c r="I291" s="366"/>
      <c r="J291" s="1274"/>
      <c r="K291" s="1275"/>
      <c r="L291" s="1275"/>
      <c r="M291" s="1275"/>
      <c r="N291" s="1275"/>
      <c r="O291" s="1276"/>
    </row>
    <row r="292" spans="1:15" ht="12.75" hidden="1" x14ac:dyDescent="0.2">
      <c r="A292" s="239"/>
      <c r="B292" s="1229"/>
      <c r="C292" s="1230"/>
      <c r="D292" s="273"/>
      <c r="E292" s="270"/>
      <c r="F292" s="270"/>
      <c r="G292" s="270"/>
      <c r="H292" s="52"/>
      <c r="I292" s="365">
        <f>N263</f>
        <v>0</v>
      </c>
      <c r="J292" s="1271"/>
      <c r="K292" s="1272"/>
      <c r="L292" s="1272"/>
      <c r="M292" s="1272"/>
      <c r="N292" s="1272"/>
      <c r="O292" s="1273"/>
    </row>
    <row r="293" spans="1:15" ht="12.75" hidden="1" x14ac:dyDescent="0.2">
      <c r="A293" s="121"/>
      <c r="B293" s="1262"/>
      <c r="C293" s="1263"/>
      <c r="D293" s="1264"/>
      <c r="E293" s="126"/>
      <c r="F293" s="126"/>
      <c r="G293" s="126"/>
      <c r="H293" s="52"/>
      <c r="I293" s="366"/>
      <c r="J293" s="1277"/>
      <c r="K293" s="1278"/>
      <c r="L293" s="1278"/>
      <c r="M293" s="1278"/>
      <c r="N293" s="1278"/>
      <c r="O293" s="1279"/>
    </row>
    <row r="294" spans="1:15" ht="12.75" hidden="1" x14ac:dyDescent="0.2">
      <c r="A294" s="122"/>
      <c r="B294" s="201"/>
      <c r="C294" s="123"/>
      <c r="D294" s="123"/>
      <c r="E294" s="10"/>
      <c r="F294" s="10"/>
      <c r="G294" s="130"/>
      <c r="H294" s="52"/>
      <c r="I294" s="365">
        <f>O263</f>
        <v>0</v>
      </c>
      <c r="J294" s="1271"/>
      <c r="K294" s="1272"/>
      <c r="L294" s="1272"/>
      <c r="M294" s="1272"/>
      <c r="N294" s="1272"/>
      <c r="O294" s="1273"/>
    </row>
    <row r="295" spans="1:15" ht="12.75" hidden="1" x14ac:dyDescent="0.2">
      <c r="A295" s="134"/>
      <c r="B295" s="33"/>
      <c r="C295" s="33"/>
      <c r="D295" s="33"/>
      <c r="E295" s="126"/>
      <c r="F295" s="126"/>
      <c r="G295" s="126"/>
      <c r="H295" s="52"/>
      <c r="I295" s="366"/>
      <c r="J295" s="1277"/>
      <c r="K295" s="1278"/>
      <c r="L295" s="1278"/>
      <c r="M295" s="1278"/>
      <c r="N295" s="1278"/>
      <c r="O295" s="1279"/>
    </row>
  </sheetData>
  <sheetProtection sheet="1" objects="1" scenarios="1" selectLockedCells="1"/>
  <mergeCells count="338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rgb="FFFF0000"/>
    <pageSetUpPr fitToPage="1"/>
  </sheetPr>
  <dimension ref="A1:O294"/>
  <sheetViews>
    <sheetView showGridLines="0" topLeftCell="A159" workbookViewId="0">
      <selection activeCell="M73" sqref="M73"/>
    </sheetView>
  </sheetViews>
  <sheetFormatPr defaultColWidth="9.140625" defaultRowHeight="17.25" customHeight="1" x14ac:dyDescent="0.2"/>
  <cols>
    <col min="1" max="1" width="25.85546875" style="95" customWidth="1"/>
    <col min="2" max="2" width="9" style="95" customWidth="1"/>
    <col min="3" max="3" width="10.28515625" style="95" customWidth="1"/>
    <col min="4" max="4" width="9.7109375" style="95" customWidth="1"/>
    <col min="5" max="5" width="11.5703125" style="95" customWidth="1"/>
    <col min="6" max="6" width="11.42578125" style="95" customWidth="1"/>
    <col min="7" max="7" width="12.85546875" style="95" customWidth="1"/>
    <col min="8" max="8" width="2.7109375" style="95" customWidth="1"/>
    <col min="9" max="9" width="29.7109375" style="95" customWidth="1"/>
    <col min="10" max="10" width="9.7109375" style="95" customWidth="1"/>
    <col min="11" max="12" width="9.85546875" style="95" customWidth="1"/>
    <col min="13" max="13" width="9.5703125" style="95" customWidth="1"/>
    <col min="14" max="14" width="10.42578125" style="95" customWidth="1"/>
    <col min="15" max="15" width="9.85546875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Fjalori'!A73</f>
        <v>Nënfunksioni 10</v>
      </c>
      <c r="B2" s="1130" t="str">
        <f>+VLOOKUP($A2,'(B2) Struktura Organizative'!$A7:$E33,2,FALSE)</f>
        <v>062 Menaxhimi i i mbetjeve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Funksionale'!A60</f>
        <v>Programi 10a</v>
      </c>
      <c r="B6" s="1203"/>
      <c r="C6" s="1204" t="str">
        <f>VLOOKUP($A6,'(B3) Struktura Funksionale'!$A$7:$E$146,3,FALSE)</f>
        <v>Menaxhimi i mbetjeve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Funksionale'!A61</f>
        <v>Programi 10b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Funksionale'!A62</f>
        <v>Programi 10c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10</v>
      </c>
      <c r="B14" s="1225" t="str">
        <f>B$2</f>
        <v>062 Menaxhimi i i mbetjeve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774">
        <f t="shared" ref="B18:G18" si="1">B72+B111+B150+B188+B226+B264</f>
        <v>37620677</v>
      </c>
      <c r="C18" s="774">
        <f t="shared" si="1"/>
        <v>105911830</v>
      </c>
      <c r="D18" s="774">
        <f t="shared" si="1"/>
        <v>140388286</v>
      </c>
      <c r="E18" s="713">
        <f t="shared" si="1"/>
        <v>150000000</v>
      </c>
      <c r="F18" s="713">
        <f t="shared" si="1"/>
        <v>150000000</v>
      </c>
      <c r="G18" s="713">
        <f t="shared" si="1"/>
        <v>150000000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775">
        <f t="shared" ref="J19:O19" si="2">J73+J112+J151+J189+J227+J265</f>
        <v>74919468</v>
      </c>
      <c r="K19" s="775">
        <f t="shared" si="2"/>
        <v>77760684</v>
      </c>
      <c r="L19" s="774">
        <f t="shared" si="2"/>
        <v>123100000</v>
      </c>
      <c r="M19" s="713">
        <f t="shared" si="2"/>
        <v>122346375</v>
      </c>
      <c r="N19" s="713">
        <f t="shared" si="2"/>
        <v>124181570</v>
      </c>
      <c r="O19" s="713">
        <f t="shared" si="2"/>
        <v>126044294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774">
        <f t="shared" ref="J29:O29" si="5">J82+J121+J160+J198+J236+J274</f>
        <v>74919468</v>
      </c>
      <c r="K29" s="774">
        <f t="shared" si="5"/>
        <v>77760684</v>
      </c>
      <c r="L29" s="774">
        <f t="shared" si="5"/>
        <v>123100000</v>
      </c>
      <c r="M29" s="713">
        <f t="shared" si="5"/>
        <v>122346375</v>
      </c>
      <c r="N29" s="713">
        <f t="shared" si="5"/>
        <v>124181570</v>
      </c>
      <c r="O29" s="713">
        <f t="shared" si="5"/>
        <v>126044294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780">
        <f t="shared" ref="J34:O34" si="6">J88+J127+J166+J204+J242+J280</f>
        <v>-37298791</v>
      </c>
      <c r="K34" s="780">
        <f t="shared" si="6"/>
        <v>28151146</v>
      </c>
      <c r="L34" s="780">
        <f t="shared" si="6"/>
        <v>17288286</v>
      </c>
      <c r="M34" s="780">
        <f t="shared" si="6"/>
        <v>27653625</v>
      </c>
      <c r="N34" s="780">
        <f t="shared" si="6"/>
        <v>25818430</v>
      </c>
      <c r="O34" s="780">
        <f t="shared" si="6"/>
        <v>23955706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150000000</v>
      </c>
      <c r="F37" s="267">
        <f t="shared" si="7"/>
        <v>150000000</v>
      </c>
      <c r="G37" s="267">
        <f t="shared" si="7"/>
        <v>150000000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713">
        <f t="shared" si="7"/>
        <v>150000000</v>
      </c>
      <c r="F46" s="713">
        <f t="shared" si="7"/>
        <v>150000000</v>
      </c>
      <c r="G46" s="713">
        <f t="shared" si="7"/>
        <v>150000000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276"/>
      <c r="F47" s="276"/>
      <c r="G47" s="712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774">
        <f t="shared" ref="B48:G48" si="11">B102+B141+B180+B218+B256+B294</f>
        <v>37620677</v>
      </c>
      <c r="C48" s="774">
        <f t="shared" si="11"/>
        <v>105911830</v>
      </c>
      <c r="D48" s="774">
        <f t="shared" si="11"/>
        <v>140388286</v>
      </c>
      <c r="E48" s="713">
        <f t="shared" si="11"/>
        <v>150000000</v>
      </c>
      <c r="F48" s="713">
        <f t="shared" si="11"/>
        <v>150000000</v>
      </c>
      <c r="G48" s="713">
        <f t="shared" si="11"/>
        <v>150000000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150000000</v>
      </c>
      <c r="N52" s="135">
        <f>VLOOKUP($A14,'(D1) Tavanet buxhetore'!$A$7:$R$473,8,FALSE)</f>
        <v>150000000</v>
      </c>
      <c r="O52" s="587">
        <f>VLOOKUP($A14,'(D1) Tavanet buxhetore'!$A$7:$R$473,9,FALSE)</f>
        <v>150000000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150000000</v>
      </c>
      <c r="N53" s="136">
        <f>F18</f>
        <v>150000000</v>
      </c>
      <c r="O53" s="588">
        <f>G18</f>
        <v>150000000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150000000</v>
      </c>
      <c r="N58" s="135">
        <f>VLOOKUP($A14,'(D1) Tavanet buxhetore'!$A$7:$R$473,14,FALSE)</f>
        <v>150000000</v>
      </c>
      <c r="O58" s="587">
        <f>VLOOKUP($A14,'(D1) Tavanet buxhetore'!$A$7:$R$473,15,FALSE)</f>
        <v>150000000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150000000</v>
      </c>
      <c r="N59" s="136">
        <f>N53-N56-N62</f>
        <v>150000000</v>
      </c>
      <c r="O59" s="588">
        <f>O53-O56-O62</f>
        <v>150000000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10</v>
      </c>
      <c r="B66" s="1225" t="str">
        <f t="shared" si="12"/>
        <v>062 Menaxhimi i i mbetjeve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10a</v>
      </c>
      <c r="B67" s="1225" t="str">
        <f>C6</f>
        <v>Menaxhimi i mbetjeve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Funksionale'!B60</f>
        <v>06260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769">
        <f>VLOOKUP(A67,'(C1) Shpenzimet vitet e kaluara'!A$9:O$177,5,FALSE)</f>
        <v>37620677</v>
      </c>
      <c r="C72" s="769">
        <f>VLOOKUP(A67,'(C1) Shpenzimet vitet e kaluara'!A$9:O$177,9,FALSE)</f>
        <v>105911830</v>
      </c>
      <c r="D72" s="769">
        <f>VLOOKUP(A67,'(C1) Shpenzimet vitet e kaluara'!A$9:O$177,13,FALSE)</f>
        <v>140388286</v>
      </c>
      <c r="E72" s="784">
        <v>150000000</v>
      </c>
      <c r="F72" s="784">
        <v>150000000</v>
      </c>
      <c r="G72" s="784">
        <v>150000000</v>
      </c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775">
        <f>VLOOKUP($A67,'(C1) Shpenzimet vitet e kaluara'!$A$9:$O$177,6,FALSE)</f>
        <v>74919468</v>
      </c>
      <c r="K73" s="775">
        <f>VLOOKUP($A67,'(C1) Shpenzimet vitet e kaluara'!$A$9:$O$177,10,FALSE)</f>
        <v>77760684</v>
      </c>
      <c r="L73" s="775">
        <f>VLOOKUP($A67,'(C1) Shpenzimet vitet e kaluara'!$A$9:$O$177,14,FALSE)</f>
        <v>123100000</v>
      </c>
      <c r="M73" s="708">
        <v>122346375</v>
      </c>
      <c r="N73" s="708">
        <v>124181570</v>
      </c>
      <c r="O73" s="708">
        <v>126044294</v>
      </c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774">
        <f>J73+J80</f>
        <v>74919468</v>
      </c>
      <c r="K82" s="774">
        <f>K73+K80</f>
        <v>77760684</v>
      </c>
      <c r="L82" s="774">
        <f>L73+L80</f>
        <v>123100000</v>
      </c>
      <c r="M82" s="713">
        <f>M80+M73</f>
        <v>122346375</v>
      </c>
      <c r="N82" s="713">
        <f>N80+N73</f>
        <v>124181570</v>
      </c>
      <c r="O82" s="713">
        <f>O80+O73</f>
        <v>126044294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780">
        <f t="shared" ref="J88:O88" si="21">B72-J82</f>
        <v>-37298791</v>
      </c>
      <c r="K88" s="780">
        <f t="shared" si="21"/>
        <v>28151146</v>
      </c>
      <c r="L88" s="780">
        <f t="shared" si="21"/>
        <v>17288286</v>
      </c>
      <c r="M88" s="780">
        <f t="shared" si="21"/>
        <v>27653625</v>
      </c>
      <c r="N88" s="780">
        <f t="shared" si="21"/>
        <v>25818430</v>
      </c>
      <c r="O88" s="780">
        <f t="shared" si="21"/>
        <v>23955706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784">
        <v>150000000</v>
      </c>
      <c r="F91" s="784">
        <v>150000000</v>
      </c>
      <c r="G91" s="784">
        <v>150000000</v>
      </c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716">
        <f>-E87+E72-(SUM(E89:E98))</f>
        <v>0</v>
      </c>
      <c r="F99" s="717">
        <f>-F87+F72-(SUM(F89:F98))</f>
        <v>0</v>
      </c>
      <c r="G99" s="717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735">
        <f>SUM(E89:E99)</f>
        <v>150000000</v>
      </c>
      <c r="F100" s="735">
        <f>SUM(F89:F99)</f>
        <v>150000000</v>
      </c>
      <c r="G100" s="735">
        <f>SUM(G89:G99)</f>
        <v>150000000</v>
      </c>
      <c r="H100" s="751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774">
        <f>B72</f>
        <v>37620677</v>
      </c>
      <c r="C102" s="774">
        <f>C72</f>
        <v>105911830</v>
      </c>
      <c r="D102" s="774">
        <f>D72</f>
        <v>140388286</v>
      </c>
      <c r="E102" s="713">
        <f>E87+E100</f>
        <v>150000000</v>
      </c>
      <c r="F102" s="713">
        <f>F87+F100</f>
        <v>150000000</v>
      </c>
      <c r="G102" s="713">
        <f>G87+G100</f>
        <v>150000000</v>
      </c>
      <c r="H102" s="746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10</v>
      </c>
      <c r="B105" s="1225" t="str">
        <f t="shared" si="22"/>
        <v>062 Menaxhimi i i mbetjeve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10b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Funksionale'!B61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10</v>
      </c>
      <c r="B144" s="1225" t="str">
        <f t="shared" si="33"/>
        <v>062 Menaxhimi i i mbetjeve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10c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Funksionale'!B62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1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rgb="FFFF0000"/>
    <pageSetUpPr fitToPage="1"/>
  </sheetPr>
  <dimension ref="A1:O294"/>
  <sheetViews>
    <sheetView showGridLines="0" workbookViewId="0">
      <selection activeCell="N93" sqref="N93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30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Fjalori'!A74</f>
        <v>Nënfunksioni 11</v>
      </c>
      <c r="B2" s="1130" t="str">
        <f>+VLOOKUP($A2,'(B2) Struktura Organizative'!$A7:$E33,2,FALSE)</f>
        <v>052 Menaxhimi i ujrave të zeza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Funksionale'!A64</f>
        <v>Programi 11a</v>
      </c>
      <c r="B6" s="1203"/>
      <c r="C6" s="1204" t="str">
        <f>VLOOKUP($A6,'(B3) Struktura Funksionale'!$A$7:$E$146,3,FALSE)</f>
        <v>Menaxhimi i ujrave të zeza dhe kanalizimeve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Funksionale'!A65</f>
        <v>Programi 11b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Funksionale'!A66</f>
        <v>Programi 11c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11</v>
      </c>
      <c r="B14" s="1225" t="str">
        <f>B$2</f>
        <v>052 Menaxhimi i ujrave të zeza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11</v>
      </c>
      <c r="B66" s="1225" t="str">
        <f t="shared" si="12"/>
        <v>052 Menaxhimi i ujrave të zeza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11a</v>
      </c>
      <c r="B67" s="1225" t="str">
        <f>C6</f>
        <v>Menaxhimi i ujrave të zeza dhe kanalizimeve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Funksionale'!B64</f>
        <v>05200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11</v>
      </c>
      <c r="B105" s="1225" t="str">
        <f t="shared" si="22"/>
        <v>052 Menaxhimi i ujrave të zeza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11b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Funksionale'!B65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11</v>
      </c>
      <c r="B144" s="1225" t="str">
        <f t="shared" si="33"/>
        <v>052 Menaxhimi i ujrave të zeza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11c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Funksionale'!B66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rgb="FFFF0000"/>
    <pageSetUpPr fitToPage="1"/>
  </sheetPr>
  <dimension ref="A1:O294"/>
  <sheetViews>
    <sheetView showGridLines="0" topLeftCell="A55" workbookViewId="0">
      <selection activeCell="J99" sqref="J99:O100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29.8554687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Fjalori'!A75</f>
        <v>Nënfunksioni 12</v>
      </c>
      <c r="B2" s="1130" t="str">
        <f>+VLOOKUP($A2,'(B2) Struktura Organizative'!$A7:$E33,2,FALSE)</f>
        <v>053 Reduktimi i ndotjes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Funksionale'!A68</f>
        <v>Programi 12a</v>
      </c>
      <c r="B6" s="1203"/>
      <c r="C6" s="1204" t="str">
        <f>VLOOKUP($A6,'(B3) Struktura Funksionale'!$A$7:$E$146,3,FALSE)</f>
        <v>Programet e mbrojtjes së mjedisit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Funksionale'!A69</f>
        <v>Programi 12b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Funksionale'!A70</f>
        <v>Programi 12c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12</v>
      </c>
      <c r="B14" s="1225" t="str">
        <f>B$2</f>
        <v>053 Reduktimi i ndotjes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12</v>
      </c>
      <c r="B66" s="1225" t="str">
        <f t="shared" si="12"/>
        <v>053 Reduktimi i ndotjes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12a</v>
      </c>
      <c r="B67" s="1225" t="str">
        <f>C6</f>
        <v>Programet e mbrojtjes së mjedisit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Funksionale'!B68</f>
        <v>05320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12</v>
      </c>
      <c r="B105" s="1225" t="str">
        <f t="shared" si="22"/>
        <v>053 Reduktimi i ndotjes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12b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Funksionale'!B69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12</v>
      </c>
      <c r="B144" s="1225" t="str">
        <f t="shared" si="33"/>
        <v>053 Reduktimi i ndotjes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12c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Funksionale'!B70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tabColor rgb="FFFF0000"/>
    <pageSetUpPr fitToPage="1"/>
  </sheetPr>
  <dimension ref="A1:O294"/>
  <sheetViews>
    <sheetView showGridLines="0" topLeftCell="A8" workbookViewId="0">
      <selection activeCell="M92" sqref="M92:O93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29.570312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Fjalori'!A76</f>
        <v>Nënfunksioni 13</v>
      </c>
      <c r="B2" s="1130" t="str">
        <f>+VLOOKUP($A2,'(B2) Struktura Organizative'!$A7:$E33,2,FALSE)</f>
        <v>056 Mbrojtja e mjedisit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Funksionale'!A72</f>
        <v>Programi 13a</v>
      </c>
      <c r="B6" s="1203"/>
      <c r="C6" s="1204" t="str">
        <f>VLOOKUP($A6,'(B3) Struktura Funksionale'!$A$7:$E$146,3,FALSE)</f>
        <v>Ndërgjegjësimi mjedisor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Funksionale'!A73</f>
        <v>Programi 13b</v>
      </c>
      <c r="B7" s="1203"/>
      <c r="C7" s="1204" t="str">
        <f>VLOOKUP($A7,'(B3) Struktura Funksionale'!$A$7:$E$146,3,FALSE)</f>
        <v>Administrimi i resurseve ujore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customHeight="1" x14ac:dyDescent="0.2">
      <c r="A8" s="1202" t="str">
        <f>'(B3) Struktura Funksionale'!A74</f>
        <v>Programi 13c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13</v>
      </c>
      <c r="B14" s="1225" t="str">
        <f>B$2</f>
        <v>056 Mbrojtja e mjedisit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13</v>
      </c>
      <c r="B66" s="1225" t="str">
        <f t="shared" si="12"/>
        <v>056 Mbrojtja e mjedisit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13a</v>
      </c>
      <c r="B67" s="1225" t="str">
        <f>C6</f>
        <v>Ndërgjegjësimi mjedisor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Funksionale'!B72</f>
        <v>05630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4" spans="1:15" ht="17.25" hidden="1" customHeight="1" x14ac:dyDescent="0.2"/>
    <row r="105" spans="1:15" ht="17.25" hidden="1" customHeight="1" x14ac:dyDescent="0.2">
      <c r="A105" s="204" t="str">
        <f t="shared" ref="A105:O105" si="22">A66</f>
        <v>Nënfunksioni 13</v>
      </c>
      <c r="B105" s="1225" t="str">
        <f t="shared" si="22"/>
        <v>056 Mbrojtja e mjedisit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hidden="1" customHeight="1" x14ac:dyDescent="0.2">
      <c r="A106" s="262" t="str">
        <f>A7</f>
        <v>Programi 13b</v>
      </c>
      <c r="B106" s="1225" t="str">
        <f>C7</f>
        <v>Administrimi i resurseve ujore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hidden="1" customHeight="1" x14ac:dyDescent="0.2">
      <c r="A107" s="562" t="str">
        <f>'(B3) Struktura Funksionale'!B73</f>
        <v>05640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hidden="1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hidden="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hidden="1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hidden="1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hidden="1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hidden="1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hidden="1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hidden="1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hidden="1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hidden="1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hidden="1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hidden="1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hidden="1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hidden="1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hidden="1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hidden="1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hidden="1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hidden="1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hidden="1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hidden="1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hidden="1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hidden="1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hidden="1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hidden="1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hidden="1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hidden="1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hidden="1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hidden="1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hidden="1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hidden="1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hidden="1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hidden="1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hidden="1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hidden="1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2" spans="1:15" ht="17.25" hidden="1" customHeight="1" x14ac:dyDescent="0.2"/>
    <row r="144" spans="1:15" ht="17.25" customHeight="1" x14ac:dyDescent="0.2">
      <c r="A144" s="204" t="str">
        <f t="shared" ref="A144:O144" si="33">A66</f>
        <v>Nënfunksioni 13</v>
      </c>
      <c r="B144" s="1225" t="str">
        <f t="shared" si="33"/>
        <v>056 Mbrojtja e mjedisit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13c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Funksionale'!B74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tabColor rgb="FFFF0000"/>
    <pageSetUpPr fitToPage="1"/>
  </sheetPr>
  <dimension ref="A1:O294"/>
  <sheetViews>
    <sheetView showGridLines="0" topLeftCell="A5" workbookViewId="0">
      <selection activeCell="F72" sqref="F72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30" style="95" customWidth="1"/>
    <col min="10" max="10" width="9" style="95" customWidth="1"/>
    <col min="11" max="11" width="10.28515625" style="95" customWidth="1"/>
    <col min="12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Fjalori'!A77</f>
        <v>Nënfunksioni 14</v>
      </c>
      <c r="B2" s="1130" t="str">
        <f>+VLOOKUP($A2,'(B2) Struktura Organizative'!$A7:$E33,2,FALSE)</f>
        <v>061 Urbanistika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Funksionale'!A77</f>
        <v>Programi 14a</v>
      </c>
      <c r="B6" s="1203"/>
      <c r="C6" s="1204" t="str">
        <f>VLOOKUP($A6,'(B3) Struktura Funksionale'!$A$7:$E$146,3,FALSE)</f>
        <v>Planifikimi Urban Vendor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Funksionale'!A78</f>
        <v>Programi 14b</v>
      </c>
      <c r="B7" s="1203"/>
      <c r="C7" s="1204" t="str">
        <f>VLOOKUP($A7,'(B3) Struktura Funksionale'!$A$7:$E$146,3,FALSE)</f>
        <v>Planifikimi urban dhe strehimi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customHeight="1" x14ac:dyDescent="0.2">
      <c r="A8" s="1202" t="str">
        <f>'(B3) Struktura Funksionale'!A79</f>
        <v>Programi 14c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14</v>
      </c>
      <c r="B14" s="1225" t="str">
        <f>B$2</f>
        <v>061 Urbanistika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774">
        <f t="shared" ref="B18:G18" si="1">B72+B111+B150+B188+B226+B264</f>
        <v>311473</v>
      </c>
      <c r="C18" s="774">
        <f t="shared" si="1"/>
        <v>1379258</v>
      </c>
      <c r="D18" s="774">
        <f t="shared" si="1"/>
        <v>14372555</v>
      </c>
      <c r="E18" s="126">
        <f>E72+E111+E150+E188+E226+E264</f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775">
        <f t="shared" ref="J19:O19" si="2">J73+J112+J151+J189+J227+J265</f>
        <v>26660867</v>
      </c>
      <c r="K19" s="775">
        <f t="shared" si="2"/>
        <v>0</v>
      </c>
      <c r="L19" s="774">
        <f t="shared" si="2"/>
        <v>64885000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774">
        <f t="shared" ref="J29:O29" si="5">J82+J121+J160+J198+J236+J274</f>
        <v>26660867</v>
      </c>
      <c r="K29" s="33">
        <f t="shared" si="5"/>
        <v>0</v>
      </c>
      <c r="L29" s="33">
        <f t="shared" si="5"/>
        <v>64885000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780">
        <f t="shared" ref="J34:O34" si="6">J88+J127+J166+J204+J242+J280</f>
        <v>-26349394</v>
      </c>
      <c r="K34" s="780">
        <f t="shared" si="6"/>
        <v>1379258</v>
      </c>
      <c r="L34" s="780">
        <f t="shared" si="6"/>
        <v>-50512445</v>
      </c>
      <c r="M34" s="780">
        <f t="shared" si="6"/>
        <v>0</v>
      </c>
      <c r="N34" s="780">
        <f t="shared" si="6"/>
        <v>0</v>
      </c>
      <c r="O34" s="780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774">
        <f t="shared" ref="B48:G48" si="11">B102+B141+B180+B218+B256+B294</f>
        <v>311473</v>
      </c>
      <c r="C48" s="774">
        <f t="shared" si="11"/>
        <v>1379258</v>
      </c>
      <c r="D48" s="774">
        <f t="shared" si="11"/>
        <v>14372555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14</v>
      </c>
      <c r="B66" s="1225" t="str">
        <f t="shared" si="12"/>
        <v>061 Urbanistika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14a</v>
      </c>
      <c r="B67" s="1225" t="str">
        <f>C6</f>
        <v>Planifikimi Urban Vendor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Funksionale'!B77</f>
        <v>06140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769">
        <f>VLOOKUP(A67,'(C1) Shpenzimet vitet e kaluara'!A$9:O$177,5,FALSE)</f>
        <v>311473</v>
      </c>
      <c r="C72" s="769">
        <f>VLOOKUP(A67,'(C1) Shpenzimet vitet e kaluara'!A$9:O$177,9,FALSE)</f>
        <v>1379258</v>
      </c>
      <c r="D72" s="769">
        <f>VLOOKUP(A67,'(C1) Shpenzimet vitet e kaluara'!A$9:O$177,13,FALSE)</f>
        <v>14372555</v>
      </c>
      <c r="E72" s="770">
        <v>0</v>
      </c>
      <c r="F72" s="770"/>
      <c r="G72" s="770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775">
        <f>VLOOKUP($A67,'(C1) Shpenzimet vitet e kaluara'!$A$9:$O$177,6,FALSE)</f>
        <v>26660867</v>
      </c>
      <c r="K73" s="775">
        <f>VLOOKUP($A67,'(C1) Shpenzimet vitet e kaluara'!$A$9:$O$177,10,FALSE)</f>
        <v>0</v>
      </c>
      <c r="L73" s="775">
        <f>VLOOKUP($A67,'(C1) Shpenzimet vitet e kaluara'!$A$9:$O$177,14,FALSE)</f>
        <v>64885000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774">
        <f>J73+J80</f>
        <v>26660867</v>
      </c>
      <c r="K82" s="774">
        <f>K73+K80</f>
        <v>0</v>
      </c>
      <c r="L82" s="774">
        <f>L73+L80</f>
        <v>64885000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>
        <v>0</v>
      </c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780">
        <f t="shared" ref="J88:O88" si="21">B72-J82</f>
        <v>-26349394</v>
      </c>
      <c r="K88" s="780">
        <f t="shared" si="21"/>
        <v>1379258</v>
      </c>
      <c r="L88" s="780">
        <f t="shared" si="21"/>
        <v>-50512445</v>
      </c>
      <c r="M88" s="780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785"/>
      <c r="N92" s="785"/>
      <c r="O92" s="786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774">
        <f>B72</f>
        <v>311473</v>
      </c>
      <c r="C102" s="774">
        <f>C72</f>
        <v>1379258</v>
      </c>
      <c r="D102" s="774">
        <f>D72</f>
        <v>14372555</v>
      </c>
      <c r="E102" s="713">
        <f>E87+E100</f>
        <v>0</v>
      </c>
      <c r="F102" s="713">
        <f>F87+F100</f>
        <v>0</v>
      </c>
      <c r="G102" s="713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4" spans="1:15" ht="17.25" hidden="1" customHeight="1" x14ac:dyDescent="0.2"/>
    <row r="105" spans="1:15" ht="17.25" hidden="1" customHeight="1" x14ac:dyDescent="0.2">
      <c r="A105" s="204" t="str">
        <f t="shared" ref="A105:O105" si="22">A66</f>
        <v>Nënfunksioni 14</v>
      </c>
      <c r="B105" s="1225" t="str">
        <f t="shared" si="22"/>
        <v>061 Urbanistika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hidden="1" customHeight="1" x14ac:dyDescent="0.2">
      <c r="A106" s="262" t="str">
        <f>A7</f>
        <v>Programi 14b</v>
      </c>
      <c r="B106" s="1225" t="str">
        <f>C7</f>
        <v>Planifikimi urban dhe strehimi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hidden="1" customHeight="1" x14ac:dyDescent="0.2">
      <c r="A107" s="562" t="str">
        <f>'(B3) Struktura Funksionale'!B78</f>
        <v>06180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hidden="1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hidden="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hidden="1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hidden="1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hidden="1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hidden="1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hidden="1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hidden="1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hidden="1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hidden="1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hidden="1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hidden="1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hidden="1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hidden="1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hidden="1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hidden="1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hidden="1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hidden="1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hidden="1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hidden="1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hidden="1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hidden="1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hidden="1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hidden="1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hidden="1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hidden="1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hidden="1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hidden="1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hidden="1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hidden="1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hidden="1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hidden="1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hidden="1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hidden="1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2" spans="1:15" ht="17.25" hidden="1" customHeight="1" x14ac:dyDescent="0.2"/>
    <row r="144" spans="1:15" ht="17.25" customHeight="1" x14ac:dyDescent="0.2">
      <c r="A144" s="204" t="str">
        <f t="shared" ref="A144:O144" si="33">A66</f>
        <v>Nënfunksioni 14</v>
      </c>
      <c r="B144" s="1225" t="str">
        <f t="shared" si="33"/>
        <v>061 Urbanistika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14c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Funksionale'!B79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25" right="0.25" top="0.75" bottom="0.75" header="0.3" footer="0.3"/>
  <pageSetup paperSize="9" scale="84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tabColor rgb="FFFF0000"/>
    <pageSetUpPr fitToPage="1"/>
  </sheetPr>
  <dimension ref="A1:O294"/>
  <sheetViews>
    <sheetView showGridLines="0" topLeftCell="A103" workbookViewId="0">
      <selection activeCell="F295" sqref="F295:I297"/>
    </sheetView>
  </sheetViews>
  <sheetFormatPr defaultColWidth="9.140625" defaultRowHeight="17.25" customHeight="1" x14ac:dyDescent="0.2"/>
  <cols>
    <col min="1" max="1" width="25.85546875" style="95" customWidth="1"/>
    <col min="2" max="3" width="10.42578125" style="95" customWidth="1"/>
    <col min="4" max="4" width="9.85546875" style="95" customWidth="1"/>
    <col min="5" max="5" width="9" style="95" customWidth="1"/>
    <col min="6" max="6" width="10.140625" style="95" customWidth="1"/>
    <col min="7" max="7" width="10.28515625" style="95" customWidth="1"/>
    <col min="8" max="8" width="2.7109375" style="95" customWidth="1"/>
    <col min="9" max="9" width="24.140625" style="95" customWidth="1"/>
    <col min="10" max="10" width="9.5703125" style="95" customWidth="1"/>
    <col min="11" max="11" width="10.42578125" style="95" customWidth="1"/>
    <col min="12" max="12" width="12.28515625" style="95" customWidth="1"/>
    <col min="13" max="13" width="10.5703125" style="95" customWidth="1"/>
    <col min="14" max="14" width="10.7109375" style="95" customWidth="1"/>
    <col min="15" max="15" width="10.42578125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Fjalori'!A78</f>
        <v>Nënfunksioni 15</v>
      </c>
      <c r="B2" s="1130" t="str">
        <f>+VLOOKUP($A2,'(B2) Struktura Organizative'!$A7:$E33,2,FALSE)</f>
        <v>062 Zhvillimi i komunitetit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 t="str">
        <f>+VLOOKUP($A2,'(B2) Struktura Organizative'!$A7:$E33,4,FALSE)</f>
        <v>Arben Bektasha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Funksionale'!A81</f>
        <v>Programi 15a</v>
      </c>
      <c r="B6" s="1203"/>
      <c r="C6" s="1204" t="str">
        <f>VLOOKUP($A6,'(B3) Struktura Funksionale'!$A$7:$E$146,3,FALSE)</f>
        <v>Programet e zhvillimit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Funksionale'!A82</f>
        <v>Programi 15b</v>
      </c>
      <c r="B7" s="1203"/>
      <c r="C7" s="1204" t="str">
        <f>VLOOKUP($A7,'(B3) Struktura Funksionale'!$A$7:$E$146,3,FALSE)</f>
        <v>Sherbime publike vendore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customHeight="1" x14ac:dyDescent="0.2">
      <c r="A8" s="1202" t="str">
        <f>'(B3) Struktura Funksionale'!A83</f>
        <v>Programi 15c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15</v>
      </c>
      <c r="B14" s="1225" t="str">
        <f>B$2</f>
        <v>062 Zhvillimi i komunitetit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727" t="str">
        <f>A15</f>
        <v>SHPENZIME TË PRITSHME</v>
      </c>
      <c r="B18" s="728">
        <f t="shared" ref="B18:G18" si="1">B72+B111+B150+B188+B226+B264</f>
        <v>48731493</v>
      </c>
      <c r="C18" s="728">
        <f t="shared" si="1"/>
        <v>72282837</v>
      </c>
      <c r="D18" s="728">
        <f t="shared" si="1"/>
        <v>193698859</v>
      </c>
      <c r="E18" s="735">
        <f t="shared" si="1"/>
        <v>99335900</v>
      </c>
      <c r="F18" s="735">
        <f t="shared" si="1"/>
        <v>102823000</v>
      </c>
      <c r="G18" s="735">
        <f t="shared" si="1"/>
        <v>106667600</v>
      </c>
      <c r="H18" s="748"/>
      <c r="I18" s="1310" t="str">
        <f>'(G1) Fjalori'!A385</f>
        <v>VLERËSIM I ARDHURAVE NGA TARIFAT</v>
      </c>
      <c r="J18" s="1311"/>
      <c r="K18" s="1311"/>
      <c r="L18" s="1311"/>
      <c r="M18" s="1311"/>
      <c r="N18" s="1311"/>
      <c r="O18" s="1312"/>
    </row>
    <row r="19" spans="1:15" ht="12.75" x14ac:dyDescent="0.2">
      <c r="A19" s="730"/>
      <c r="B19" s="731"/>
      <c r="C19" s="732"/>
      <c r="D19" s="732"/>
      <c r="E19" s="733"/>
      <c r="F19" s="733"/>
      <c r="G19" s="734"/>
      <c r="H19" s="733"/>
      <c r="I19" s="727" t="str">
        <f>'(G1) Fjalori'!A388</f>
        <v>VLERËSIM I ARDHURAVE NGA TARIFAT</v>
      </c>
      <c r="J19" s="749">
        <f t="shared" ref="J19:O19" si="2">J73+J112+J151+J189+J227+J265</f>
        <v>42162659</v>
      </c>
      <c r="K19" s="749">
        <f t="shared" si="2"/>
        <v>43143981</v>
      </c>
      <c r="L19" s="728">
        <f t="shared" si="2"/>
        <v>75000000</v>
      </c>
      <c r="M19" s="735">
        <f t="shared" si="2"/>
        <v>72695639</v>
      </c>
      <c r="N19" s="735">
        <f t="shared" si="2"/>
        <v>73722128</v>
      </c>
      <c r="O19" s="735">
        <f t="shared" si="2"/>
        <v>74827960</v>
      </c>
    </row>
    <row r="20" spans="1:15" ht="12.75" x14ac:dyDescent="0.2">
      <c r="A20" s="1313" t="str">
        <f>A15</f>
        <v>SHPENZIME TË PRITSHME</v>
      </c>
      <c r="B20" s="1314"/>
      <c r="C20" s="1314"/>
      <c r="D20" s="1314"/>
      <c r="E20" s="1314"/>
      <c r="F20" s="1314"/>
      <c r="G20" s="1315"/>
      <c r="H20" s="733"/>
      <c r="I20" s="284"/>
      <c r="J20" s="284"/>
      <c r="K20" s="284"/>
      <c r="L20" s="284"/>
      <c r="M20" s="284"/>
      <c r="N20" s="284"/>
      <c r="O20" s="284"/>
    </row>
    <row r="21" spans="1:15" ht="12.75" customHeight="1" x14ac:dyDescent="0.2">
      <c r="A21" s="1310" t="str">
        <f>'(G1) Fjalori'!A382</f>
        <v>KOSTO DIREKTE PËR PROJEKTET DHE SHPENZIMET KAPITALE</v>
      </c>
      <c r="B21" s="1311"/>
      <c r="C21" s="1311"/>
      <c r="D21" s="1311"/>
      <c r="E21" s="1311"/>
      <c r="F21" s="1311"/>
      <c r="G21" s="1312"/>
      <c r="H21" s="750"/>
      <c r="I21" s="284"/>
      <c r="J21" s="284"/>
      <c r="K21" s="284"/>
      <c r="L21" s="284"/>
      <c r="M21" s="284"/>
      <c r="N21" s="284"/>
      <c r="O21" s="284"/>
    </row>
    <row r="22" spans="1:15" ht="12.75" customHeight="1" x14ac:dyDescent="0.2">
      <c r="A22" s="727" t="str">
        <f>'(G1) Fjalori'!A360</f>
        <v>Pagat</v>
      </c>
      <c r="B22" s="1316">
        <f>'(G1) Fjalori'!C360</f>
        <v>600</v>
      </c>
      <c r="C22" s="1317"/>
      <c r="D22" s="1318"/>
      <c r="E22" s="743">
        <f t="shared" ref="E22:G33" si="3">E76+E115+E154+E192+E230+E268</f>
        <v>0</v>
      </c>
      <c r="F22" s="743">
        <f t="shared" si="3"/>
        <v>0</v>
      </c>
      <c r="G22" s="743">
        <f t="shared" si="3"/>
        <v>0</v>
      </c>
      <c r="H22" s="750"/>
      <c r="I22" s="1310" t="str">
        <f>'(G1) Fjalori'!A389</f>
        <v>VLERËSIMI I TË ARDHURAVE ME DESTINACION</v>
      </c>
      <c r="J22" s="1311"/>
      <c r="K22" s="1311"/>
      <c r="L22" s="1311"/>
      <c r="M22" s="1311"/>
      <c r="N22" s="1311"/>
      <c r="O22" s="1312"/>
    </row>
    <row r="23" spans="1:15" ht="12.75" customHeight="1" x14ac:dyDescent="0.2">
      <c r="A23" s="727" t="str">
        <f>'(G1) Fjalori'!A361</f>
        <v>Sigurimet Shoqërore</v>
      </c>
      <c r="B23" s="1316">
        <f>'(G1) Fjalori'!C361</f>
        <v>601</v>
      </c>
      <c r="C23" s="1317"/>
      <c r="D23" s="1318"/>
      <c r="E23" s="743">
        <f t="shared" si="3"/>
        <v>0</v>
      </c>
      <c r="F23" s="743">
        <f t="shared" si="3"/>
        <v>0</v>
      </c>
      <c r="G23" s="743">
        <f t="shared" si="3"/>
        <v>0</v>
      </c>
      <c r="H23" s="750"/>
      <c r="I23" s="738" t="str">
        <f>'(G1) Fjalori'!A390</f>
        <v>Transferta e kushtëzuar</v>
      </c>
      <c r="J23" s="1319"/>
      <c r="K23" s="1320"/>
      <c r="L23" s="1321"/>
      <c r="M23" s="743">
        <f t="shared" ref="M23:O27" si="4">M76+M115+M154+M192+M230+M268</f>
        <v>0</v>
      </c>
      <c r="N23" s="743">
        <f t="shared" si="4"/>
        <v>0</v>
      </c>
      <c r="O23" s="743">
        <f t="shared" si="4"/>
        <v>0</v>
      </c>
    </row>
    <row r="24" spans="1:15" ht="12.75" customHeight="1" x14ac:dyDescent="0.2">
      <c r="A24" s="727" t="str">
        <f>'(G1) Fjalori'!A362</f>
        <v>Mallra dhe shërbime</v>
      </c>
      <c r="B24" s="1316">
        <f>'(G1) Fjalori'!C362</f>
        <v>602</v>
      </c>
      <c r="C24" s="1317"/>
      <c r="D24" s="1318"/>
      <c r="E24" s="743">
        <f t="shared" si="3"/>
        <v>0</v>
      </c>
      <c r="F24" s="743">
        <f t="shared" si="3"/>
        <v>0</v>
      </c>
      <c r="G24" s="743">
        <f t="shared" si="3"/>
        <v>0</v>
      </c>
      <c r="H24" s="751"/>
      <c r="I24" s="738" t="str">
        <f>'(G1) Fjalori'!A391</f>
        <v>Trasferta Specifike</v>
      </c>
      <c r="J24" s="1322"/>
      <c r="K24" s="1323"/>
      <c r="L24" s="1324"/>
      <c r="M24" s="743">
        <f t="shared" si="4"/>
        <v>0</v>
      </c>
      <c r="N24" s="743">
        <f t="shared" si="4"/>
        <v>0</v>
      </c>
      <c r="O24" s="743">
        <f t="shared" si="4"/>
        <v>0</v>
      </c>
    </row>
    <row r="25" spans="1:15" ht="12.75" customHeight="1" x14ac:dyDescent="0.2">
      <c r="A25" s="727" t="str">
        <f>'(G1) Fjalori'!A363</f>
        <v>Subvencione</v>
      </c>
      <c r="B25" s="1316">
        <f>'(G1) Fjalori'!C363</f>
        <v>603</v>
      </c>
      <c r="C25" s="1317"/>
      <c r="D25" s="1318"/>
      <c r="E25" s="743">
        <f t="shared" si="3"/>
        <v>0</v>
      </c>
      <c r="F25" s="743">
        <f t="shared" si="3"/>
        <v>0</v>
      </c>
      <c r="G25" s="743">
        <f t="shared" si="3"/>
        <v>0</v>
      </c>
      <c r="H25" s="752"/>
      <c r="I25" s="738" t="str">
        <f>'(G1) Fjalori'!A392</f>
        <v>Trashëgimi me destinacion</v>
      </c>
      <c r="J25" s="1322"/>
      <c r="K25" s="1323"/>
      <c r="L25" s="1324"/>
      <c r="M25" s="753">
        <f t="shared" si="4"/>
        <v>0</v>
      </c>
      <c r="N25" s="754">
        <f t="shared" si="4"/>
        <v>0</v>
      </c>
      <c r="O25" s="754">
        <f t="shared" si="4"/>
        <v>0</v>
      </c>
    </row>
    <row r="26" spans="1:15" ht="12.75" x14ac:dyDescent="0.2">
      <c r="A26" s="727" t="str">
        <f>'(G1) Fjalori'!A364</f>
        <v>Të tjera transferta korrente të brendshme</v>
      </c>
      <c r="B26" s="1316">
        <f>'(G1) Fjalori'!C364</f>
        <v>604</v>
      </c>
      <c r="C26" s="1317"/>
      <c r="D26" s="1318"/>
      <c r="E26" s="743">
        <f t="shared" si="3"/>
        <v>0</v>
      </c>
      <c r="F26" s="743">
        <f t="shared" si="3"/>
        <v>0</v>
      </c>
      <c r="G26" s="743">
        <f t="shared" si="3"/>
        <v>0</v>
      </c>
      <c r="H26" s="751"/>
      <c r="I26" s="738" t="str">
        <f>'(G1) Fjalori'!A393</f>
        <v>Burime të tjera (përfshirë gjobat)</v>
      </c>
      <c r="J26" s="1325"/>
      <c r="K26" s="1326"/>
      <c r="L26" s="1327"/>
      <c r="M26" s="743">
        <f t="shared" si="4"/>
        <v>0</v>
      </c>
      <c r="N26" s="743">
        <f t="shared" si="4"/>
        <v>0</v>
      </c>
      <c r="O26" s="743">
        <f t="shared" si="4"/>
        <v>0</v>
      </c>
    </row>
    <row r="27" spans="1:15" ht="12.75" x14ac:dyDescent="0.2">
      <c r="A27" s="727" t="str">
        <f>'(G1) Fjalori'!A365</f>
        <v>Transferta korrente të huaja</v>
      </c>
      <c r="B27" s="1316">
        <f>'(G1) Fjalori'!C365</f>
        <v>605</v>
      </c>
      <c r="C27" s="1317"/>
      <c r="D27" s="1318"/>
      <c r="E27" s="743">
        <f t="shared" si="3"/>
        <v>0</v>
      </c>
      <c r="F27" s="743">
        <f t="shared" si="3"/>
        <v>0</v>
      </c>
      <c r="G27" s="743">
        <f t="shared" si="3"/>
        <v>0</v>
      </c>
      <c r="H27" s="751"/>
      <c r="I27" s="738" t="str">
        <f>'(G1) Fjalori'!A394</f>
        <v>VLERËSIMI I TË ARDHURAVE ME DESTINACION</v>
      </c>
      <c r="J27" s="728">
        <f>J80+J119+J158+J196+J234+J272</f>
        <v>0</v>
      </c>
      <c r="K27" s="728">
        <f>K80+K119+K158+K196+K234+K272</f>
        <v>0</v>
      </c>
      <c r="L27" s="728">
        <f>L80+L119+L158+L196+L234+L272</f>
        <v>0</v>
      </c>
      <c r="M27" s="735">
        <f t="shared" si="4"/>
        <v>0</v>
      </c>
      <c r="N27" s="735">
        <f t="shared" si="4"/>
        <v>0</v>
      </c>
      <c r="O27" s="735">
        <f t="shared" si="4"/>
        <v>0</v>
      </c>
    </row>
    <row r="28" spans="1:15" ht="12.75" x14ac:dyDescent="0.2">
      <c r="A28" s="727" t="str">
        <f>'(G1) Fjalori'!A366</f>
        <v>Transferta për Buxhetet Familiare dhe Individët</v>
      </c>
      <c r="B28" s="1316">
        <f>'(G1) Fjalori'!C366</f>
        <v>606</v>
      </c>
      <c r="C28" s="1317"/>
      <c r="D28" s="1318"/>
      <c r="E28" s="743">
        <f t="shared" si="3"/>
        <v>0</v>
      </c>
      <c r="F28" s="743">
        <f t="shared" si="3"/>
        <v>0</v>
      </c>
      <c r="G28" s="743">
        <f t="shared" si="3"/>
        <v>0</v>
      </c>
      <c r="H28" s="751"/>
      <c r="I28" s="284"/>
      <c r="J28" s="284"/>
      <c r="K28" s="284"/>
      <c r="L28" s="284"/>
      <c r="M28" s="284"/>
      <c r="N28" s="284"/>
      <c r="O28" s="284"/>
    </row>
    <row r="29" spans="1:15" ht="12.75" x14ac:dyDescent="0.2">
      <c r="A29" s="727" t="str">
        <f>'(G1) Fjalori'!A367</f>
        <v>Shpenzimet kapitale</v>
      </c>
      <c r="B29" s="1316" t="str">
        <f>'(G1) Fjalori'!C367</f>
        <v>230 / 231</v>
      </c>
      <c r="C29" s="1317"/>
      <c r="D29" s="1318"/>
      <c r="E29" s="743">
        <f t="shared" si="3"/>
        <v>2929000</v>
      </c>
      <c r="F29" s="743">
        <f t="shared" si="3"/>
        <v>3002000</v>
      </c>
      <c r="G29" s="743">
        <f t="shared" si="3"/>
        <v>3126000</v>
      </c>
      <c r="H29" s="751"/>
      <c r="I29" s="727" t="str">
        <f>'(G1) Fjalori'!A395</f>
        <v xml:space="preserve">TË ARDHURAT E PRITSHME </v>
      </c>
      <c r="J29" s="728">
        <f t="shared" ref="J29:O29" si="5">J82+J121+J160+J198+J236+J274</f>
        <v>42162659</v>
      </c>
      <c r="K29" s="728">
        <f t="shared" si="5"/>
        <v>43143981</v>
      </c>
      <c r="L29" s="728">
        <f t="shared" si="5"/>
        <v>75000000</v>
      </c>
      <c r="M29" s="735">
        <f t="shared" si="5"/>
        <v>72695639</v>
      </c>
      <c r="N29" s="735">
        <f t="shared" si="5"/>
        <v>73722128</v>
      </c>
      <c r="O29" s="735">
        <f t="shared" si="5"/>
        <v>74827960</v>
      </c>
    </row>
    <row r="30" spans="1:15" ht="12.75" x14ac:dyDescent="0.2">
      <c r="A30" s="727" t="str">
        <f>'(G1) Fjalori'!A368</f>
        <v>Rezerva</v>
      </c>
      <c r="B30" s="1316">
        <f>'(G1) Fjalori'!C368</f>
        <v>609</v>
      </c>
      <c r="C30" s="1317"/>
      <c r="D30" s="1318"/>
      <c r="E30" s="743">
        <f t="shared" si="3"/>
        <v>0</v>
      </c>
      <c r="F30" s="743">
        <f t="shared" si="3"/>
        <v>0</v>
      </c>
      <c r="G30" s="743">
        <f t="shared" si="3"/>
        <v>0</v>
      </c>
      <c r="H30" s="751"/>
      <c r="I30" s="284"/>
      <c r="J30" s="284"/>
      <c r="K30" s="284"/>
      <c r="L30" s="284"/>
      <c r="M30" s="284"/>
      <c r="N30" s="284"/>
      <c r="O30" s="284"/>
    </row>
    <row r="31" spans="1:15" ht="12.75" x14ac:dyDescent="0.2">
      <c r="A31" s="727" t="str">
        <f>'(G1) Fjalori'!A369</f>
        <v>Interesa per kredi direkte ose bono</v>
      </c>
      <c r="B31" s="1316">
        <f>'(G1) Fjalori'!C369</f>
        <v>650</v>
      </c>
      <c r="C31" s="1317"/>
      <c r="D31" s="1318"/>
      <c r="E31" s="743">
        <f t="shared" si="3"/>
        <v>0</v>
      </c>
      <c r="F31" s="743">
        <f t="shared" si="3"/>
        <v>0</v>
      </c>
      <c r="G31" s="743">
        <f t="shared" si="3"/>
        <v>0</v>
      </c>
      <c r="H31" s="751"/>
      <c r="I31" s="284"/>
      <c r="J31" s="284"/>
      <c r="K31" s="284"/>
      <c r="L31" s="284"/>
      <c r="M31" s="284"/>
      <c r="N31" s="284"/>
      <c r="O31" s="284"/>
    </row>
    <row r="32" spans="1:15" ht="12.75" customHeight="1" x14ac:dyDescent="0.2">
      <c r="A32" s="727" t="str">
        <f>'(G1) Fjalori'!A370</f>
        <v>Të tjera</v>
      </c>
      <c r="B32" s="1316" t="str">
        <f>'(G1) Fjalori'!C370</f>
        <v>69 / ?</v>
      </c>
      <c r="C32" s="1317"/>
      <c r="D32" s="1318"/>
      <c r="E32" s="743">
        <f t="shared" si="3"/>
        <v>0</v>
      </c>
      <c r="F32" s="743">
        <f t="shared" si="3"/>
        <v>0</v>
      </c>
      <c r="G32" s="743">
        <f t="shared" si="3"/>
        <v>0</v>
      </c>
      <c r="H32" s="751"/>
      <c r="I32" s="1328" t="str">
        <f>'(G1) Fjalori'!A415</f>
        <v>SHUMA E KËRKUAR NETO</v>
      </c>
      <c r="J32" s="1329"/>
      <c r="K32" s="1329"/>
      <c r="L32" s="1329"/>
      <c r="M32" s="1329"/>
      <c r="N32" s="1329"/>
      <c r="O32" s="1330"/>
    </row>
    <row r="33" spans="1:15" ht="12.75" customHeight="1" x14ac:dyDescent="0.2">
      <c r="A33" s="736" t="str">
        <f>A21</f>
        <v>KOSTO DIREKTE PËR PROJEKTET DHE SHPENZIMET KAPITALE</v>
      </c>
      <c r="B33" s="1316"/>
      <c r="C33" s="1317"/>
      <c r="D33" s="1318"/>
      <c r="E33" s="735">
        <f t="shared" si="3"/>
        <v>2929000</v>
      </c>
      <c r="F33" s="735">
        <f t="shared" si="3"/>
        <v>3002000</v>
      </c>
      <c r="G33" s="735">
        <f t="shared" si="3"/>
        <v>3126000</v>
      </c>
      <c r="H33" s="751"/>
      <c r="I33" s="1331"/>
      <c r="J33" s="1332"/>
      <c r="K33" s="1332"/>
      <c r="L33" s="1332"/>
      <c r="M33" s="1332"/>
      <c r="N33" s="1332"/>
      <c r="O33" s="1333"/>
    </row>
    <row r="34" spans="1:15" ht="12.75" x14ac:dyDescent="0.2">
      <c r="A34" s="1310" t="str">
        <f>'(G1) Fjalori'!A383</f>
        <v>SHPENZIME KORRENTE</v>
      </c>
      <c r="B34" s="1311"/>
      <c r="C34" s="1311"/>
      <c r="D34" s="1311"/>
      <c r="E34" s="1311"/>
      <c r="F34" s="1311"/>
      <c r="G34" s="1312"/>
      <c r="H34" s="751"/>
      <c r="I34" s="755" t="str">
        <f>I32</f>
        <v>SHUMA E KËRKUAR NETO</v>
      </c>
      <c r="J34" s="742">
        <f t="shared" ref="J34:O34" si="6">J88+J127+J166+J204+J242+J280</f>
        <v>6568834</v>
      </c>
      <c r="K34" s="742">
        <f t="shared" si="6"/>
        <v>29138856</v>
      </c>
      <c r="L34" s="742">
        <f t="shared" si="6"/>
        <v>118698859</v>
      </c>
      <c r="M34" s="742">
        <f t="shared" si="6"/>
        <v>26640261</v>
      </c>
      <c r="N34" s="742">
        <f t="shared" si="6"/>
        <v>29100872</v>
      </c>
      <c r="O34" s="742">
        <f t="shared" si="6"/>
        <v>31839640</v>
      </c>
    </row>
    <row r="35" spans="1:15" ht="12.75" x14ac:dyDescent="0.2">
      <c r="A35" s="727" t="str">
        <f>A22</f>
        <v>Pagat</v>
      </c>
      <c r="B35" s="1316">
        <f>B22</f>
        <v>600</v>
      </c>
      <c r="C35" s="1317"/>
      <c r="D35" s="1318"/>
      <c r="E35" s="743">
        <f t="shared" ref="E35:G46" si="7">E89+E128+E167+E205+E243+E281</f>
        <v>61722718</v>
      </c>
      <c r="F35" s="743">
        <f t="shared" si="7"/>
        <v>64066696.400000006</v>
      </c>
      <c r="G35" s="743">
        <f t="shared" si="7"/>
        <v>66515716.400000006</v>
      </c>
      <c r="H35" s="751"/>
      <c r="I35" s="751"/>
      <c r="J35" s="751"/>
      <c r="K35" s="751"/>
      <c r="L35" s="756"/>
      <c r="M35" s="757"/>
      <c r="N35" s="284"/>
      <c r="O35" s="284"/>
    </row>
    <row r="36" spans="1:15" ht="12.75" customHeight="1" x14ac:dyDescent="0.2">
      <c r="A36" s="727" t="str">
        <f t="shared" ref="A36:A45" si="8">A23</f>
        <v>Sigurimet Shoqërore</v>
      </c>
      <c r="B36" s="1316">
        <f t="shared" ref="B36:B45" si="9">B23</f>
        <v>601</v>
      </c>
      <c r="C36" s="1317"/>
      <c r="D36" s="1318"/>
      <c r="E36" s="743">
        <f t="shared" si="7"/>
        <v>12374182</v>
      </c>
      <c r="F36" s="743">
        <f t="shared" si="7"/>
        <v>12844103.599999998</v>
      </c>
      <c r="G36" s="743">
        <f t="shared" si="7"/>
        <v>13335083.599999998</v>
      </c>
      <c r="H36" s="751"/>
      <c r="I36" s="284"/>
      <c r="J36" s="284"/>
      <c r="K36" s="284"/>
      <c r="L36" s="284"/>
      <c r="M36" s="284"/>
      <c r="N36" s="284"/>
      <c r="O36" s="284"/>
    </row>
    <row r="37" spans="1:15" ht="12.75" x14ac:dyDescent="0.2">
      <c r="A37" s="727" t="str">
        <f t="shared" si="8"/>
        <v>Mallra dhe shërbime</v>
      </c>
      <c r="B37" s="1316">
        <f t="shared" si="9"/>
        <v>602</v>
      </c>
      <c r="C37" s="1317"/>
      <c r="D37" s="1318"/>
      <c r="E37" s="743">
        <f t="shared" si="7"/>
        <v>22310000</v>
      </c>
      <c r="F37" s="743">
        <f t="shared" si="7"/>
        <v>22910200</v>
      </c>
      <c r="G37" s="743">
        <f t="shared" si="7"/>
        <v>23690800</v>
      </c>
      <c r="H37" s="751"/>
      <c r="I37" s="727" t="str">
        <f>'(G1) Fjalori'!A413</f>
        <v>Angazhimet</v>
      </c>
      <c r="J37" s="1341" t="str">
        <f>'(G1) Fjalori'!A454</f>
        <v>Vlera Totale për Aktivitet</v>
      </c>
      <c r="K37" s="1342"/>
      <c r="L37" s="1343"/>
      <c r="M37" s="735">
        <f t="shared" ref="M37:O40" si="10">M91+M130+M169+M207+M245+M283</f>
        <v>0</v>
      </c>
      <c r="N37" s="735">
        <f t="shared" si="10"/>
        <v>0</v>
      </c>
      <c r="O37" s="735">
        <f t="shared" si="10"/>
        <v>0</v>
      </c>
    </row>
    <row r="38" spans="1:15" ht="12.75" x14ac:dyDescent="0.2">
      <c r="A38" s="727" t="str">
        <f t="shared" si="8"/>
        <v>Subvencione</v>
      </c>
      <c r="B38" s="1316">
        <f t="shared" si="9"/>
        <v>603</v>
      </c>
      <c r="C38" s="1317"/>
      <c r="D38" s="1318"/>
      <c r="E38" s="743">
        <f t="shared" si="7"/>
        <v>0</v>
      </c>
      <c r="F38" s="743">
        <f t="shared" si="7"/>
        <v>0</v>
      </c>
      <c r="G38" s="743">
        <f t="shared" si="7"/>
        <v>0</v>
      </c>
      <c r="H38" s="751"/>
      <c r="I38" s="758" t="str">
        <f>'(G1) Fjalori'!A456</f>
        <v>Qëllime</v>
      </c>
      <c r="J38" s="759" t="str">
        <f>A29</f>
        <v>Shpenzimet kapitale</v>
      </c>
      <c r="K38" s="760"/>
      <c r="L38" s="761"/>
      <c r="M38" s="735">
        <f t="shared" si="10"/>
        <v>0</v>
      </c>
      <c r="N38" s="735">
        <f t="shared" si="10"/>
        <v>0</v>
      </c>
      <c r="O38" s="735">
        <f t="shared" si="10"/>
        <v>0</v>
      </c>
    </row>
    <row r="39" spans="1:15" ht="12.75" x14ac:dyDescent="0.2">
      <c r="A39" s="727" t="str">
        <f t="shared" si="8"/>
        <v>Të tjera transferta korrente të brendshme</v>
      </c>
      <c r="B39" s="1316">
        <f t="shared" si="9"/>
        <v>604</v>
      </c>
      <c r="C39" s="1317"/>
      <c r="D39" s="1318"/>
      <c r="E39" s="743">
        <f t="shared" si="7"/>
        <v>0</v>
      </c>
      <c r="F39" s="743">
        <f t="shared" si="7"/>
        <v>0</v>
      </c>
      <c r="G39" s="743">
        <f t="shared" si="7"/>
        <v>0</v>
      </c>
      <c r="H39" s="751"/>
      <c r="I39" s="733"/>
      <c r="J39" s="759" t="str">
        <f>A24</f>
        <v>Mallra dhe shërbime</v>
      </c>
      <c r="K39" s="760"/>
      <c r="L39" s="761"/>
      <c r="M39" s="735">
        <f t="shared" si="10"/>
        <v>0</v>
      </c>
      <c r="N39" s="735">
        <f t="shared" si="10"/>
        <v>0</v>
      </c>
      <c r="O39" s="735">
        <f t="shared" si="10"/>
        <v>0</v>
      </c>
    </row>
    <row r="40" spans="1:15" ht="12.75" x14ac:dyDescent="0.2">
      <c r="A40" s="727" t="str">
        <f t="shared" si="8"/>
        <v>Transferta korrente të huaja</v>
      </c>
      <c r="B40" s="1316">
        <f t="shared" si="9"/>
        <v>605</v>
      </c>
      <c r="C40" s="1317"/>
      <c r="D40" s="1318"/>
      <c r="E40" s="743">
        <f t="shared" si="7"/>
        <v>0</v>
      </c>
      <c r="F40" s="743">
        <f t="shared" si="7"/>
        <v>0</v>
      </c>
      <c r="G40" s="743">
        <f t="shared" si="7"/>
        <v>0</v>
      </c>
      <c r="H40" s="751"/>
      <c r="I40" s="733"/>
      <c r="J40" s="759" t="str">
        <f>'(G1) Fjalori'!A455</f>
        <v>Qëllime të mëtejshme</v>
      </c>
      <c r="K40" s="760"/>
      <c r="L40" s="761"/>
      <c r="M40" s="735">
        <f t="shared" si="10"/>
        <v>0</v>
      </c>
      <c r="N40" s="735">
        <f t="shared" si="10"/>
        <v>0</v>
      </c>
      <c r="O40" s="735">
        <f t="shared" si="10"/>
        <v>0</v>
      </c>
    </row>
    <row r="41" spans="1:15" ht="12.75" x14ac:dyDescent="0.2">
      <c r="A41" s="727" t="str">
        <f t="shared" si="8"/>
        <v>Transferta për Buxhetet Familiare dhe Individët</v>
      </c>
      <c r="B41" s="1316">
        <f t="shared" si="9"/>
        <v>606</v>
      </c>
      <c r="C41" s="1317"/>
      <c r="D41" s="1318"/>
      <c r="E41" s="743">
        <f t="shared" si="7"/>
        <v>0</v>
      </c>
      <c r="F41" s="743">
        <f t="shared" si="7"/>
        <v>0</v>
      </c>
      <c r="G41" s="743">
        <f t="shared" si="7"/>
        <v>0</v>
      </c>
      <c r="H41" s="751"/>
      <c r="I41" s="733"/>
      <c r="J41" s="1368"/>
      <c r="K41" s="1368"/>
      <c r="L41" s="1368"/>
      <c r="M41" s="762" t="str">
        <f>IF(SUM(M38:M40)=M37,"OK","STOP")</f>
        <v>OK</v>
      </c>
      <c r="N41" s="762" t="str">
        <f>IF(SUM(N38:N40)=N37,"OK","STOP")</f>
        <v>OK</v>
      </c>
      <c r="O41" s="762" t="str">
        <f>IF(SUM(O38:O40)=O37,"OK","STOP")</f>
        <v>OK</v>
      </c>
    </row>
    <row r="42" spans="1:15" ht="12.75" x14ac:dyDescent="0.2">
      <c r="A42" s="737" t="str">
        <f t="shared" si="8"/>
        <v>Shpenzimet kapitale</v>
      </c>
      <c r="B42" s="1350" t="str">
        <f t="shared" si="9"/>
        <v>230 / 231</v>
      </c>
      <c r="C42" s="1351"/>
      <c r="D42" s="1352"/>
      <c r="E42" s="743">
        <f t="shared" si="7"/>
        <v>0</v>
      </c>
      <c r="F42" s="743">
        <f t="shared" si="7"/>
        <v>0</v>
      </c>
      <c r="G42" s="743">
        <f t="shared" si="7"/>
        <v>0</v>
      </c>
      <c r="H42" s="751"/>
      <c r="I42" s="284"/>
      <c r="J42" s="284"/>
      <c r="K42" s="284"/>
      <c r="L42" s="284"/>
      <c r="M42" s="284"/>
      <c r="N42" s="284"/>
      <c r="O42" s="284"/>
    </row>
    <row r="43" spans="1:15" ht="12.75" x14ac:dyDescent="0.2">
      <c r="A43" s="727" t="str">
        <f t="shared" si="8"/>
        <v>Rezerva</v>
      </c>
      <c r="B43" s="1316">
        <f t="shared" si="9"/>
        <v>609</v>
      </c>
      <c r="C43" s="1317"/>
      <c r="D43" s="1318"/>
      <c r="E43" s="743">
        <f t="shared" si="7"/>
        <v>0</v>
      </c>
      <c r="F43" s="743">
        <f t="shared" si="7"/>
        <v>0</v>
      </c>
      <c r="G43" s="743">
        <f t="shared" si="7"/>
        <v>0</v>
      </c>
      <c r="H43" s="751"/>
      <c r="I43" s="763" t="str">
        <f>'(G1) Fjalori'!A416</f>
        <v>Shpjegimet teknike</v>
      </c>
      <c r="J43" s="1359"/>
      <c r="K43" s="1360"/>
      <c r="L43" s="1360"/>
      <c r="M43" s="1360"/>
      <c r="N43" s="1360"/>
      <c r="O43" s="1361"/>
    </row>
    <row r="44" spans="1:15" ht="12.75" x14ac:dyDescent="0.2">
      <c r="A44" s="727" t="str">
        <f t="shared" si="8"/>
        <v>Interesa per kredi direkte ose bono</v>
      </c>
      <c r="B44" s="1353">
        <f t="shared" si="9"/>
        <v>650</v>
      </c>
      <c r="C44" s="1354"/>
      <c r="D44" s="1355"/>
      <c r="E44" s="743">
        <f t="shared" si="7"/>
        <v>0</v>
      </c>
      <c r="F44" s="743">
        <f t="shared" si="7"/>
        <v>0</v>
      </c>
      <c r="G44" s="743">
        <f t="shared" si="7"/>
        <v>0</v>
      </c>
      <c r="H44" s="751"/>
      <c r="I44" s="284"/>
      <c r="J44" s="1362"/>
      <c r="K44" s="1363"/>
      <c r="L44" s="1363"/>
      <c r="M44" s="1363"/>
      <c r="N44" s="1363"/>
      <c r="O44" s="1364"/>
    </row>
    <row r="45" spans="1:15" ht="12.75" customHeight="1" x14ac:dyDescent="0.2">
      <c r="A45" s="738" t="str">
        <f t="shared" si="8"/>
        <v>Të tjera</v>
      </c>
      <c r="B45" s="1316" t="str">
        <f t="shared" si="9"/>
        <v>69 / ?</v>
      </c>
      <c r="C45" s="1317"/>
      <c r="D45" s="744" t="str">
        <f>IF(OR(E45&lt;0,F45&lt;0,G45&lt;0),"STOP","OK!")</f>
        <v>OK!</v>
      </c>
      <c r="E45" s="741">
        <f t="shared" si="7"/>
        <v>0</v>
      </c>
      <c r="F45" s="740">
        <f t="shared" si="7"/>
        <v>0</v>
      </c>
      <c r="G45" s="740">
        <f t="shared" si="7"/>
        <v>0</v>
      </c>
      <c r="H45" s="751"/>
      <c r="I45" s="284"/>
      <c r="J45" s="1362"/>
      <c r="K45" s="1363"/>
      <c r="L45" s="1363"/>
      <c r="M45" s="1363"/>
      <c r="N45" s="1363"/>
      <c r="O45" s="1364"/>
    </row>
    <row r="46" spans="1:15" ht="12.75" customHeight="1" x14ac:dyDescent="0.2">
      <c r="A46" s="727" t="str">
        <f>A34</f>
        <v>SHPENZIME KORRENTE</v>
      </c>
      <c r="B46" s="1356"/>
      <c r="C46" s="1357"/>
      <c r="D46" s="1358"/>
      <c r="E46" s="735">
        <f t="shared" si="7"/>
        <v>96406900</v>
      </c>
      <c r="F46" s="735">
        <f t="shared" si="7"/>
        <v>99821000</v>
      </c>
      <c r="G46" s="735">
        <f t="shared" si="7"/>
        <v>103541600</v>
      </c>
      <c r="H46" s="751"/>
      <c r="I46" s="284"/>
      <c r="J46" s="1362"/>
      <c r="K46" s="1363"/>
      <c r="L46" s="1363"/>
      <c r="M46" s="1363"/>
      <c r="N46" s="1363"/>
      <c r="O46" s="1364"/>
    </row>
    <row r="47" spans="1:15" ht="12.75" customHeight="1" x14ac:dyDescent="0.2">
      <c r="A47" s="730"/>
      <c r="B47" s="731"/>
      <c r="C47" s="732"/>
      <c r="D47" s="732"/>
      <c r="E47" s="733"/>
      <c r="F47" s="733"/>
      <c r="G47" s="734"/>
      <c r="H47" s="751"/>
      <c r="I47" s="284"/>
      <c r="J47" s="1362"/>
      <c r="K47" s="1363"/>
      <c r="L47" s="1363"/>
      <c r="M47" s="1363"/>
      <c r="N47" s="1363"/>
      <c r="O47" s="1364"/>
    </row>
    <row r="48" spans="1:15" ht="12.75" customHeight="1" x14ac:dyDescent="0.2">
      <c r="A48" s="727" t="str">
        <f>A18</f>
        <v>SHPENZIME TË PRITSHME</v>
      </c>
      <c r="B48" s="728">
        <f t="shared" ref="B48:G48" si="11">B102+B141+B180+B218+B256+B294</f>
        <v>48731493</v>
      </c>
      <c r="C48" s="728">
        <f t="shared" si="11"/>
        <v>72282837</v>
      </c>
      <c r="D48" s="728">
        <f t="shared" si="11"/>
        <v>193698859</v>
      </c>
      <c r="E48" s="735">
        <f t="shared" si="11"/>
        <v>99335900</v>
      </c>
      <c r="F48" s="735">
        <f t="shared" si="11"/>
        <v>102823000</v>
      </c>
      <c r="G48" s="735">
        <f t="shared" si="11"/>
        <v>106667600</v>
      </c>
      <c r="H48" s="751"/>
      <c r="I48" s="284"/>
      <c r="J48" s="1365"/>
      <c r="K48" s="1366"/>
      <c r="L48" s="1366"/>
      <c r="M48" s="1366"/>
      <c r="N48" s="1366"/>
      <c r="O48" s="1367"/>
    </row>
    <row r="49" spans="1:15" ht="12.75" x14ac:dyDescent="0.2">
      <c r="A49" s="284"/>
      <c r="B49" s="284"/>
      <c r="C49" s="284"/>
      <c r="D49" s="284"/>
      <c r="E49" s="284"/>
      <c r="F49" s="284"/>
      <c r="G49" s="284"/>
      <c r="H49" s="751"/>
      <c r="I49" s="284"/>
      <c r="J49" s="284"/>
      <c r="K49" s="284"/>
      <c r="L49" s="284"/>
      <c r="M49" s="284"/>
      <c r="N49" s="284"/>
      <c r="O49" s="284"/>
    </row>
    <row r="50" spans="1:15" ht="23.25" customHeight="1" x14ac:dyDescent="0.2">
      <c r="A50" s="1334" t="str">
        <f>'(G1) Fjalori'!A396</f>
        <v>PËRPUTHSHMËRIA ME TAVANET</v>
      </c>
      <c r="B50" s="1335"/>
      <c r="C50" s="1336"/>
      <c r="D50" s="1336"/>
      <c r="E50" s="1336"/>
      <c r="F50" s="1336"/>
      <c r="G50" s="1336"/>
      <c r="H50" s="1336"/>
      <c r="I50" s="1336"/>
      <c r="J50" s="1336"/>
      <c r="K50" s="1336"/>
      <c r="L50" s="1336"/>
      <c r="M50" s="1336"/>
      <c r="N50" s="1336"/>
      <c r="O50" s="1337"/>
    </row>
    <row r="51" spans="1:15" s="27" customFormat="1" ht="26.25" customHeight="1" x14ac:dyDescent="0.25">
      <c r="A51" s="764"/>
      <c r="B51" s="765"/>
      <c r="C51" s="765"/>
      <c r="D51" s="766"/>
      <c r="E51" s="766"/>
      <c r="F51" s="766"/>
      <c r="G51" s="766"/>
      <c r="H51" s="766"/>
      <c r="I51" s="766"/>
      <c r="J51" s="766"/>
      <c r="K51" s="766"/>
      <c r="L51" s="766"/>
      <c r="M51" s="720">
        <f>M70</f>
        <v>2022</v>
      </c>
      <c r="N51" s="720">
        <f>N70</f>
        <v>2023</v>
      </c>
      <c r="O51" s="720">
        <f>O70</f>
        <v>2024</v>
      </c>
    </row>
    <row r="52" spans="1:15" ht="12.75" x14ac:dyDescent="0.2">
      <c r="A52" s="1338" t="str">
        <f>'(G1) Fjalori'!A397</f>
        <v>Tavani i përgjithshëm</v>
      </c>
      <c r="B52" s="1339"/>
      <c r="C52" s="1339"/>
      <c r="D52" s="1339"/>
      <c r="E52" s="1339"/>
      <c r="F52" s="1339"/>
      <c r="G52" s="1339"/>
      <c r="H52" s="1339"/>
      <c r="I52" s="1339"/>
      <c r="J52" s="1339"/>
      <c r="K52" s="1339"/>
      <c r="L52" s="1340"/>
      <c r="M52" s="135">
        <f>VLOOKUP($A14,'(D1) Tavanet buxhetore'!$A$7:$R$473,7,FALSE)</f>
        <v>99335900</v>
      </c>
      <c r="N52" s="135">
        <f>VLOOKUP($A14,'(D1) Tavanet buxhetore'!$A$7:$R$473,8,FALSE)</f>
        <v>102823000</v>
      </c>
      <c r="O52" s="587">
        <f>VLOOKUP($A14,'(D1) Tavanet buxhetore'!$A$7:$R$473,9,FALSE)</f>
        <v>106667600</v>
      </c>
    </row>
    <row r="53" spans="1:15" ht="12.75" x14ac:dyDescent="0.2">
      <c r="A53" s="1344" t="str">
        <f>'(G1) Fjalori'!A398</f>
        <v>SHPENZIMET E PRITSHME</v>
      </c>
      <c r="B53" s="1345"/>
      <c r="C53" s="1345"/>
      <c r="D53" s="1345"/>
      <c r="E53" s="1345"/>
      <c r="F53" s="1345"/>
      <c r="G53" s="1345"/>
      <c r="H53" s="1345"/>
      <c r="I53" s="1345"/>
      <c r="J53" s="1345"/>
      <c r="K53" s="1345"/>
      <c r="L53" s="1346"/>
      <c r="M53" s="136">
        <f>E18</f>
        <v>99335900</v>
      </c>
      <c r="N53" s="136">
        <f>F18</f>
        <v>102823000</v>
      </c>
      <c r="O53" s="588">
        <f>G18</f>
        <v>106667600</v>
      </c>
    </row>
    <row r="54" spans="1:15" ht="12.75" x14ac:dyDescent="0.2">
      <c r="A54" s="1347" t="str">
        <f>'(G1) Fjalori'!A399</f>
        <v>Diferenca mes tavaneve të përgjithshme (duhet të jetë &lt;0)</v>
      </c>
      <c r="B54" s="1348"/>
      <c r="C54" s="1348"/>
      <c r="D54" s="1348"/>
      <c r="E54" s="1348"/>
      <c r="F54" s="1348"/>
      <c r="G54" s="1348"/>
      <c r="H54" s="1348"/>
      <c r="I54" s="1348"/>
      <c r="J54" s="1348"/>
      <c r="K54" s="1348"/>
      <c r="L54" s="767" t="str">
        <f>IF(AND(M54&lt;0.4,N54&lt;0.4,O54&lt;0.4),"OK!","STOP!")</f>
        <v>OK!</v>
      </c>
      <c r="M54" s="136">
        <f>M53-M52</f>
        <v>0</v>
      </c>
      <c r="N54" s="136">
        <f>N53-N52</f>
        <v>0</v>
      </c>
      <c r="O54" s="588">
        <f>O53-O52</f>
        <v>0</v>
      </c>
    </row>
    <row r="55" spans="1:15" ht="12.75" x14ac:dyDescent="0.2">
      <c r="A55" s="1338" t="str">
        <f>'(G1) Fjalori'!A400</f>
        <v>Tavani i pagave dhe sigurimeve shoqërore</v>
      </c>
      <c r="B55" s="1339"/>
      <c r="C55" s="1339"/>
      <c r="D55" s="1339"/>
      <c r="E55" s="1339"/>
      <c r="F55" s="1339"/>
      <c r="G55" s="1339"/>
      <c r="H55" s="1339"/>
      <c r="I55" s="1339"/>
      <c r="J55" s="1339"/>
      <c r="K55" s="1339"/>
      <c r="L55" s="1340"/>
      <c r="M55" s="135">
        <f>VLOOKUP($A14,'(D1) Tavanet buxhetore'!$A$7:$R$473,10,FALSE)</f>
        <v>74096900</v>
      </c>
      <c r="N55" s="135">
        <f>VLOOKUP($A14,'(D1) Tavanet buxhetore'!$A$7:$R$473,11,FALSE)</f>
        <v>76910800</v>
      </c>
      <c r="O55" s="587">
        <f>VLOOKUP($A14,'(D1) Tavanet buxhetore'!$A$7:$R$473,12,FALSE)</f>
        <v>79850800</v>
      </c>
    </row>
    <row r="56" spans="1:15" ht="12.75" x14ac:dyDescent="0.2">
      <c r="A56" s="1347" t="str">
        <f>'(G1) Fjalori'!A401</f>
        <v>Paga dhe sigurime shoqërore</v>
      </c>
      <c r="B56" s="1348"/>
      <c r="C56" s="1348"/>
      <c r="D56" s="1348"/>
      <c r="E56" s="1348"/>
      <c r="F56" s="1348"/>
      <c r="G56" s="1348"/>
      <c r="H56" s="1348"/>
      <c r="I56" s="1348"/>
      <c r="J56" s="1348"/>
      <c r="K56" s="1348"/>
      <c r="L56" s="1349"/>
      <c r="M56" s="136">
        <f>E22+E35+E23+E36</f>
        <v>74096900</v>
      </c>
      <c r="N56" s="136">
        <f>F22+F35+F23+F36</f>
        <v>76910800</v>
      </c>
      <c r="O56" s="588">
        <f>G22+G35+G23+G36</f>
        <v>79850800</v>
      </c>
    </row>
    <row r="57" spans="1:15" ht="12.75" x14ac:dyDescent="0.2">
      <c r="A57" s="1347" t="str">
        <f>'(G1) Fjalori'!A402</f>
        <v>Diferenca e tavaneve në paga dhe sigurime shoqërore (duhet të jetë &lt;0)</v>
      </c>
      <c r="B57" s="1348"/>
      <c r="C57" s="1348"/>
      <c r="D57" s="1348"/>
      <c r="E57" s="1348"/>
      <c r="F57" s="1348"/>
      <c r="G57" s="1348"/>
      <c r="H57" s="1348"/>
      <c r="I57" s="1348"/>
      <c r="J57" s="1348"/>
      <c r="K57" s="1348"/>
      <c r="L57" s="767" t="str">
        <f>IF(AND(M57&lt;0.4,N57&lt;0.4,O57&lt;0.4),"OK!","STOP!")</f>
        <v>OK!</v>
      </c>
      <c r="M57" s="136">
        <f>M56-M55</f>
        <v>0</v>
      </c>
      <c r="N57" s="136">
        <f>N56-N55</f>
        <v>0</v>
      </c>
      <c r="O57" s="588">
        <f>O56-O55</f>
        <v>0</v>
      </c>
    </row>
    <row r="58" spans="1:15" s="27" customFormat="1" ht="12.75" x14ac:dyDescent="0.2">
      <c r="A58" s="1338" t="str">
        <f>'(G1) Fjalori'!A403</f>
        <v>Tavani për shpenzime e tjera korrente</v>
      </c>
      <c r="B58" s="1339"/>
      <c r="C58" s="1339"/>
      <c r="D58" s="1339"/>
      <c r="E58" s="1339"/>
      <c r="F58" s="1339"/>
      <c r="G58" s="1339"/>
      <c r="H58" s="1339"/>
      <c r="I58" s="1339"/>
      <c r="J58" s="1339"/>
      <c r="K58" s="1339"/>
      <c r="L58" s="1340"/>
      <c r="M58" s="135">
        <f>VLOOKUP($A14,'(D1) Tavanet buxhetore'!$A$7:$R$473,13,FALSE)</f>
        <v>22310000</v>
      </c>
      <c r="N58" s="135">
        <f>VLOOKUP($A14,'(D1) Tavanet buxhetore'!$A$7:$R$473,14,FALSE)</f>
        <v>22910200</v>
      </c>
      <c r="O58" s="587">
        <f>VLOOKUP($A14,'(D1) Tavanet buxhetore'!$A$7:$R$473,15,FALSE)</f>
        <v>23690800</v>
      </c>
    </row>
    <row r="59" spans="1:15" s="27" customFormat="1" ht="12.75" x14ac:dyDescent="0.2">
      <c r="A59" s="1347" t="str">
        <f>'(G1) Fjalori'!A404</f>
        <v>Konsumi (përjashtuar paga dhe sigurimet shoqërore)</v>
      </c>
      <c r="B59" s="1348"/>
      <c r="C59" s="1348"/>
      <c r="D59" s="1348"/>
      <c r="E59" s="1348"/>
      <c r="F59" s="1348"/>
      <c r="G59" s="1348"/>
      <c r="H59" s="1348"/>
      <c r="I59" s="1348"/>
      <c r="J59" s="1348"/>
      <c r="K59" s="1348"/>
      <c r="L59" s="1349"/>
      <c r="M59" s="136">
        <f>M53-M56-M62</f>
        <v>22310000</v>
      </c>
      <c r="N59" s="136">
        <f>N53-N56-N62</f>
        <v>22910200</v>
      </c>
      <c r="O59" s="588">
        <f>O53-O56-O62</f>
        <v>23690800</v>
      </c>
    </row>
    <row r="60" spans="1:15" s="27" customFormat="1" ht="12.75" x14ac:dyDescent="0.2">
      <c r="A60" s="1347" t="str">
        <f>'(G1) Fjalori'!A405</f>
        <v>Diferenca e tavaneve në konsum (duhet të jetë &lt;0)</v>
      </c>
      <c r="B60" s="1348"/>
      <c r="C60" s="1348"/>
      <c r="D60" s="1348"/>
      <c r="E60" s="1348"/>
      <c r="F60" s="1348"/>
      <c r="G60" s="1348"/>
      <c r="H60" s="1348"/>
      <c r="I60" s="1348"/>
      <c r="J60" s="1348"/>
      <c r="K60" s="1348"/>
      <c r="L60" s="767" t="str">
        <f>IF(AND(M60&lt;0.4,N60&lt;0.4,O60&lt;0.4),"OK!","STOP!")</f>
        <v>OK!</v>
      </c>
      <c r="M60" s="136">
        <f>M59-M58</f>
        <v>0</v>
      </c>
      <c r="N60" s="136">
        <f>N59-N58</f>
        <v>0</v>
      </c>
      <c r="O60" s="588">
        <f>O59-O58</f>
        <v>0</v>
      </c>
    </row>
    <row r="61" spans="1:15" ht="12.75" x14ac:dyDescent="0.2">
      <c r="A61" s="1338" t="str">
        <f>'(G1) Fjalori'!A406</f>
        <v>Minimumi i shpenzimeve kapitale</v>
      </c>
      <c r="B61" s="1339"/>
      <c r="C61" s="1339"/>
      <c r="D61" s="1339"/>
      <c r="E61" s="1339"/>
      <c r="F61" s="1339"/>
      <c r="G61" s="1339"/>
      <c r="H61" s="1339"/>
      <c r="I61" s="1339"/>
      <c r="J61" s="1339"/>
      <c r="K61" s="1339"/>
      <c r="L61" s="1340"/>
      <c r="M61" s="135">
        <f>VLOOKUP($A14,'(D1) Tavanet buxhetore'!$A$7:$R$473,16,FALSE)</f>
        <v>2929000</v>
      </c>
      <c r="N61" s="135">
        <f>VLOOKUP($A14,'(D1) Tavanet buxhetore'!$A$7:$R$473,17,FALSE)</f>
        <v>3002000</v>
      </c>
      <c r="O61" s="587">
        <f>VLOOKUP($A14,'(D1) Tavanet buxhetore'!$A$7:$R$473,18,FALSE)</f>
        <v>3126000</v>
      </c>
    </row>
    <row r="62" spans="1:15" ht="12.75" x14ac:dyDescent="0.2">
      <c r="A62" s="1347" t="str">
        <f>'(G1) Fjalori'!A407</f>
        <v>Shpenzimet kapitale</v>
      </c>
      <c r="B62" s="1348"/>
      <c r="C62" s="1348"/>
      <c r="D62" s="1348"/>
      <c r="E62" s="1348"/>
      <c r="F62" s="1348"/>
      <c r="G62" s="1348"/>
      <c r="H62" s="1348"/>
      <c r="I62" s="1348"/>
      <c r="J62" s="1348"/>
      <c r="K62" s="1348"/>
      <c r="L62" s="1349"/>
      <c r="M62" s="136">
        <f>E29+E42</f>
        <v>2929000</v>
      </c>
      <c r="N62" s="136">
        <f>F29+F42</f>
        <v>3002000</v>
      </c>
      <c r="O62" s="588">
        <f>G29+G42</f>
        <v>3126000</v>
      </c>
    </row>
    <row r="63" spans="1:15" s="96" customFormat="1" ht="12.75" x14ac:dyDescent="0.2">
      <c r="A63" s="1347" t="str">
        <f>'(G1) Fjalori'!A408</f>
        <v>Diferenca e minimumit të shpenzimeve kapitale (duhet të jetë &gt;0)</v>
      </c>
      <c r="B63" s="1348"/>
      <c r="C63" s="1348"/>
      <c r="D63" s="1348"/>
      <c r="E63" s="1348"/>
      <c r="F63" s="1348"/>
      <c r="G63" s="1348"/>
      <c r="H63" s="1348"/>
      <c r="I63" s="1348"/>
      <c r="J63" s="1348"/>
      <c r="K63" s="1348"/>
      <c r="L63" s="767" t="str">
        <f>IF(AND(M63&gt;-0.4,N63&gt;-0.4,O63&gt;-0.4),"OK!","STOP!")</f>
        <v>OK!</v>
      </c>
      <c r="M63" s="136">
        <f>M62-M61</f>
        <v>0</v>
      </c>
      <c r="N63" s="136">
        <f>N62-N61</f>
        <v>0</v>
      </c>
      <c r="O63" s="58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15</v>
      </c>
      <c r="B66" s="1225" t="str">
        <f t="shared" si="12"/>
        <v>062 Zhvillimi i komunitetit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15a</v>
      </c>
      <c r="B67" s="1225" t="str">
        <f>C6</f>
        <v>Programet e zhvillimit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1369" t="str">
        <f>'(B3) Struktura Funksionale'!B81</f>
        <v>06210</v>
      </c>
      <c r="B68" s="1370"/>
      <c r="C68" s="1370"/>
      <c r="D68" s="1370"/>
      <c r="E68" s="1370"/>
      <c r="F68" s="1370"/>
      <c r="G68" s="1370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768" t="str">
        <f>A18</f>
        <v>SHPENZIME TË PRITSHME</v>
      </c>
      <c r="B72" s="769">
        <f>VLOOKUP(A67,'(C1) Shpenzimet vitet e kaluara'!A$9:O$177,5,FALSE)</f>
        <v>0</v>
      </c>
      <c r="C72" s="769">
        <f>VLOOKUP(A67,'(C1) Shpenzimet vitet e kaluara'!A$9:O$177,9,FALSE)</f>
        <v>0</v>
      </c>
      <c r="D72" s="769">
        <f>VLOOKUP(A67,'(C1) Shpenzimet vitet e kaluara'!A$9:O$177,13,FALSE)</f>
        <v>0</v>
      </c>
      <c r="E72" s="770"/>
      <c r="F72" s="770"/>
      <c r="G72" s="770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709"/>
      <c r="B73" s="710"/>
      <c r="C73" s="711"/>
      <c r="D73" s="711"/>
      <c r="E73" s="276"/>
      <c r="F73" s="276"/>
      <c r="G73" s="712"/>
      <c r="H73" s="276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276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745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713"/>
      <c r="F76" s="713"/>
      <c r="G76" s="713"/>
      <c r="H76" s="745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713"/>
      <c r="F77" s="713"/>
      <c r="G77" s="713"/>
      <c r="H77" s="745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713"/>
      <c r="F78" s="713"/>
      <c r="G78" s="713"/>
      <c r="H78" s="746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713"/>
      <c r="F79" s="713"/>
      <c r="G79" s="713"/>
      <c r="H79" s="747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713"/>
      <c r="F80" s="713"/>
      <c r="G80" s="713"/>
      <c r="H80" s="746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713"/>
      <c r="F81" s="713"/>
      <c r="G81" s="713"/>
      <c r="H81" s="746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713"/>
      <c r="F82" s="713"/>
      <c r="G82" s="713"/>
      <c r="H82" s="746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708"/>
      <c r="F83" s="708"/>
      <c r="G83" s="708"/>
      <c r="H83" s="746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713"/>
      <c r="F84" s="713"/>
      <c r="G84" s="713"/>
      <c r="H84" s="746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713"/>
      <c r="F85" s="713"/>
      <c r="G85" s="713"/>
      <c r="H85" s="746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713"/>
      <c r="F86" s="713"/>
      <c r="G86" s="713"/>
      <c r="H86" s="746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714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713">
        <f>SUM(E76:E86)</f>
        <v>0</v>
      </c>
      <c r="F87" s="713">
        <f>SUM(F76:F86)</f>
        <v>0</v>
      </c>
      <c r="G87" s="713">
        <f>SUM(G76:G86)</f>
        <v>0</v>
      </c>
      <c r="H87" s="746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746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708"/>
      <c r="F89" s="708"/>
      <c r="G89" s="708"/>
      <c r="H89" s="746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708"/>
      <c r="F90" s="708"/>
      <c r="G90" s="708"/>
      <c r="H90" s="746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708"/>
      <c r="F91" s="708"/>
      <c r="G91" s="708"/>
      <c r="H91" s="746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708"/>
      <c r="F92" s="708"/>
      <c r="G92" s="708"/>
      <c r="H92" s="746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708"/>
      <c r="F93" s="708"/>
      <c r="G93" s="708"/>
      <c r="H93" s="746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708"/>
      <c r="F94" s="708"/>
      <c r="G94" s="708"/>
      <c r="H94" s="746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708"/>
      <c r="F95" s="708"/>
      <c r="G95" s="708"/>
      <c r="H95" s="746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713"/>
      <c r="F96" s="713"/>
      <c r="G96" s="713"/>
      <c r="H96" s="746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708"/>
      <c r="F97" s="708"/>
      <c r="G97" s="708"/>
      <c r="H97" s="746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708"/>
      <c r="F98" s="708"/>
      <c r="G98" s="708"/>
      <c r="H98" s="746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707" t="str">
        <f>A45</f>
        <v>Të tjera</v>
      </c>
      <c r="B99" s="1229" t="str">
        <f>B45</f>
        <v>69 / ?</v>
      </c>
      <c r="C99" s="1230">
        <f>C45</f>
        <v>0</v>
      </c>
      <c r="D99" s="715" t="str">
        <f>IF(OR(E99&lt;0,F99&lt;0,G99&lt;0),"STOP","OK!")</f>
        <v>OK!</v>
      </c>
      <c r="E99" s="716">
        <f>-E87+E72-(SUM(E89:E98))</f>
        <v>0</v>
      </c>
      <c r="F99" s="717">
        <f>-F87+F72-(SUM(F89:F98))</f>
        <v>0</v>
      </c>
      <c r="G99" s="717">
        <f>-G87+G72-(SUM(G89:G98))</f>
        <v>0</v>
      </c>
      <c r="H99" s="746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713">
        <f>SUM(E89:E99)</f>
        <v>0</v>
      </c>
      <c r="F100" s="713">
        <f>SUM(F89:F99)</f>
        <v>0</v>
      </c>
      <c r="G100" s="713">
        <f>SUM(G89:G99)</f>
        <v>0</v>
      </c>
      <c r="H100" s="746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709"/>
      <c r="B101" s="710"/>
      <c r="C101" s="711"/>
      <c r="D101" s="711"/>
      <c r="E101" s="276"/>
      <c r="F101" s="276"/>
      <c r="G101" s="712"/>
      <c r="H101" s="746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15</v>
      </c>
      <c r="B105" s="1225" t="str">
        <f t="shared" si="22"/>
        <v>062 Zhvillimi i komunitetit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15b</v>
      </c>
      <c r="B106" s="1225" t="str">
        <f>C7</f>
        <v>Sherbime publike vendore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1369" t="str">
        <f>'(B3) Struktura Funksionale'!B82</f>
        <v>06260</v>
      </c>
      <c r="B107" s="1370"/>
      <c r="C107" s="1370"/>
      <c r="D107" s="1370"/>
      <c r="E107" s="1370"/>
      <c r="F107" s="1370"/>
      <c r="G107" s="1370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728">
        <f>VLOOKUP(A106,'(C1) Shpenzimet vitet e kaluara'!A$9:O$177,5,FALSE)</f>
        <v>48731493</v>
      </c>
      <c r="C111" s="728">
        <f>VLOOKUP(A106,'(C1) Shpenzimet vitet e kaluara'!A$9:O$177,9,FALSE)</f>
        <v>72282837</v>
      </c>
      <c r="D111" s="728">
        <f>VLOOKUP(A106,'(C1) Shpenzimet vitet e kaluara'!A$9:O$177,13,FALSE)</f>
        <v>193698859</v>
      </c>
      <c r="E111" s="770">
        <f>E122+E128+E129+E130</f>
        <v>99335900</v>
      </c>
      <c r="F111" s="770">
        <f>F122+F128+F129+F130</f>
        <v>102823000</v>
      </c>
      <c r="G111" s="770">
        <f>G122+G128+G129+G130</f>
        <v>106667600</v>
      </c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21" t="str">
        <f>I73</f>
        <v>VLERËSIM I ARDHURAVE NGA TARIFAT</v>
      </c>
      <c r="J112" s="775">
        <f>VLOOKUP($A106,'(C1) Shpenzimet vitet e kaluara'!$A$9:$O$177,6,FALSE)</f>
        <v>42162659</v>
      </c>
      <c r="K112" s="775">
        <f>VLOOKUP($A106,'(C1) Shpenzimet vitet e kaluara'!$A$9:$O$177,10,FALSE)</f>
        <v>43143981</v>
      </c>
      <c r="L112" s="775">
        <f>VLOOKUP($A106,'(C1) Shpenzimet vitet e kaluara'!$A$9:$O$177,14,FALSE)</f>
        <v>75000000</v>
      </c>
      <c r="M112" s="708">
        <f>60170945+12524694</f>
        <v>72695639</v>
      </c>
      <c r="N112" s="708">
        <f>61009564+12712564</f>
        <v>73722128</v>
      </c>
      <c r="O112" s="708">
        <f>61924707+12903253</f>
        <v>74827960</v>
      </c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  <c r="I113" s="776"/>
      <c r="J113" s="776"/>
      <c r="K113" s="776"/>
      <c r="L113" s="776"/>
      <c r="M113" s="776"/>
      <c r="N113" s="776"/>
      <c r="O113" s="776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798" t="str">
        <f t="shared" si="29"/>
        <v>Transferta e kushtëzuar</v>
      </c>
      <c r="J115" s="336"/>
      <c r="K115" s="338"/>
      <c r="L115" s="337"/>
      <c r="M115" s="785"/>
      <c r="N115" s="785"/>
      <c r="O115" s="786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798" t="str">
        <f t="shared" si="29"/>
        <v>Trasferta Specifike</v>
      </c>
      <c r="J116" s="336"/>
      <c r="K116" s="338"/>
      <c r="L116" s="337"/>
      <c r="M116" s="785"/>
      <c r="N116" s="785"/>
      <c r="O116" s="786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798" t="str">
        <f t="shared" si="29"/>
        <v>Trashëgimi me destinacion</v>
      </c>
      <c r="J117" s="336"/>
      <c r="K117" s="338"/>
      <c r="L117" s="337"/>
      <c r="M117" s="799">
        <f>VLOOKUP($A106,'(C4) Trashëgimi me destinacion'!$A$8:$F$168,4,FALSE)</f>
        <v>0</v>
      </c>
      <c r="N117" s="778">
        <f>VLOOKUP($A106,'(C4) Trashëgimi me destinacion'!$A$8:$F$168,5,FALSE)</f>
        <v>0</v>
      </c>
      <c r="O117" s="778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798" t="str">
        <f t="shared" si="29"/>
        <v>Burime të tjera (përfshirë gjobat)</v>
      </c>
      <c r="J118" s="336"/>
      <c r="K118" s="338"/>
      <c r="L118" s="337"/>
      <c r="M118" s="785"/>
      <c r="N118" s="785"/>
      <c r="O118" s="786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798" t="str">
        <f t="shared" si="29"/>
        <v>VLERËSIMI I TË ARDHURAVE ME DESTINACION</v>
      </c>
      <c r="J119" s="775">
        <f>VLOOKUP($A106,'(C1) Shpenzimet vitet e kaluara'!$A$9:$O$177,7,FALSE)</f>
        <v>0</v>
      </c>
      <c r="K119" s="775">
        <f>VLOOKUP($A106,'(C1) Shpenzimet vitet e kaluara'!$A$9:$O$177,11,FALSE)</f>
        <v>0</v>
      </c>
      <c r="L119" s="775">
        <f>VLOOKUP($A106,'(C1) Shpenzimet vitet e kaluara'!$A$9:$O$177,15,FALSE)</f>
        <v>0</v>
      </c>
      <c r="M119" s="713">
        <f>SUM(M115:M118)</f>
        <v>0</v>
      </c>
      <c r="N119" s="713">
        <f>SUM(N115:N118)</f>
        <v>0</v>
      </c>
      <c r="O119" s="713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  <c r="I120" s="776"/>
      <c r="J120" s="776"/>
      <c r="K120" s="776"/>
      <c r="L120" s="776"/>
      <c r="M120" s="776"/>
      <c r="N120" s="776"/>
      <c r="O120" s="776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21" t="str">
        <f>I82</f>
        <v xml:space="preserve">TË ARDHURAT E PRITSHME </v>
      </c>
      <c r="J121" s="774">
        <f>J112+J119</f>
        <v>42162659</v>
      </c>
      <c r="K121" s="774">
        <f>K112+K119</f>
        <v>43143981</v>
      </c>
      <c r="L121" s="774">
        <f>L112+L119</f>
        <v>75000000</v>
      </c>
      <c r="M121" s="713">
        <f>M119+M112</f>
        <v>72695639</v>
      </c>
      <c r="N121" s="713">
        <f>N119+N112</f>
        <v>73722128</v>
      </c>
      <c r="O121" s="713">
        <f>O119+O112</f>
        <v>74827960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708">
        <v>2929000</v>
      </c>
      <c r="F122" s="708">
        <v>3002000</v>
      </c>
      <c r="G122" s="708">
        <v>3126000</v>
      </c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2929000</v>
      </c>
      <c r="F126" s="126">
        <f>SUM(F115:F125)</f>
        <v>3002000</v>
      </c>
      <c r="G126" s="126">
        <f>SUM(G115:G125)</f>
        <v>3126000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6568834</v>
      </c>
      <c r="K127" s="18">
        <f t="shared" si="32"/>
        <v>29138856</v>
      </c>
      <c r="L127" s="18">
        <f t="shared" si="32"/>
        <v>118698859</v>
      </c>
      <c r="M127" s="18">
        <f t="shared" si="32"/>
        <v>26640261</v>
      </c>
      <c r="N127" s="18">
        <f t="shared" si="32"/>
        <v>29100872</v>
      </c>
      <c r="O127" s="18">
        <f t="shared" si="32"/>
        <v>31839640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708">
        <v>61722718</v>
      </c>
      <c r="F128" s="708">
        <v>64066696.400000006</v>
      </c>
      <c r="G128" s="708">
        <v>66515716.400000006</v>
      </c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708">
        <v>12374182</v>
      </c>
      <c r="F129" s="708">
        <v>12844103.599999998</v>
      </c>
      <c r="G129" s="708">
        <v>13335083.599999998</v>
      </c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708">
        <v>22310000</v>
      </c>
      <c r="F130" s="708">
        <v>22910200</v>
      </c>
      <c r="G130" s="708">
        <v>23690800</v>
      </c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713">
        <f>SUM(E128:E138)</f>
        <v>96406900</v>
      </c>
      <c r="F139" s="713">
        <f>SUM(F128:F138)</f>
        <v>99821000</v>
      </c>
      <c r="G139" s="713">
        <f>SUM(G128:G138)</f>
        <v>103541600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276"/>
      <c r="F140" s="276"/>
      <c r="G140" s="712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774">
        <f>B111</f>
        <v>48731493</v>
      </c>
      <c r="C141" s="774">
        <f>C111</f>
        <v>72282837</v>
      </c>
      <c r="D141" s="774">
        <f>D111</f>
        <v>193698859</v>
      </c>
      <c r="E141" s="713">
        <f>E126+E139</f>
        <v>99335900</v>
      </c>
      <c r="F141" s="713">
        <f>F126+F139</f>
        <v>102823000</v>
      </c>
      <c r="G141" s="713">
        <f>G126+G139</f>
        <v>106667600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15</v>
      </c>
      <c r="B144" s="1225" t="str">
        <f t="shared" si="33"/>
        <v>062 Zhvillimi i komunitetit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15c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Funksionale'!B83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electLockedCells="1"/>
  <mergeCells count="340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A107:G107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68:G68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>
    <tabColor rgb="FFFF0000"/>
    <pageSetUpPr fitToPage="1"/>
  </sheetPr>
  <dimension ref="A1:O294"/>
  <sheetViews>
    <sheetView showGridLines="0" topLeftCell="A135" workbookViewId="0">
      <selection activeCell="M92" sqref="M92:O92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29.570312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Fjalori'!A79</f>
        <v>Nënfunksioni 16</v>
      </c>
      <c r="B2" s="1130" t="str">
        <f>+VLOOKUP($A2,'(B2) Struktura Organizative'!$A7:$E33,2,FALSE)</f>
        <v>063 Furnizimi me ujë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Funksionale'!A85</f>
        <v>Programi 16a</v>
      </c>
      <c r="B6" s="1203"/>
      <c r="C6" s="1204" t="str">
        <f>VLOOKUP($A6,'(B3) Struktura Funksionale'!$A$7:$E$146,3,FALSE)</f>
        <v xml:space="preserve">Furnizimi me ujë 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Funksionale'!A86</f>
        <v>Programi 16b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Funksionale'!A87</f>
        <v>Programi 16c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16</v>
      </c>
      <c r="B14" s="1225" t="str">
        <f>B$2</f>
        <v>063 Furnizimi me ujë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11999999</v>
      </c>
      <c r="C18" s="33">
        <f t="shared" si="1"/>
        <v>272714</v>
      </c>
      <c r="D18" s="33">
        <f t="shared" si="1"/>
        <v>59359820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11999999</v>
      </c>
      <c r="K34" s="18">
        <f t="shared" si="6"/>
        <v>272714</v>
      </c>
      <c r="L34" s="18">
        <f t="shared" si="6"/>
        <v>59359820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11999999</v>
      </c>
      <c r="C48" s="33">
        <f t="shared" si="11"/>
        <v>272714</v>
      </c>
      <c r="D48" s="33">
        <f t="shared" si="11"/>
        <v>59359820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16</v>
      </c>
      <c r="B66" s="1225" t="str">
        <f t="shared" si="12"/>
        <v>063 Furnizimi me ujë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16a</v>
      </c>
      <c r="B67" s="1225" t="str">
        <f>C6</f>
        <v xml:space="preserve">Furnizimi me ujë 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1369" t="str">
        <f>'(B3) Struktura Funksionale'!B85</f>
        <v>06330</v>
      </c>
      <c r="B68" s="1370"/>
      <c r="C68" s="1370"/>
      <c r="D68" s="1370"/>
      <c r="E68" s="1370"/>
      <c r="F68" s="1370"/>
      <c r="G68" s="1370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11999999</v>
      </c>
      <c r="C72" s="301">
        <f>VLOOKUP(A67,'(C1) Shpenzimet vitet e kaluara'!A$9:O$177,9,FALSE)</f>
        <v>272714</v>
      </c>
      <c r="D72" s="301">
        <f>VLOOKUP(A67,'(C1) Shpenzimet vitet e kaluara'!A$9:O$177,13,FALSE)</f>
        <v>59359820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customHeight="1" x14ac:dyDescent="0.2">
      <c r="A75" s="1226" t="str">
        <f t="shared" si="17"/>
        <v>KOSTO DIREKTE PËR PROJEKTET DHE SHPENZIMET KAPITALE</v>
      </c>
      <c r="B75" s="1227"/>
      <c r="C75" s="1227"/>
      <c r="D75" s="1227"/>
      <c r="E75" s="1227"/>
      <c r="F75" s="1227"/>
      <c r="G75" s="1228"/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11999999</v>
      </c>
      <c r="K88" s="18">
        <f t="shared" si="21"/>
        <v>272714</v>
      </c>
      <c r="L88" s="18">
        <f t="shared" si="21"/>
        <v>59359820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11999999</v>
      </c>
      <c r="C102" s="33">
        <f>C72</f>
        <v>272714</v>
      </c>
      <c r="D102" s="33">
        <f>D72</f>
        <v>59359820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16</v>
      </c>
      <c r="B105" s="1225" t="str">
        <f t="shared" si="22"/>
        <v>063 Furnizimi me ujë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16b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Funksionale'!B86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>A75</f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16</v>
      </c>
      <c r="B144" s="1225" t="str">
        <f t="shared" si="33"/>
        <v>063 Furnizimi me ujë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16c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Funksionale'!B87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9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68:G68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tabColor rgb="FFFF0000"/>
    <pageSetUpPr fitToPage="1"/>
  </sheetPr>
  <dimension ref="A1:S294"/>
  <sheetViews>
    <sheetView showGridLines="0" workbookViewId="0">
      <selection activeCell="E37" sqref="E37"/>
    </sheetView>
  </sheetViews>
  <sheetFormatPr defaultColWidth="9.140625" defaultRowHeight="17.25" customHeight="1" x14ac:dyDescent="0.2"/>
  <cols>
    <col min="1" max="1" width="25.85546875" style="95" customWidth="1"/>
    <col min="2" max="4" width="9" style="95" customWidth="1"/>
    <col min="5" max="5" width="10" style="95" customWidth="1"/>
    <col min="6" max="6" width="10.140625" style="95" customWidth="1"/>
    <col min="7" max="7" width="10.7109375" style="95" customWidth="1"/>
    <col min="8" max="8" width="2.7109375" style="95" customWidth="1"/>
    <col min="9" max="9" width="35.710937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Fjalori'!A80</f>
        <v>Nënfunksioni 17</v>
      </c>
      <c r="B2" s="1130" t="str">
        <f>+VLOOKUP($A2,'(B2) Struktura Organizative'!$A7:$E33,2,FALSE)</f>
        <v>064 Ndriçimi i rrugëve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 t="str">
        <f>+VLOOKUP($A2,'(B2) Struktura Organizative'!$A7:$E33,4,FALSE)</f>
        <v>Enton Berberi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Funksionale'!A89</f>
        <v>Programi 17a</v>
      </c>
      <c r="B6" s="1203"/>
      <c r="C6" s="1204" t="str">
        <f>VLOOKUP($A6,'(B3) Struktura Funksionale'!$A$7:$E$146,3,FALSE)</f>
        <v>Ndriçim rrugësh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Funksionale'!A90</f>
        <v>Programi 17b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Funksionale'!A91</f>
        <v>Programi 17c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17</v>
      </c>
      <c r="B14" s="1225" t="str">
        <f>B$2</f>
        <v>064 Ndriçimi i rrugëve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774">
        <f t="shared" ref="B18:G18" si="1">B72+B111+B150+B188+B226+B264</f>
        <v>17084331</v>
      </c>
      <c r="C18" s="774">
        <f t="shared" si="1"/>
        <v>19881683</v>
      </c>
      <c r="D18" s="774">
        <f t="shared" si="1"/>
        <v>26000000</v>
      </c>
      <c r="E18" s="713">
        <f t="shared" si="1"/>
        <v>36800000</v>
      </c>
      <c r="F18" s="713">
        <f t="shared" si="1"/>
        <v>37700000</v>
      </c>
      <c r="G18" s="713">
        <f t="shared" si="1"/>
        <v>48600000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710"/>
      <c r="C19" s="711"/>
      <c r="D19" s="711"/>
      <c r="E19" s="276"/>
      <c r="F19" s="276"/>
      <c r="G19" s="712"/>
      <c r="H19" s="276"/>
      <c r="I19" s="121" t="str">
        <f>'(G1) Fjalori'!A388</f>
        <v>VLERËSIM I ARDHURAVE NGA TARIFAT</v>
      </c>
      <c r="J19" s="775">
        <f t="shared" ref="J19:O19" si="2">J73+J112+J151+J189+J227+J265</f>
        <v>17765132</v>
      </c>
      <c r="K19" s="775">
        <f t="shared" si="2"/>
        <v>17574974</v>
      </c>
      <c r="L19" s="774">
        <f t="shared" si="2"/>
        <v>29060000</v>
      </c>
      <c r="M19" s="713">
        <f t="shared" si="2"/>
        <v>28479885</v>
      </c>
      <c r="N19" s="713">
        <f t="shared" si="2"/>
        <v>28907083</v>
      </c>
      <c r="O19" s="713">
        <f t="shared" si="2"/>
        <v>29340690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21" t="str">
        <f>'(G1) Fjalori'!A395</f>
        <v xml:space="preserve">TË ARDHURAT E PRITSHME </v>
      </c>
      <c r="J29" s="774">
        <f t="shared" ref="J29:O29" si="5">J82+J121+J160+J198+J236+J274</f>
        <v>17765132</v>
      </c>
      <c r="K29" s="774">
        <f t="shared" si="5"/>
        <v>17574974</v>
      </c>
      <c r="L29" s="774">
        <f t="shared" si="5"/>
        <v>29060000</v>
      </c>
      <c r="M29" s="713">
        <f t="shared" si="5"/>
        <v>28479885</v>
      </c>
      <c r="N29" s="713">
        <f t="shared" si="5"/>
        <v>28907083</v>
      </c>
      <c r="O29" s="713">
        <f t="shared" si="5"/>
        <v>29340690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  <c r="I30" s="776"/>
      <c r="J30" s="776"/>
      <c r="K30" s="776"/>
      <c r="L30" s="776"/>
      <c r="M30" s="776"/>
      <c r="N30" s="776"/>
      <c r="O30" s="776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  <c r="I31" s="776"/>
      <c r="J31" s="776"/>
      <c r="K31" s="776"/>
      <c r="L31" s="776"/>
      <c r="M31" s="776"/>
      <c r="N31" s="776"/>
      <c r="O31" s="776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371" t="str">
        <f>'(G1) Fjalori'!A415</f>
        <v>SHUMA E KËRKUAR NETO</v>
      </c>
      <c r="J32" s="1372"/>
      <c r="K32" s="1372"/>
      <c r="L32" s="1372"/>
      <c r="M32" s="1372"/>
      <c r="N32" s="1372"/>
      <c r="O32" s="1373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374"/>
      <c r="J33" s="1375"/>
      <c r="K33" s="1375"/>
      <c r="L33" s="1375"/>
      <c r="M33" s="1375"/>
      <c r="N33" s="1375"/>
      <c r="O33" s="1376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787" t="str">
        <f>I32</f>
        <v>SHUMA E KËRKUAR NETO</v>
      </c>
      <c r="J34" s="780">
        <f t="shared" ref="J34:O34" si="6">J88+J127+J166+J204+J242+J280</f>
        <v>-680801</v>
      </c>
      <c r="K34" s="780">
        <f t="shared" si="6"/>
        <v>2306709</v>
      </c>
      <c r="L34" s="780">
        <f t="shared" si="6"/>
        <v>-3060000</v>
      </c>
      <c r="M34" s="780">
        <f t="shared" si="6"/>
        <v>8320115</v>
      </c>
      <c r="N34" s="780">
        <f t="shared" si="6"/>
        <v>8792917</v>
      </c>
      <c r="O34" s="780">
        <f t="shared" si="6"/>
        <v>19259310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777">
        <f t="shared" si="7"/>
        <v>36800000</v>
      </c>
      <c r="F37" s="777">
        <f t="shared" si="7"/>
        <v>37700000</v>
      </c>
      <c r="G37" s="777">
        <f>G91+G130+G169+G207+G245+G283</f>
        <v>48600000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713">
        <f t="shared" si="7"/>
        <v>36800000</v>
      </c>
      <c r="F46" s="713">
        <f t="shared" si="7"/>
        <v>37700000</v>
      </c>
      <c r="G46" s="713">
        <f t="shared" si="7"/>
        <v>48600000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774">
        <f t="shared" ref="B48:G48" si="11">B102+B141+B180+B218+B256+B294</f>
        <v>17084331</v>
      </c>
      <c r="C48" s="774">
        <f t="shared" si="11"/>
        <v>19881683</v>
      </c>
      <c r="D48" s="774">
        <f t="shared" si="11"/>
        <v>26000000</v>
      </c>
      <c r="E48" s="713">
        <f t="shared" si="11"/>
        <v>36800000</v>
      </c>
      <c r="F48" s="713">
        <f t="shared" si="11"/>
        <v>37700000</v>
      </c>
      <c r="G48" s="713">
        <f t="shared" si="11"/>
        <v>48600000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36800000</v>
      </c>
      <c r="N52" s="135">
        <f>VLOOKUP($A14,'(D1) Tavanet buxhetore'!$A$7:$R$473,8,FALSE)</f>
        <v>37700000</v>
      </c>
      <c r="O52" s="587">
        <f>VLOOKUP($A14,'(D1) Tavanet buxhetore'!$A$7:$R$473,9,FALSE)</f>
        <v>48600000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36800000</v>
      </c>
      <c r="N53" s="136">
        <f>F18</f>
        <v>37700000</v>
      </c>
      <c r="O53" s="588">
        <f>G18</f>
        <v>48600000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36800000</v>
      </c>
      <c r="N58" s="135">
        <f>VLOOKUP($A14,'(D1) Tavanet buxhetore'!$A$7:$R$473,14,FALSE)</f>
        <v>37700000</v>
      </c>
      <c r="O58" s="587">
        <f>VLOOKUP($A14,'(D1) Tavanet buxhetore'!$A$7:$R$473,15,FALSE)</f>
        <v>48600000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36800000</v>
      </c>
      <c r="N59" s="136">
        <f>N53-N56-N62</f>
        <v>37700000</v>
      </c>
      <c r="O59" s="588">
        <f>O53-O56-O62</f>
        <v>48600000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17</v>
      </c>
      <c r="B66" s="1225" t="str">
        <f t="shared" si="12"/>
        <v>064 Ndriçimi i rrugëve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17a</v>
      </c>
      <c r="B67" s="1225" t="str">
        <f>C6</f>
        <v>Ndriçim rrugësh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1369" t="str">
        <f>'(B3) Struktura Funksionale'!B89</f>
        <v>06440</v>
      </c>
      <c r="B68" s="1370"/>
      <c r="C68" s="1370"/>
      <c r="D68" s="1370"/>
      <c r="E68" s="1370"/>
      <c r="F68" s="1370"/>
      <c r="G68" s="1370"/>
      <c r="H68" s="1370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768" t="str">
        <f>A18</f>
        <v>SHPENZIME TË PRITSHME</v>
      </c>
      <c r="B72" s="769">
        <f>VLOOKUP(A67,'(C1) Shpenzimet vitet e kaluara'!A$9:O$177,5,FALSE)</f>
        <v>17084331</v>
      </c>
      <c r="C72" s="769">
        <f>VLOOKUP(A67,'(C1) Shpenzimet vitet e kaluara'!A$9:O$177,9,FALSE)</f>
        <v>19881683</v>
      </c>
      <c r="D72" s="769">
        <f>VLOOKUP(A67,'(C1) Shpenzimet vitet e kaluara'!A$9:O$177,13,FALSE)</f>
        <v>26000000</v>
      </c>
      <c r="E72" s="708"/>
      <c r="F72" s="708"/>
      <c r="G72" s="708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709"/>
      <c r="B73" s="710"/>
      <c r="C73" s="711"/>
      <c r="D73" s="711"/>
      <c r="E73" s="276"/>
      <c r="F73" s="276"/>
      <c r="G73" s="712"/>
      <c r="H73" s="10"/>
      <c r="I73" s="134" t="str">
        <f>I19</f>
        <v>VLERËSIM I ARDHURAVE NGA TARIFAT</v>
      </c>
      <c r="J73" s="775">
        <f>VLOOKUP($A67,'(C1) Shpenzimet vitet e kaluara'!$A$9:$O$177,6,FALSE)</f>
        <v>17765132</v>
      </c>
      <c r="K73" s="775">
        <f>VLOOKUP($A67,'(C1) Shpenzimet vitet e kaluara'!$A$9:$O$177,10,FALSE)</f>
        <v>17574974</v>
      </c>
      <c r="L73" s="775">
        <f>VLOOKUP($A67,'(C1) Shpenzimet vitet e kaluara'!$A$9:$O$177,14,FALSE)</f>
        <v>29060000</v>
      </c>
      <c r="M73" s="708"/>
      <c r="N73" s="708"/>
      <c r="O73" s="708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713"/>
      <c r="F76" s="713"/>
      <c r="G76" s="713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713"/>
      <c r="F77" s="713"/>
      <c r="G77" s="713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713"/>
      <c r="F78" s="713"/>
      <c r="G78" s="713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713"/>
      <c r="F79" s="713"/>
      <c r="G79" s="713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713"/>
      <c r="F80" s="713"/>
      <c r="G80" s="713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6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713"/>
      <c r="F81" s="713"/>
      <c r="G81" s="713"/>
      <c r="H81" s="52"/>
    </row>
    <row r="82" spans="1:16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713"/>
      <c r="F82" s="713"/>
      <c r="G82" s="713"/>
      <c r="H82" s="52"/>
      <c r="I82" s="134" t="str">
        <f>I29</f>
        <v xml:space="preserve">TË ARDHURAT E PRITSHME </v>
      </c>
      <c r="J82" s="774">
        <f>J73+J80</f>
        <v>17765132</v>
      </c>
      <c r="K82" s="774">
        <f>K73+K80</f>
        <v>17574974</v>
      </c>
      <c r="L82" s="774">
        <f>L73+L80</f>
        <v>29060000</v>
      </c>
      <c r="M82" s="713">
        <f>M80+M73</f>
        <v>0</v>
      </c>
      <c r="N82" s="713">
        <f>N80+N73</f>
        <v>0</v>
      </c>
      <c r="O82" s="713">
        <f>O80+O73</f>
        <v>0</v>
      </c>
    </row>
    <row r="83" spans="1:16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708"/>
      <c r="F83" s="708"/>
      <c r="G83" s="708"/>
      <c r="H83" s="52"/>
    </row>
    <row r="84" spans="1:16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713"/>
      <c r="F84" s="713"/>
      <c r="G84" s="713"/>
      <c r="H84" s="52"/>
    </row>
    <row r="85" spans="1:16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713"/>
      <c r="F85" s="713"/>
      <c r="G85" s="713"/>
      <c r="H85" s="52"/>
    </row>
    <row r="86" spans="1:16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713"/>
      <c r="F86" s="713"/>
      <c r="G86" s="713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6" ht="12" customHeight="1" x14ac:dyDescent="0.2">
      <c r="A87" s="714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713">
        <f>SUM(E76:E86)</f>
        <v>0</v>
      </c>
      <c r="F87" s="713">
        <f>SUM(F76:F86)</f>
        <v>0</v>
      </c>
      <c r="G87" s="713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6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780">
        <f t="shared" ref="J88:O88" si="21">B72-J82</f>
        <v>-680801</v>
      </c>
      <c r="K88" s="780">
        <f t="shared" si="21"/>
        <v>2306709</v>
      </c>
      <c r="L88" s="780">
        <f t="shared" si="21"/>
        <v>-3060000</v>
      </c>
      <c r="M88" s="780">
        <f t="shared" si="21"/>
        <v>0</v>
      </c>
      <c r="N88" s="780">
        <f t="shared" si="21"/>
        <v>0</v>
      </c>
      <c r="O88" s="780">
        <f t="shared" si="21"/>
        <v>0</v>
      </c>
      <c r="P88" s="776"/>
    </row>
    <row r="89" spans="1:16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708"/>
      <c r="F89" s="708"/>
      <c r="G89" s="708"/>
      <c r="H89" s="52"/>
      <c r="I89" s="52"/>
      <c r="J89" s="52"/>
      <c r="K89" s="52"/>
      <c r="L89" s="14"/>
      <c r="M89" s="53"/>
    </row>
    <row r="90" spans="1:16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708"/>
      <c r="F90" s="708"/>
      <c r="G90" s="708"/>
      <c r="H90" s="52"/>
    </row>
    <row r="91" spans="1:16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708"/>
      <c r="F91" s="708"/>
      <c r="G91" s="708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6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708"/>
      <c r="F92" s="708"/>
      <c r="G92" s="708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6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708"/>
      <c r="F93" s="708"/>
      <c r="G93" s="708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6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708"/>
      <c r="F94" s="708"/>
      <c r="G94" s="708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6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708"/>
      <c r="F95" s="708"/>
      <c r="G95" s="708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6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713"/>
      <c r="F96" s="713"/>
      <c r="G96" s="713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708"/>
      <c r="F97" s="708"/>
      <c r="G97" s="708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708"/>
      <c r="F98" s="708"/>
      <c r="G98" s="708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740">
        <f>-E87+E72-(SUM(E89:E98))</f>
        <v>0</v>
      </c>
      <c r="F99" s="741">
        <f>-F87+F72-(SUM(F89:F98))</f>
        <v>0</v>
      </c>
      <c r="G99" s="741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713">
        <f>SUM(E89:E99)</f>
        <v>0</v>
      </c>
      <c r="F100" s="713">
        <f>SUM(F89:F99)</f>
        <v>0</v>
      </c>
      <c r="G100" s="713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276"/>
      <c r="F101" s="276"/>
      <c r="G101" s="712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774">
        <f>B72</f>
        <v>17084331</v>
      </c>
      <c r="C102" s="774">
        <f>C72</f>
        <v>19881683</v>
      </c>
      <c r="D102" s="774">
        <f>D72</f>
        <v>26000000</v>
      </c>
      <c r="E102" s="713">
        <f>E87+E100</f>
        <v>0</v>
      </c>
      <c r="F102" s="713">
        <f>F87+F100</f>
        <v>0</v>
      </c>
      <c r="G102" s="713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17</v>
      </c>
      <c r="B105" s="1225" t="str">
        <f t="shared" si="22"/>
        <v>064 Ndriçimi i rrugëve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17b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Funksionale'!B90</f>
        <v>0</v>
      </c>
      <c r="B107" s="485"/>
      <c r="C107" s="485"/>
      <c r="D107" s="485"/>
      <c r="E107" s="485"/>
      <c r="F107" s="485"/>
      <c r="G107" s="486"/>
      <c r="H107" s="487"/>
      <c r="I107" s="488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21" t="str">
        <f t="shared" ref="A108:G108" si="23">A69</f>
        <v>SHPENZIME TË PRITSHME</v>
      </c>
      <c r="B108" s="1222">
        <f t="shared" si="23"/>
        <v>0</v>
      </c>
      <c r="C108" s="1222">
        <f t="shared" si="23"/>
        <v>0</v>
      </c>
      <c r="D108" s="1222">
        <f t="shared" si="23"/>
        <v>0</v>
      </c>
      <c r="E108" s="1222">
        <f t="shared" si="23"/>
        <v>0</v>
      </c>
      <c r="F108" s="1222">
        <f t="shared" si="23"/>
        <v>0</v>
      </c>
      <c r="G108" s="1242">
        <f t="shared" si="23"/>
        <v>0</v>
      </c>
      <c r="H108" s="128"/>
      <c r="I108" s="1243" t="str">
        <f t="shared" ref="I108:O108" si="24">I69</f>
        <v xml:space="preserve">TË ARDHURAT E PRITSHME </v>
      </c>
      <c r="J108" s="1222">
        <f t="shared" si="24"/>
        <v>0</v>
      </c>
      <c r="K108" s="1222">
        <f t="shared" si="24"/>
        <v>0</v>
      </c>
      <c r="L108" s="1222">
        <f t="shared" si="24"/>
        <v>0</v>
      </c>
      <c r="M108" s="1222">
        <f t="shared" si="24"/>
        <v>0</v>
      </c>
      <c r="N108" s="1222">
        <f t="shared" si="24"/>
        <v>0</v>
      </c>
      <c r="O108" s="1242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>
        <v>36800000</v>
      </c>
      <c r="F111" s="36">
        <v>37700000</v>
      </c>
      <c r="G111" s="36">
        <v>48600000</v>
      </c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21" t="str">
        <f>I73</f>
        <v>VLERËSIM I ARDHURAVE NGA TARIFAT</v>
      </c>
      <c r="J112" s="775">
        <f>VLOOKUP($A106,'(C1) Shpenzimet vitet e kaluara'!$A$9:$O$177,6,FALSE)</f>
        <v>0</v>
      </c>
      <c r="K112" s="775">
        <f>VLOOKUP($A106,'(C1) Shpenzimet vitet e kaluara'!$A$9:$O$177,10,FALSE)</f>
        <v>0</v>
      </c>
      <c r="L112" s="775">
        <f>VLOOKUP($A106,'(C1) Shpenzimet vitet e kaluara'!$A$9:$O$177,14,FALSE)</f>
        <v>0</v>
      </c>
      <c r="M112" s="708">
        <v>28479885</v>
      </c>
      <c r="N112" s="708">
        <v>28907083</v>
      </c>
      <c r="O112" s="708">
        <v>29340690</v>
      </c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  <c r="I113" s="776"/>
      <c r="J113" s="776"/>
      <c r="K113" s="776"/>
      <c r="L113" s="776"/>
      <c r="M113" s="776"/>
      <c r="N113" s="776"/>
      <c r="O113" s="776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809" t="str">
        <f t="shared" si="29"/>
        <v>Transferta e kushtëzuar</v>
      </c>
      <c r="J115" s="336"/>
      <c r="K115" s="338"/>
      <c r="L115" s="337"/>
      <c r="M115" s="785"/>
      <c r="N115" s="785"/>
      <c r="O115" s="786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809" t="str">
        <f t="shared" si="29"/>
        <v>Trasferta Specifike</v>
      </c>
      <c r="J116" s="336"/>
      <c r="K116" s="338"/>
      <c r="L116" s="337"/>
      <c r="M116" s="785"/>
      <c r="N116" s="785"/>
      <c r="O116" s="786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809" t="str">
        <f t="shared" si="29"/>
        <v>Trashëgimi me destinacion</v>
      </c>
      <c r="J117" s="336"/>
      <c r="K117" s="338"/>
      <c r="L117" s="337"/>
      <c r="M117" s="799">
        <f>VLOOKUP($A106,'(C4) Trashëgimi me destinacion'!$A$8:$F$168,4,FALSE)</f>
        <v>0</v>
      </c>
      <c r="N117" s="778">
        <f>VLOOKUP($A106,'(C4) Trashëgimi me destinacion'!$A$8:$F$168,5,FALSE)</f>
        <v>0</v>
      </c>
      <c r="O117" s="778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809" t="str">
        <f t="shared" si="29"/>
        <v>Burime të tjera (përfshirë gjobat)</v>
      </c>
      <c r="J118" s="336"/>
      <c r="K118" s="338"/>
      <c r="L118" s="337"/>
      <c r="M118" s="785"/>
      <c r="N118" s="785"/>
      <c r="O118" s="786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809" t="str">
        <f t="shared" si="29"/>
        <v>VLERËSIMI I TË ARDHURAVE ME DESTINACION</v>
      </c>
      <c r="J119" s="775">
        <f>VLOOKUP($A106,'(C1) Shpenzimet vitet e kaluara'!$A$9:$O$177,7,FALSE)</f>
        <v>0</v>
      </c>
      <c r="K119" s="775">
        <f>VLOOKUP($A106,'(C1) Shpenzimet vitet e kaluara'!$A$9:$O$177,11,FALSE)</f>
        <v>0</v>
      </c>
      <c r="L119" s="775">
        <f>VLOOKUP($A106,'(C1) Shpenzimet vitet e kaluara'!$A$9:$O$177,15,FALSE)</f>
        <v>0</v>
      </c>
      <c r="M119" s="713">
        <f>SUM(M115:M118)</f>
        <v>0</v>
      </c>
      <c r="N119" s="713">
        <f>SUM(N115:N118)</f>
        <v>0</v>
      </c>
      <c r="O119" s="713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  <c r="I120" s="776"/>
      <c r="J120" s="776"/>
      <c r="K120" s="776"/>
      <c r="L120" s="776"/>
      <c r="M120" s="776"/>
      <c r="N120" s="776"/>
      <c r="O120" s="776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21" t="str">
        <f>I82</f>
        <v xml:space="preserve">TË ARDHURAT E PRITSHME </v>
      </c>
      <c r="J121" s="774">
        <f>J112+J119</f>
        <v>0</v>
      </c>
      <c r="K121" s="774">
        <f>K112+K119</f>
        <v>0</v>
      </c>
      <c r="L121" s="774">
        <f>L112+L119</f>
        <v>0</v>
      </c>
      <c r="M121" s="713">
        <f>M119+M112</f>
        <v>28479885</v>
      </c>
      <c r="N121" s="713">
        <f>N119+N112</f>
        <v>28907083</v>
      </c>
      <c r="O121" s="713">
        <f>O119+O112</f>
        <v>29340690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  <c r="I122" s="776"/>
      <c r="J122" s="776"/>
      <c r="K122" s="776"/>
      <c r="L122" s="776"/>
      <c r="M122" s="776"/>
      <c r="N122" s="776"/>
      <c r="O122" s="776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  <c r="I123" s="776"/>
      <c r="J123" s="776"/>
      <c r="K123" s="776"/>
      <c r="L123" s="776"/>
      <c r="M123" s="776"/>
      <c r="N123" s="776"/>
      <c r="O123" s="776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  <c r="I124" s="776"/>
      <c r="J124" s="776"/>
      <c r="K124" s="776"/>
      <c r="L124" s="776"/>
      <c r="M124" s="776"/>
      <c r="N124" s="776"/>
      <c r="O124" s="776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371" t="str">
        <f t="shared" ref="I125:O126" si="31">I86</f>
        <v>SHUMA E KËRKUAR NETO</v>
      </c>
      <c r="J125" s="1372">
        <f t="shared" si="31"/>
        <v>0</v>
      </c>
      <c r="K125" s="1372">
        <f t="shared" si="31"/>
        <v>0</v>
      </c>
      <c r="L125" s="1372">
        <f t="shared" si="31"/>
        <v>0</v>
      </c>
      <c r="M125" s="1372">
        <f t="shared" si="31"/>
        <v>0</v>
      </c>
      <c r="N125" s="1372">
        <f t="shared" si="31"/>
        <v>0</v>
      </c>
      <c r="O125" s="1373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374">
        <f t="shared" si="31"/>
        <v>0</v>
      </c>
      <c r="J126" s="1375">
        <f t="shared" si="31"/>
        <v>0</v>
      </c>
      <c r="K126" s="1375">
        <f t="shared" si="31"/>
        <v>0</v>
      </c>
      <c r="L126" s="1375">
        <f t="shared" si="31"/>
        <v>0</v>
      </c>
      <c r="M126" s="1375">
        <f t="shared" si="31"/>
        <v>0</v>
      </c>
      <c r="N126" s="1375">
        <f t="shared" si="31"/>
        <v>0</v>
      </c>
      <c r="O126" s="1376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787" t="str">
        <f>I88</f>
        <v>SHUMA E KËRKUAR NETO</v>
      </c>
      <c r="J127" s="780">
        <f t="shared" ref="J127:O127" si="32">B111-J121</f>
        <v>0</v>
      </c>
      <c r="K127" s="780">
        <f t="shared" si="32"/>
        <v>0</v>
      </c>
      <c r="L127" s="780">
        <f t="shared" si="32"/>
        <v>0</v>
      </c>
      <c r="M127" s="780">
        <f t="shared" si="32"/>
        <v>8320115</v>
      </c>
      <c r="N127" s="780">
        <f t="shared" si="32"/>
        <v>8792917</v>
      </c>
      <c r="O127" s="780">
        <f t="shared" si="32"/>
        <v>19259310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9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9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>
        <v>36800000</v>
      </c>
      <c r="F130" s="36">
        <v>37700000</v>
      </c>
      <c r="G130" s="36">
        <v>48600000</v>
      </c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  <c r="P130" s="955" t="s">
        <v>2028</v>
      </c>
      <c r="Q130" s="955"/>
      <c r="R130" s="955"/>
      <c r="S130" s="955"/>
    </row>
    <row r="131" spans="1:19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9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9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9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9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9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9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9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9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36800000</v>
      </c>
      <c r="F139" s="126">
        <f>SUM(F128:F138)</f>
        <v>37700000</v>
      </c>
      <c r="G139" s="126">
        <f>SUM(G128:G138)</f>
        <v>48600000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9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9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36800000</v>
      </c>
      <c r="F141" s="126">
        <f>F126+F139</f>
        <v>37700000</v>
      </c>
      <c r="G141" s="126">
        <f>G126+G139</f>
        <v>48600000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9" ht="17.25" customHeight="1" x14ac:dyDescent="0.2">
      <c r="A144" s="204" t="str">
        <f t="shared" ref="A144:O144" si="33">A66</f>
        <v>Nënfunksioni 17</v>
      </c>
      <c r="B144" s="1225" t="str">
        <f t="shared" si="33"/>
        <v>064 Ndriçimi i rrugëve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17c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Funksionale'!B91</f>
        <v>0</v>
      </c>
      <c r="B146" s="485"/>
      <c r="C146" s="485"/>
      <c r="D146" s="485"/>
      <c r="E146" s="485"/>
      <c r="F146" s="485"/>
      <c r="G146" s="486"/>
      <c r="H146" s="487"/>
      <c r="I146" s="488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21" t="str">
        <f t="shared" ref="A147:G147" si="34">A69</f>
        <v>SHPENZIME TË PRITSHME</v>
      </c>
      <c r="B147" s="1222">
        <f t="shared" si="34"/>
        <v>0</v>
      </c>
      <c r="C147" s="1222">
        <f t="shared" si="34"/>
        <v>0</v>
      </c>
      <c r="D147" s="1222">
        <f t="shared" si="34"/>
        <v>0</v>
      </c>
      <c r="E147" s="1222">
        <f t="shared" si="34"/>
        <v>0</v>
      </c>
      <c r="F147" s="1222">
        <f t="shared" si="34"/>
        <v>0</v>
      </c>
      <c r="G147" s="1242">
        <f t="shared" si="34"/>
        <v>0</v>
      </c>
      <c r="H147" s="128"/>
      <c r="I147" s="1243" t="str">
        <f t="shared" ref="I147:O147" si="35">I69</f>
        <v xml:space="preserve">TË ARDHURAT E PRITSHME </v>
      </c>
      <c r="J147" s="1222">
        <f t="shared" si="35"/>
        <v>0</v>
      </c>
      <c r="K147" s="1222">
        <f t="shared" si="35"/>
        <v>0</v>
      </c>
      <c r="L147" s="1222">
        <f t="shared" si="35"/>
        <v>0</v>
      </c>
      <c r="M147" s="1222">
        <f t="shared" si="35"/>
        <v>0</v>
      </c>
      <c r="N147" s="1222">
        <f t="shared" si="35"/>
        <v>0</v>
      </c>
      <c r="O147" s="1242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electLockedCells="1"/>
  <mergeCells count="339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68:H68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3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tabColor rgb="FFFF0000"/>
    <pageSetUpPr fitToPage="1"/>
  </sheetPr>
  <dimension ref="A1:O294"/>
  <sheetViews>
    <sheetView showGridLines="0" topLeftCell="A34" workbookViewId="0">
      <selection activeCell="M92" sqref="M92:O92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30.14062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Fjalori'!A81</f>
        <v>Nënfunksioni 18</v>
      </c>
      <c r="B2" s="1130" t="str">
        <f>+VLOOKUP($A2,'(B2) Struktura Organizative'!$A7:$E33,2,FALSE)</f>
        <v xml:space="preserve">072 Shërbimet e kujdesit parësor 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Funksionale'!A94</f>
        <v>Programi 18a</v>
      </c>
      <c r="B6" s="1203"/>
      <c r="C6" s="1204" t="str">
        <f>VLOOKUP($A6,'(B3) Struktura Funksionale'!$A$7:$E$146,3,FALSE)</f>
        <v>Shërbimet e kujdesit parësor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Funksionale'!A95</f>
        <v>Programi 18b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Funksionale'!A96</f>
        <v>Programi 18c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18</v>
      </c>
      <c r="B14" s="1225" t="str">
        <f>B$2</f>
        <v xml:space="preserve">072 Shërbimet e kujdesit parësor 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18</v>
      </c>
      <c r="B66" s="1225" t="str">
        <f t="shared" si="12"/>
        <v xml:space="preserve">072 Shërbimet e kujdesit parësor 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18a</v>
      </c>
      <c r="B67" s="1225" t="str">
        <f>C6</f>
        <v>Shërbimet e kujdesit parësor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Funksionale'!B94</f>
        <v>07220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18</v>
      </c>
      <c r="B105" s="1225" t="str">
        <f t="shared" si="22"/>
        <v xml:space="preserve">072 Shërbimet e kujdesit parësor 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18b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Funksionale'!B95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18</v>
      </c>
      <c r="B144" s="1225" t="str">
        <f t="shared" si="33"/>
        <v xml:space="preserve">072 Shërbimet e kujdesit parësor 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18c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Funksionale'!B96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7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tabColor rgb="FFFF0000"/>
    <pageSetUpPr fitToPage="1"/>
  </sheetPr>
  <dimension ref="A1:O294"/>
  <sheetViews>
    <sheetView showGridLines="0" topLeftCell="A142" workbookViewId="0">
      <selection activeCell="F128" sqref="F128:G128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29.85546875" style="95" customWidth="1"/>
    <col min="10" max="10" width="10" style="95" customWidth="1"/>
    <col min="11" max="11" width="10.28515625" style="95" customWidth="1"/>
    <col min="12" max="12" width="9.7109375" style="95" customWidth="1"/>
    <col min="13" max="14" width="9.28515625" style="95" customWidth="1"/>
    <col min="15" max="15" width="9.85546875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Fjalori'!A82</f>
        <v>Nënfunksioni 19</v>
      </c>
      <c r="B2" s="1130" t="str">
        <f>+VLOOKUP($A2,'(B2) Struktura Organizative'!$A7:$E33,2,FALSE)</f>
        <v>081 Shërbimet rekreative dhe sportive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 t="str">
        <f>+VLOOKUP($A2,'(B2) Struktura Organizative'!$A7:$E33,4,FALSE)</f>
        <v>Klevis Cane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Funksionale'!A99</f>
        <v>Programi 19a</v>
      </c>
      <c r="B6" s="1203"/>
      <c r="C6" s="1204" t="str">
        <f>VLOOKUP($A6,'(B3) Struktura Funksionale'!$A$7:$E$146,3,FALSE)</f>
        <v>Parqet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Funksionale'!A100</f>
        <v>Programi 19b</v>
      </c>
      <c r="B7" s="1203"/>
      <c r="C7" s="1204" t="str">
        <f>VLOOKUP($A7,'(B3) Struktura Funksionale'!$A$7:$E$146,3,FALSE)</f>
        <v>Sport dhe argëtim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customHeight="1" x14ac:dyDescent="0.2">
      <c r="A8" s="1202" t="str">
        <f>'(B3) Struktura Funksionale'!A101</f>
        <v>Programi 19c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19</v>
      </c>
      <c r="B14" s="1225" t="str">
        <f>B$2</f>
        <v>081 Shërbimet rekreative dhe sportive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727" t="str">
        <f>A15</f>
        <v>SHPENZIME TË PRITSHME</v>
      </c>
      <c r="B18" s="728">
        <f t="shared" ref="B18:G18" si="1">B72+B111+B150+B188+B226+B264</f>
        <v>24247564</v>
      </c>
      <c r="C18" s="728">
        <f t="shared" si="1"/>
        <v>10803448</v>
      </c>
      <c r="D18" s="728">
        <f t="shared" si="1"/>
        <v>20764388</v>
      </c>
      <c r="E18" s="735">
        <f t="shared" si="1"/>
        <v>15705000</v>
      </c>
      <c r="F18" s="735">
        <f t="shared" si="1"/>
        <v>16795000</v>
      </c>
      <c r="G18" s="735">
        <f t="shared" si="1"/>
        <v>17368600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730"/>
      <c r="B19" s="731"/>
      <c r="C19" s="732"/>
      <c r="D19" s="732"/>
      <c r="E19" s="733"/>
      <c r="F19" s="733"/>
      <c r="G19" s="734"/>
      <c r="H19" s="10"/>
      <c r="I19" s="134" t="str">
        <f>'(G1) Fjalori'!A388</f>
        <v>VLERËSIM I ARDHURAVE NGA TARIFAT</v>
      </c>
      <c r="J19" s="34">
        <f t="shared" ref="J19:O19" si="2">J73+J112+J151+J189+J227+J265</f>
        <v>151900</v>
      </c>
      <c r="K19" s="34">
        <f t="shared" si="2"/>
        <v>37500</v>
      </c>
      <c r="L19" s="33">
        <f t="shared" si="2"/>
        <v>350000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313" t="str">
        <f>A15</f>
        <v>SHPENZIME TË PRITSHME</v>
      </c>
      <c r="B20" s="1314"/>
      <c r="C20" s="1314"/>
      <c r="D20" s="1314"/>
      <c r="E20" s="1314"/>
      <c r="F20" s="1314"/>
      <c r="G20" s="1315"/>
      <c r="H20" s="10"/>
    </row>
    <row r="21" spans="1:15" ht="12.75" customHeight="1" x14ac:dyDescent="0.2">
      <c r="A21" s="1310" t="str">
        <f>'(G1) Fjalori'!A382</f>
        <v>KOSTO DIREKTE PËR PROJEKTET DHE SHPENZIMET KAPITALE</v>
      </c>
      <c r="B21" s="1311"/>
      <c r="C21" s="1311"/>
      <c r="D21" s="1311"/>
      <c r="E21" s="1311"/>
      <c r="F21" s="1311"/>
      <c r="G21" s="1312"/>
      <c r="H21" s="30"/>
    </row>
    <row r="22" spans="1:15" ht="12.75" customHeight="1" x14ac:dyDescent="0.2">
      <c r="A22" s="727" t="str">
        <f>'(G1) Fjalori'!A360</f>
        <v>Pagat</v>
      </c>
      <c r="B22" s="1316">
        <f>'(G1) Fjalori'!C360</f>
        <v>600</v>
      </c>
      <c r="C22" s="1317"/>
      <c r="D22" s="1318"/>
      <c r="E22" s="743">
        <f t="shared" ref="E22:G33" si="3">E76+E115+E154+E192+E230+E268</f>
        <v>0</v>
      </c>
      <c r="F22" s="743">
        <f t="shared" si="3"/>
        <v>0</v>
      </c>
      <c r="G22" s="743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727" t="str">
        <f>'(G1) Fjalori'!A361</f>
        <v>Sigurimet Shoqërore</v>
      </c>
      <c r="B23" s="1316">
        <f>'(G1) Fjalori'!C361</f>
        <v>601</v>
      </c>
      <c r="C23" s="1317"/>
      <c r="D23" s="1318"/>
      <c r="E23" s="743">
        <f t="shared" si="3"/>
        <v>0</v>
      </c>
      <c r="F23" s="743">
        <f t="shared" si="3"/>
        <v>0</v>
      </c>
      <c r="G23" s="743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727" t="str">
        <f>'(G1) Fjalori'!A362</f>
        <v>Mallra dhe shërbime</v>
      </c>
      <c r="B24" s="1316">
        <f>'(G1) Fjalori'!C362</f>
        <v>602</v>
      </c>
      <c r="C24" s="1317"/>
      <c r="D24" s="1318"/>
      <c r="E24" s="743">
        <f t="shared" si="3"/>
        <v>0</v>
      </c>
      <c r="F24" s="743">
        <f t="shared" si="3"/>
        <v>0</v>
      </c>
      <c r="G24" s="743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727" t="str">
        <f>'(G1) Fjalori'!A363</f>
        <v>Subvencione</v>
      </c>
      <c r="B25" s="1316">
        <f>'(G1) Fjalori'!C363</f>
        <v>603</v>
      </c>
      <c r="C25" s="1317"/>
      <c r="D25" s="1318"/>
      <c r="E25" s="743">
        <f t="shared" si="3"/>
        <v>0</v>
      </c>
      <c r="F25" s="743">
        <f t="shared" si="3"/>
        <v>0</v>
      </c>
      <c r="G25" s="743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727" t="str">
        <f>'(G1) Fjalori'!A364</f>
        <v>Të tjera transferta korrente të brendshme</v>
      </c>
      <c r="B26" s="1316">
        <f>'(G1) Fjalori'!C364</f>
        <v>604</v>
      </c>
      <c r="C26" s="1317"/>
      <c r="D26" s="1318"/>
      <c r="E26" s="743">
        <f t="shared" si="3"/>
        <v>0</v>
      </c>
      <c r="F26" s="743">
        <f t="shared" si="3"/>
        <v>0</v>
      </c>
      <c r="G26" s="743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727" t="str">
        <f>'(G1) Fjalori'!A365</f>
        <v>Transferta korrente të huaja</v>
      </c>
      <c r="B27" s="1316">
        <f>'(G1) Fjalori'!C365</f>
        <v>605</v>
      </c>
      <c r="C27" s="1317"/>
      <c r="D27" s="1318"/>
      <c r="E27" s="743">
        <f t="shared" si="3"/>
        <v>0</v>
      </c>
      <c r="F27" s="743">
        <f t="shared" si="3"/>
        <v>0</v>
      </c>
      <c r="G27" s="743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727" t="str">
        <f>'(G1) Fjalori'!A366</f>
        <v>Transferta për Buxhetet Familiare dhe Individët</v>
      </c>
      <c r="B28" s="1316">
        <f>'(G1) Fjalori'!C366</f>
        <v>606</v>
      </c>
      <c r="C28" s="1317"/>
      <c r="D28" s="1318"/>
      <c r="E28" s="743">
        <f t="shared" si="3"/>
        <v>0</v>
      </c>
      <c r="F28" s="743">
        <f t="shared" si="3"/>
        <v>0</v>
      </c>
      <c r="G28" s="743">
        <f t="shared" si="3"/>
        <v>0</v>
      </c>
      <c r="H28" s="52"/>
    </row>
    <row r="29" spans="1:15" ht="12.75" x14ac:dyDescent="0.2">
      <c r="A29" s="727" t="str">
        <f>'(G1) Fjalori'!A367</f>
        <v>Shpenzimet kapitale</v>
      </c>
      <c r="B29" s="1316" t="str">
        <f>'(G1) Fjalori'!C367</f>
        <v>230 / 231</v>
      </c>
      <c r="C29" s="1317"/>
      <c r="D29" s="1318"/>
      <c r="E29" s="743">
        <f t="shared" si="3"/>
        <v>50000</v>
      </c>
      <c r="F29" s="743">
        <f t="shared" si="3"/>
        <v>50000</v>
      </c>
      <c r="G29" s="743">
        <f t="shared" si="3"/>
        <v>100000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151900</v>
      </c>
      <c r="K29" s="33">
        <f t="shared" si="5"/>
        <v>37500</v>
      </c>
      <c r="L29" s="33">
        <f t="shared" si="5"/>
        <v>350000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727" t="str">
        <f>'(G1) Fjalori'!A368</f>
        <v>Rezerva</v>
      </c>
      <c r="B30" s="1316">
        <f>'(G1) Fjalori'!C368</f>
        <v>609</v>
      </c>
      <c r="C30" s="1317"/>
      <c r="D30" s="1318"/>
      <c r="E30" s="743">
        <f t="shared" si="3"/>
        <v>0</v>
      </c>
      <c r="F30" s="743">
        <f t="shared" si="3"/>
        <v>0</v>
      </c>
      <c r="G30" s="743">
        <f t="shared" si="3"/>
        <v>0</v>
      </c>
      <c r="H30" s="52"/>
    </row>
    <row r="31" spans="1:15" ht="12.75" x14ac:dyDescent="0.2">
      <c r="A31" s="727" t="str">
        <f>'(G1) Fjalori'!A369</f>
        <v>Interesa per kredi direkte ose bono</v>
      </c>
      <c r="B31" s="1316">
        <f>'(G1) Fjalori'!C369</f>
        <v>650</v>
      </c>
      <c r="C31" s="1317"/>
      <c r="D31" s="1318"/>
      <c r="E31" s="743">
        <f t="shared" si="3"/>
        <v>0</v>
      </c>
      <c r="F31" s="743">
        <f t="shared" si="3"/>
        <v>0</v>
      </c>
      <c r="G31" s="743">
        <f t="shared" si="3"/>
        <v>0</v>
      </c>
      <c r="H31" s="52"/>
    </row>
    <row r="32" spans="1:15" ht="12.75" customHeight="1" x14ac:dyDescent="0.2">
      <c r="A32" s="727" t="str">
        <f>'(G1) Fjalori'!A370</f>
        <v>Të tjera</v>
      </c>
      <c r="B32" s="1316" t="str">
        <f>'(G1) Fjalori'!C370</f>
        <v>69 / ?</v>
      </c>
      <c r="C32" s="1317"/>
      <c r="D32" s="1318"/>
      <c r="E32" s="743">
        <f t="shared" si="3"/>
        <v>0</v>
      </c>
      <c r="F32" s="743">
        <f t="shared" si="3"/>
        <v>0</v>
      </c>
      <c r="G32" s="743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736" t="str">
        <f>A21</f>
        <v>KOSTO DIREKTE PËR PROJEKTET DHE SHPENZIMET KAPITALE</v>
      </c>
      <c r="B33" s="1316"/>
      <c r="C33" s="1317"/>
      <c r="D33" s="1318"/>
      <c r="E33" s="735">
        <f t="shared" si="3"/>
        <v>50000</v>
      </c>
      <c r="F33" s="735">
        <f t="shared" si="3"/>
        <v>50000</v>
      </c>
      <c r="G33" s="735">
        <f t="shared" si="3"/>
        <v>100000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310" t="str">
        <f>'(G1) Fjalori'!A383</f>
        <v>SHPENZIME KORRENTE</v>
      </c>
      <c r="B34" s="1311"/>
      <c r="C34" s="1311"/>
      <c r="D34" s="1311"/>
      <c r="E34" s="1311"/>
      <c r="F34" s="1311"/>
      <c r="G34" s="1312"/>
      <c r="H34" s="52"/>
      <c r="I34" s="17" t="str">
        <f>I32</f>
        <v>SHUMA E KËRKUAR NETO</v>
      </c>
      <c r="J34" s="742">
        <f t="shared" ref="J34:O34" si="6">J88+J127+J166+J204+J242+J280</f>
        <v>24095664</v>
      </c>
      <c r="K34" s="742">
        <f t="shared" si="6"/>
        <v>10765948</v>
      </c>
      <c r="L34" s="742">
        <f t="shared" si="6"/>
        <v>20414388</v>
      </c>
      <c r="M34" s="742">
        <f t="shared" si="6"/>
        <v>15705000</v>
      </c>
      <c r="N34" s="742">
        <f t="shared" si="6"/>
        <v>16795000</v>
      </c>
      <c r="O34" s="742">
        <f t="shared" si="6"/>
        <v>17368600</v>
      </c>
    </row>
    <row r="35" spans="1:15" ht="12.75" x14ac:dyDescent="0.2">
      <c r="A35" s="727" t="str">
        <f>A22</f>
        <v>Pagat</v>
      </c>
      <c r="B35" s="1316">
        <f>B22</f>
        <v>600</v>
      </c>
      <c r="C35" s="1317"/>
      <c r="D35" s="1318"/>
      <c r="E35" s="743">
        <f t="shared" ref="E35:G46" si="7">E89+E128+E167+E205+E243+E281</f>
        <v>4860555</v>
      </c>
      <c r="F35" s="743">
        <f t="shared" si="7"/>
        <v>5346610.5</v>
      </c>
      <c r="G35" s="743">
        <f t="shared" si="7"/>
        <v>5638243.7999999998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727" t="str">
        <f t="shared" ref="A36:A45" si="8">A23</f>
        <v>Sigurimet Shoqërore</v>
      </c>
      <c r="B36" s="1316">
        <f t="shared" ref="B36:B45" si="9">B23</f>
        <v>601</v>
      </c>
      <c r="C36" s="1317"/>
      <c r="D36" s="1318"/>
      <c r="E36" s="743">
        <f t="shared" si="7"/>
        <v>974444.99999999988</v>
      </c>
      <c r="F36" s="743">
        <f t="shared" si="7"/>
        <v>1071889.4999999998</v>
      </c>
      <c r="G36" s="743">
        <f t="shared" si="7"/>
        <v>1130356.2</v>
      </c>
      <c r="H36" s="52"/>
    </row>
    <row r="37" spans="1:15" ht="12.75" x14ac:dyDescent="0.2">
      <c r="A37" s="727" t="str">
        <f t="shared" si="8"/>
        <v>Mallra dhe shërbime</v>
      </c>
      <c r="B37" s="1316">
        <f t="shared" si="9"/>
        <v>602</v>
      </c>
      <c r="C37" s="1317"/>
      <c r="D37" s="1318"/>
      <c r="E37" s="743">
        <f t="shared" si="7"/>
        <v>9820000</v>
      </c>
      <c r="F37" s="743">
        <f t="shared" si="7"/>
        <v>10326500</v>
      </c>
      <c r="G37" s="743">
        <f t="shared" si="7"/>
        <v>10500000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727" t="str">
        <f t="shared" si="8"/>
        <v>Subvencione</v>
      </c>
      <c r="B38" s="1316">
        <f t="shared" si="9"/>
        <v>603</v>
      </c>
      <c r="C38" s="1317"/>
      <c r="D38" s="1318"/>
      <c r="E38" s="743">
        <f t="shared" si="7"/>
        <v>0</v>
      </c>
      <c r="F38" s="743">
        <f t="shared" si="7"/>
        <v>0</v>
      </c>
      <c r="G38" s="743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727" t="str">
        <f t="shared" si="8"/>
        <v>Të tjera transferta korrente të brendshme</v>
      </c>
      <c r="B39" s="1316">
        <f t="shared" si="9"/>
        <v>604</v>
      </c>
      <c r="C39" s="1317"/>
      <c r="D39" s="1318"/>
      <c r="E39" s="743">
        <f t="shared" si="7"/>
        <v>0</v>
      </c>
      <c r="F39" s="743">
        <f t="shared" si="7"/>
        <v>0</v>
      </c>
      <c r="G39" s="743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727" t="str">
        <f t="shared" si="8"/>
        <v>Transferta korrente të huaja</v>
      </c>
      <c r="B40" s="1316">
        <f t="shared" si="9"/>
        <v>605</v>
      </c>
      <c r="C40" s="1317"/>
      <c r="D40" s="1318"/>
      <c r="E40" s="743">
        <f t="shared" si="7"/>
        <v>0</v>
      </c>
      <c r="F40" s="743">
        <f t="shared" si="7"/>
        <v>0</v>
      </c>
      <c r="G40" s="743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727" t="str">
        <f t="shared" si="8"/>
        <v>Transferta për Buxhetet Familiare dhe Individët</v>
      </c>
      <c r="B41" s="1316">
        <f t="shared" si="9"/>
        <v>606</v>
      </c>
      <c r="C41" s="1317"/>
      <c r="D41" s="1318"/>
      <c r="E41" s="743">
        <f t="shared" si="7"/>
        <v>0</v>
      </c>
      <c r="F41" s="743">
        <f t="shared" si="7"/>
        <v>0</v>
      </c>
      <c r="G41" s="743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737" t="str">
        <f t="shared" si="8"/>
        <v>Shpenzimet kapitale</v>
      </c>
      <c r="B42" s="1350" t="str">
        <f t="shared" si="9"/>
        <v>230 / 231</v>
      </c>
      <c r="C42" s="1351"/>
      <c r="D42" s="1352"/>
      <c r="E42" s="743">
        <f t="shared" si="7"/>
        <v>0</v>
      </c>
      <c r="F42" s="743">
        <f t="shared" si="7"/>
        <v>0</v>
      </c>
      <c r="G42" s="743">
        <f t="shared" si="7"/>
        <v>0</v>
      </c>
      <c r="H42" s="52"/>
    </row>
    <row r="43" spans="1:15" ht="12.75" x14ac:dyDescent="0.2">
      <c r="A43" s="727" t="str">
        <f t="shared" si="8"/>
        <v>Rezerva</v>
      </c>
      <c r="B43" s="1316">
        <f t="shared" si="9"/>
        <v>609</v>
      </c>
      <c r="C43" s="1317"/>
      <c r="D43" s="1318"/>
      <c r="E43" s="743">
        <f t="shared" si="7"/>
        <v>0</v>
      </c>
      <c r="F43" s="743">
        <f t="shared" si="7"/>
        <v>0</v>
      </c>
      <c r="G43" s="743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727" t="str">
        <f t="shared" si="8"/>
        <v>Interesa per kredi direkte ose bono</v>
      </c>
      <c r="B44" s="1353">
        <f t="shared" si="9"/>
        <v>650</v>
      </c>
      <c r="C44" s="1354"/>
      <c r="D44" s="1355"/>
      <c r="E44" s="743">
        <f t="shared" si="7"/>
        <v>0</v>
      </c>
      <c r="F44" s="743">
        <f t="shared" si="7"/>
        <v>0</v>
      </c>
      <c r="G44" s="743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738" t="str">
        <f t="shared" si="8"/>
        <v>Të tjera</v>
      </c>
      <c r="B45" s="1316" t="str">
        <f t="shared" si="9"/>
        <v>69 / ?</v>
      </c>
      <c r="C45" s="1317"/>
      <c r="D45" s="744" t="str">
        <f>IF(OR(E45&lt;0,F45&lt;0,G45&lt;0),"STOP","OK!")</f>
        <v>OK!</v>
      </c>
      <c r="E45" s="741">
        <f t="shared" si="7"/>
        <v>0</v>
      </c>
      <c r="F45" s="740">
        <f t="shared" si="7"/>
        <v>0</v>
      </c>
      <c r="G45" s="740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727" t="str">
        <f>A34</f>
        <v>SHPENZIME KORRENTE</v>
      </c>
      <c r="B46" s="1356"/>
      <c r="C46" s="1357"/>
      <c r="D46" s="1358"/>
      <c r="E46" s="735">
        <f t="shared" si="7"/>
        <v>15655000</v>
      </c>
      <c r="F46" s="735">
        <f t="shared" si="7"/>
        <v>16745000</v>
      </c>
      <c r="G46" s="735">
        <f t="shared" si="7"/>
        <v>17268600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730"/>
      <c r="B47" s="731"/>
      <c r="C47" s="732"/>
      <c r="D47" s="732"/>
      <c r="E47" s="733"/>
      <c r="F47" s="733"/>
      <c r="G47" s="734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727" t="str">
        <f>A18</f>
        <v>SHPENZIME TË PRITSHME</v>
      </c>
      <c r="B48" s="728">
        <f t="shared" ref="B48:G48" si="11">B102+B141+B180+B218+B256+B294</f>
        <v>24247564</v>
      </c>
      <c r="C48" s="728">
        <f t="shared" si="11"/>
        <v>10803448</v>
      </c>
      <c r="D48" s="728">
        <f t="shared" si="11"/>
        <v>20764388</v>
      </c>
      <c r="E48" s="735">
        <f t="shared" si="11"/>
        <v>15705000</v>
      </c>
      <c r="F48" s="735">
        <f t="shared" si="11"/>
        <v>16795000</v>
      </c>
      <c r="G48" s="735">
        <f t="shared" si="11"/>
        <v>17368600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15705000</v>
      </c>
      <c r="N52" s="135">
        <f>VLOOKUP($A14,'(D1) Tavanet buxhetore'!$A$7:$R$473,8,FALSE)</f>
        <v>16795000</v>
      </c>
      <c r="O52" s="587">
        <f>VLOOKUP($A14,'(D1) Tavanet buxhetore'!$A$7:$R$473,9,FALSE)</f>
        <v>17368600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15705000</v>
      </c>
      <c r="N53" s="136">
        <f>F18</f>
        <v>16795000</v>
      </c>
      <c r="O53" s="588">
        <f>G18</f>
        <v>17368600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5835000</v>
      </c>
      <c r="N55" s="135">
        <f>VLOOKUP($A14,'(D1) Tavanet buxhetore'!$A$7:$R$473,11,FALSE)</f>
        <v>6418500</v>
      </c>
      <c r="O55" s="587">
        <f>VLOOKUP($A14,'(D1) Tavanet buxhetore'!$A$7:$R$473,12,FALSE)</f>
        <v>6768600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5835000</v>
      </c>
      <c r="N56" s="136">
        <f>F22+F35+F23+F36</f>
        <v>6418500</v>
      </c>
      <c r="O56" s="588">
        <f>G22+G35+G23+G36</f>
        <v>6768600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9820000</v>
      </c>
      <c r="N58" s="135">
        <f>VLOOKUP($A14,'(D1) Tavanet buxhetore'!$A$7:$R$473,14,FALSE)</f>
        <v>10326500</v>
      </c>
      <c r="O58" s="587">
        <f>VLOOKUP($A14,'(D1) Tavanet buxhetore'!$A$7:$R$473,15,FALSE)</f>
        <v>10500000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9820000</v>
      </c>
      <c r="N59" s="136">
        <f>N53-N56-N62</f>
        <v>10326500</v>
      </c>
      <c r="O59" s="588">
        <f>O53-O56-O62</f>
        <v>10500000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50000</v>
      </c>
      <c r="N61" s="135">
        <f>VLOOKUP($A14,'(D1) Tavanet buxhetore'!$A$7:$R$473,17,FALSE)</f>
        <v>50000</v>
      </c>
      <c r="O61" s="587">
        <f>VLOOKUP($A14,'(D1) Tavanet buxhetore'!$A$7:$R$473,18,FALSE)</f>
        <v>100000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50000</v>
      </c>
      <c r="N62" s="136">
        <f>F29+F42</f>
        <v>50000</v>
      </c>
      <c r="O62" s="588">
        <f>G29+G42</f>
        <v>100000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hidden="1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hidden="1" customHeight="1" x14ac:dyDescent="0.2">
      <c r="A66" s="204" t="str">
        <f t="shared" ref="A66:O66" si="12">A14</f>
        <v>Nënfunksioni 19</v>
      </c>
      <c r="B66" s="1225" t="str">
        <f t="shared" si="12"/>
        <v>081 Shërbimet rekreative dhe sportive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hidden="1" customHeight="1" x14ac:dyDescent="0.2">
      <c r="A67" s="262" t="str">
        <f>A6</f>
        <v>Programi 19a</v>
      </c>
      <c r="B67" s="1225" t="str">
        <f>C6</f>
        <v>Parqet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hidden="1" customHeight="1" x14ac:dyDescent="0.2">
      <c r="A68" s="562" t="str">
        <f>'(B3) Struktura Funksionale'!B99</f>
        <v>08120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hidden="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hidden="1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hidden="1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hidden="1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hidden="1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hidden="1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hidden="1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hidden="1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hidden="1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hidden="1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hidden="1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hidden="1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hidden="1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hidden="1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hidden="1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hidden="1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hidden="1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hidden="1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hidden="1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hidden="1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hidden="1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hidden="1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hidden="1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hidden="1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hidden="1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hidden="1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hidden="1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hidden="1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hidden="1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hidden="1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hidden="1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hidden="1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hidden="1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hidden="1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3" spans="1:15" ht="17.25" hidden="1" customHeight="1" x14ac:dyDescent="0.2"/>
    <row r="105" spans="1:15" ht="17.25" customHeight="1" x14ac:dyDescent="0.2">
      <c r="A105" s="204" t="str">
        <f t="shared" ref="A105:O105" si="22">A66</f>
        <v>Nënfunksioni 19</v>
      </c>
      <c r="B105" s="1225" t="str">
        <f t="shared" si="22"/>
        <v>081 Shërbimet rekreative dhe sportive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19b</v>
      </c>
      <c r="B106" s="1225" t="str">
        <f>C7</f>
        <v>Sport dhe argëtim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 t="str">
        <f>'(B3) Struktura Funksionale'!B100</f>
        <v>08130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718"/>
      <c r="B109" s="719">
        <f t="shared" ref="B109:G109" si="25">B70</f>
        <v>2019</v>
      </c>
      <c r="C109" s="719">
        <f t="shared" si="25"/>
        <v>2020</v>
      </c>
      <c r="D109" s="719">
        <f t="shared" si="25"/>
        <v>2021</v>
      </c>
      <c r="E109" s="720">
        <f t="shared" si="25"/>
        <v>2022</v>
      </c>
      <c r="F109" s="720">
        <f t="shared" si="25"/>
        <v>2023</v>
      </c>
      <c r="G109" s="720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721"/>
      <c r="B110" s="722"/>
      <c r="C110" s="723"/>
      <c r="D110" s="724"/>
      <c r="E110" s="725"/>
      <c r="F110" s="725"/>
      <c r="G110" s="72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727" t="str">
        <f>A72</f>
        <v>SHPENZIME TË PRITSHME</v>
      </c>
      <c r="B111" s="728">
        <f>VLOOKUP(A106,'(C1) Shpenzimet vitet e kaluara'!A$9:O$177,5,FALSE)</f>
        <v>24247564</v>
      </c>
      <c r="C111" s="728">
        <f>VLOOKUP(A106,'(C1) Shpenzimet vitet e kaluara'!A$9:O$177,9,FALSE)</f>
        <v>10803448</v>
      </c>
      <c r="D111" s="728">
        <f>VLOOKUP(A106,'(C1) Shpenzimet vitet e kaluara'!A$9:O$177,13,FALSE)</f>
        <v>20764388</v>
      </c>
      <c r="E111" s="729">
        <f>E122+E128+E129+E130</f>
        <v>15705000</v>
      </c>
      <c r="F111" s="729">
        <f>F122+F128+F129+F130</f>
        <v>16795000</v>
      </c>
      <c r="G111" s="729">
        <f>G122+G128+G129+G130</f>
        <v>17368600</v>
      </c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x14ac:dyDescent="0.2">
      <c r="A112" s="730"/>
      <c r="B112" s="731"/>
      <c r="C112" s="732"/>
      <c r="D112" s="732"/>
      <c r="E112" s="733"/>
      <c r="F112" s="733"/>
      <c r="G112" s="734"/>
      <c r="H112" s="10"/>
      <c r="I112" s="134" t="str">
        <f>I73</f>
        <v>VLERËSIM I ARDHURAVE NGA TARIFAT</v>
      </c>
      <c r="J112" s="34">
        <f>VLOOKUP($A106,'(C1) Shpenzimet vitet e kaluara'!$A$9:$O$177,6,FALSE)</f>
        <v>151900</v>
      </c>
      <c r="K112" s="34">
        <f>VLOOKUP($A106,'(C1) Shpenzimet vitet e kaluara'!$A$9:$O$177,10,FALSE)</f>
        <v>37500</v>
      </c>
      <c r="L112" s="34">
        <f>VLOOKUP($A106,'(C1) Shpenzimet vitet e kaluara'!$A$9:$O$177,14,FALSE)</f>
        <v>350000</v>
      </c>
      <c r="M112" s="36"/>
      <c r="N112" s="36"/>
      <c r="O112" s="36"/>
    </row>
    <row r="113" spans="1:15" ht="12.75" x14ac:dyDescent="0.2">
      <c r="A113" s="1313" t="str">
        <f t="shared" ref="A113:G114" si="28">A74</f>
        <v>SHPENZIME TË PRITSHME</v>
      </c>
      <c r="B113" s="1314">
        <f t="shared" si="28"/>
        <v>0</v>
      </c>
      <c r="C113" s="1314">
        <f t="shared" si="28"/>
        <v>0</v>
      </c>
      <c r="D113" s="1314">
        <f t="shared" si="28"/>
        <v>0</v>
      </c>
      <c r="E113" s="1314">
        <f t="shared" si="28"/>
        <v>0</v>
      </c>
      <c r="F113" s="1314">
        <f t="shared" si="28"/>
        <v>0</v>
      </c>
      <c r="G113" s="1315">
        <f t="shared" si="28"/>
        <v>0</v>
      </c>
      <c r="H113" s="10"/>
    </row>
    <row r="114" spans="1:15" ht="12.75" x14ac:dyDescent="0.2">
      <c r="A114" s="1310" t="str">
        <f t="shared" si="28"/>
        <v>KOSTO DIREKTE PËR PROJEKTET DHE SHPENZIMET KAPITALE</v>
      </c>
      <c r="B114" s="1311">
        <f t="shared" si="28"/>
        <v>0</v>
      </c>
      <c r="C114" s="1311">
        <f t="shared" si="28"/>
        <v>0</v>
      </c>
      <c r="D114" s="1311">
        <f t="shared" si="28"/>
        <v>0</v>
      </c>
      <c r="E114" s="1311">
        <f t="shared" si="28"/>
        <v>0</v>
      </c>
      <c r="F114" s="1311">
        <f t="shared" si="28"/>
        <v>0</v>
      </c>
      <c r="G114" s="1312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727" t="str">
        <f t="shared" ref="A115:D137" si="30">A76</f>
        <v>Pagat</v>
      </c>
      <c r="B115" s="1316">
        <f t="shared" si="30"/>
        <v>600</v>
      </c>
      <c r="C115" s="1317">
        <f t="shared" si="30"/>
        <v>0</v>
      </c>
      <c r="D115" s="1318">
        <f t="shared" si="30"/>
        <v>0</v>
      </c>
      <c r="E115" s="735"/>
      <c r="F115" s="735"/>
      <c r="G115" s="735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727" t="str">
        <f t="shared" si="30"/>
        <v>Sigurimet Shoqërore</v>
      </c>
      <c r="B116" s="1316">
        <f t="shared" si="30"/>
        <v>601</v>
      </c>
      <c r="C116" s="1317">
        <f t="shared" si="30"/>
        <v>0</v>
      </c>
      <c r="D116" s="1318">
        <f t="shared" si="30"/>
        <v>0</v>
      </c>
      <c r="E116" s="735"/>
      <c r="F116" s="735"/>
      <c r="G116" s="735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727" t="str">
        <f t="shared" si="30"/>
        <v>Mallra dhe shërbime</v>
      </c>
      <c r="B117" s="1316">
        <f t="shared" si="30"/>
        <v>602</v>
      </c>
      <c r="C117" s="1317">
        <f t="shared" si="30"/>
        <v>0</v>
      </c>
      <c r="D117" s="1318">
        <f t="shared" si="30"/>
        <v>0</v>
      </c>
      <c r="E117" s="735"/>
      <c r="F117" s="735"/>
      <c r="G117" s="735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727" t="str">
        <f t="shared" si="30"/>
        <v>Subvencione</v>
      </c>
      <c r="B118" s="1316">
        <f t="shared" si="30"/>
        <v>603</v>
      </c>
      <c r="C118" s="1317">
        <f t="shared" si="30"/>
        <v>0</v>
      </c>
      <c r="D118" s="1318">
        <f t="shared" si="30"/>
        <v>0</v>
      </c>
      <c r="E118" s="735"/>
      <c r="F118" s="735"/>
      <c r="G118" s="735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727" t="str">
        <f t="shared" si="30"/>
        <v>Të tjera transferta korrente të brendshme</v>
      </c>
      <c r="B119" s="1316">
        <f t="shared" si="30"/>
        <v>604</v>
      </c>
      <c r="C119" s="1317">
        <f t="shared" si="30"/>
        <v>0</v>
      </c>
      <c r="D119" s="1318">
        <f t="shared" si="30"/>
        <v>0</v>
      </c>
      <c r="E119" s="735"/>
      <c r="F119" s="735"/>
      <c r="G119" s="735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727" t="str">
        <f t="shared" si="30"/>
        <v>Transferta korrente të huaja</v>
      </c>
      <c r="B120" s="1316">
        <f t="shared" si="30"/>
        <v>605</v>
      </c>
      <c r="C120" s="1317">
        <f t="shared" si="30"/>
        <v>0</v>
      </c>
      <c r="D120" s="1318">
        <f t="shared" si="30"/>
        <v>0</v>
      </c>
      <c r="E120" s="735"/>
      <c r="F120" s="735"/>
      <c r="G120" s="735"/>
      <c r="H120" s="52"/>
    </row>
    <row r="121" spans="1:15" ht="12.75" x14ac:dyDescent="0.2">
      <c r="A121" s="727" t="str">
        <f t="shared" si="30"/>
        <v>Transferta për Buxhetet Familiare dhe Individët</v>
      </c>
      <c r="B121" s="1316">
        <f t="shared" si="30"/>
        <v>606</v>
      </c>
      <c r="C121" s="1317">
        <f t="shared" si="30"/>
        <v>0</v>
      </c>
      <c r="D121" s="1318">
        <f t="shared" si="30"/>
        <v>0</v>
      </c>
      <c r="E121" s="735"/>
      <c r="F121" s="735"/>
      <c r="G121" s="735"/>
      <c r="H121" s="52"/>
      <c r="I121" s="134" t="str">
        <f>I82</f>
        <v xml:space="preserve">TË ARDHURAT E PRITSHME </v>
      </c>
      <c r="J121" s="33">
        <f>J112+J119</f>
        <v>151900</v>
      </c>
      <c r="K121" s="33">
        <f>K112+K119</f>
        <v>37500</v>
      </c>
      <c r="L121" s="33">
        <f>L112+L119</f>
        <v>350000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727" t="str">
        <f t="shared" si="30"/>
        <v>Shpenzimet kapitale</v>
      </c>
      <c r="B122" s="1316" t="str">
        <f t="shared" si="30"/>
        <v>230 / 231</v>
      </c>
      <c r="C122" s="1317">
        <f t="shared" si="30"/>
        <v>0</v>
      </c>
      <c r="D122" s="1318">
        <f t="shared" si="30"/>
        <v>0</v>
      </c>
      <c r="E122" s="729">
        <v>50000</v>
      </c>
      <c r="F122" s="729">
        <v>50000</v>
      </c>
      <c r="G122" s="729">
        <v>100000</v>
      </c>
      <c r="H122" s="52"/>
    </row>
    <row r="123" spans="1:15" ht="12.75" x14ac:dyDescent="0.2">
      <c r="A123" s="727" t="str">
        <f t="shared" si="30"/>
        <v>Rezerva</v>
      </c>
      <c r="B123" s="1316">
        <f t="shared" si="30"/>
        <v>609</v>
      </c>
      <c r="C123" s="1317">
        <f t="shared" si="30"/>
        <v>0</v>
      </c>
      <c r="D123" s="1318">
        <f t="shared" si="30"/>
        <v>0</v>
      </c>
      <c r="E123" s="735"/>
      <c r="F123" s="735"/>
      <c r="G123" s="735"/>
      <c r="H123" s="52"/>
    </row>
    <row r="124" spans="1:15" ht="12.75" x14ac:dyDescent="0.2">
      <c r="A124" s="727" t="str">
        <f t="shared" si="30"/>
        <v>Interesa per kredi direkte ose bono</v>
      </c>
      <c r="B124" s="1316">
        <f t="shared" si="30"/>
        <v>650</v>
      </c>
      <c r="C124" s="1317">
        <f t="shared" si="30"/>
        <v>0</v>
      </c>
      <c r="D124" s="1318">
        <f t="shared" si="30"/>
        <v>0</v>
      </c>
      <c r="E124" s="735"/>
      <c r="F124" s="735"/>
      <c r="G124" s="735"/>
      <c r="H124" s="52"/>
    </row>
    <row r="125" spans="1:15" ht="12.75" x14ac:dyDescent="0.2">
      <c r="A125" s="727" t="str">
        <f t="shared" si="30"/>
        <v>Të tjera</v>
      </c>
      <c r="B125" s="1316" t="str">
        <f t="shared" si="30"/>
        <v>69 / ?</v>
      </c>
      <c r="C125" s="1317">
        <f t="shared" si="30"/>
        <v>0</v>
      </c>
      <c r="D125" s="1318">
        <f t="shared" si="30"/>
        <v>0</v>
      </c>
      <c r="E125" s="735"/>
      <c r="F125" s="735"/>
      <c r="G125" s="735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736" t="str">
        <f t="shared" si="30"/>
        <v>KOSTO DIREKTE PËR PROJEKTET DHE SHPENZIMET KAPITALE</v>
      </c>
      <c r="B126" s="1316">
        <f t="shared" si="30"/>
        <v>0</v>
      </c>
      <c r="C126" s="1317">
        <f t="shared" si="30"/>
        <v>0</v>
      </c>
      <c r="D126" s="1318">
        <f t="shared" si="30"/>
        <v>0</v>
      </c>
      <c r="E126" s="735">
        <f>SUM(E115:E125)</f>
        <v>50000</v>
      </c>
      <c r="F126" s="735">
        <f>SUM(F115:F125)</f>
        <v>50000</v>
      </c>
      <c r="G126" s="735">
        <f>SUM(G115:G125)</f>
        <v>100000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310" t="str">
        <f t="shared" si="30"/>
        <v>SHPENZIME KORRENTE</v>
      </c>
      <c r="B127" s="1311">
        <f t="shared" si="30"/>
        <v>0</v>
      </c>
      <c r="C127" s="1311">
        <f t="shared" si="30"/>
        <v>0</v>
      </c>
      <c r="D127" s="1311">
        <f t="shared" si="30"/>
        <v>0</v>
      </c>
      <c r="E127" s="1311">
        <f>E88</f>
        <v>0</v>
      </c>
      <c r="F127" s="1311">
        <f>F88</f>
        <v>0</v>
      </c>
      <c r="G127" s="1312">
        <f>G88</f>
        <v>0</v>
      </c>
      <c r="H127" s="52"/>
      <c r="I127" s="17" t="str">
        <f>I88</f>
        <v>SHUMA E KËRKUAR NETO</v>
      </c>
      <c r="J127" s="742">
        <f t="shared" ref="J127:O127" si="32">B111-J121</f>
        <v>24095664</v>
      </c>
      <c r="K127" s="742">
        <f t="shared" si="32"/>
        <v>10765948</v>
      </c>
      <c r="L127" s="742">
        <f t="shared" si="32"/>
        <v>20414388</v>
      </c>
      <c r="M127" s="742">
        <f t="shared" si="32"/>
        <v>15705000</v>
      </c>
      <c r="N127" s="742">
        <f t="shared" si="32"/>
        <v>16795000</v>
      </c>
      <c r="O127" s="742">
        <f t="shared" si="32"/>
        <v>17368600</v>
      </c>
    </row>
    <row r="128" spans="1:15" ht="12.75" x14ac:dyDescent="0.2">
      <c r="A128" s="727" t="str">
        <f t="shared" si="30"/>
        <v>Pagat</v>
      </c>
      <c r="B128" s="1316">
        <f t="shared" si="30"/>
        <v>600</v>
      </c>
      <c r="C128" s="1317">
        <f t="shared" si="30"/>
        <v>0</v>
      </c>
      <c r="D128" s="1318">
        <f t="shared" si="30"/>
        <v>0</v>
      </c>
      <c r="E128" s="729">
        <v>4860555</v>
      </c>
      <c r="F128" s="729">
        <v>5346610.5</v>
      </c>
      <c r="G128" s="729">
        <v>5638243.7999999998</v>
      </c>
      <c r="H128" s="52"/>
      <c r="I128" s="52"/>
      <c r="J128" s="52"/>
      <c r="K128" s="52"/>
      <c r="L128" s="14"/>
      <c r="M128" s="53"/>
    </row>
    <row r="129" spans="1:15" ht="12.75" x14ac:dyDescent="0.2">
      <c r="A129" s="727" t="str">
        <f t="shared" si="30"/>
        <v>Sigurimet Shoqërore</v>
      </c>
      <c r="B129" s="1316">
        <f t="shared" si="30"/>
        <v>601</v>
      </c>
      <c r="C129" s="1317">
        <f t="shared" si="30"/>
        <v>0</v>
      </c>
      <c r="D129" s="1318">
        <f t="shared" si="30"/>
        <v>0</v>
      </c>
      <c r="E129" s="729">
        <v>974444.99999999988</v>
      </c>
      <c r="F129" s="729">
        <v>1071889.4999999998</v>
      </c>
      <c r="G129" s="729">
        <v>1130356.2</v>
      </c>
      <c r="H129" s="52"/>
    </row>
    <row r="130" spans="1:15" ht="12.75" x14ac:dyDescent="0.2">
      <c r="A130" s="727" t="str">
        <f t="shared" si="30"/>
        <v>Mallra dhe shërbime</v>
      </c>
      <c r="B130" s="1316">
        <f t="shared" si="30"/>
        <v>602</v>
      </c>
      <c r="C130" s="1317">
        <f t="shared" si="30"/>
        <v>0</v>
      </c>
      <c r="D130" s="1318">
        <f t="shared" si="30"/>
        <v>0</v>
      </c>
      <c r="E130" s="729">
        <v>9820000</v>
      </c>
      <c r="F130" s="729">
        <v>10326500</v>
      </c>
      <c r="G130" s="729">
        <v>10500000</v>
      </c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727" t="str">
        <f t="shared" si="30"/>
        <v>Subvencione</v>
      </c>
      <c r="B131" s="1316">
        <f t="shared" si="30"/>
        <v>603</v>
      </c>
      <c r="C131" s="1317">
        <f t="shared" si="30"/>
        <v>0</v>
      </c>
      <c r="D131" s="1318">
        <f t="shared" si="30"/>
        <v>0</v>
      </c>
      <c r="E131" s="729"/>
      <c r="F131" s="729"/>
      <c r="G131" s="729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727" t="str">
        <f t="shared" si="30"/>
        <v>Të tjera transferta korrente të brendshme</v>
      </c>
      <c r="B132" s="1316">
        <f t="shared" si="30"/>
        <v>604</v>
      </c>
      <c r="C132" s="1317">
        <f t="shared" si="30"/>
        <v>0</v>
      </c>
      <c r="D132" s="1318">
        <f t="shared" si="30"/>
        <v>0</v>
      </c>
      <c r="E132" s="729"/>
      <c r="F132" s="729"/>
      <c r="G132" s="729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727" t="str">
        <f t="shared" si="30"/>
        <v>Transferta korrente të huaja</v>
      </c>
      <c r="B133" s="1316">
        <f t="shared" si="30"/>
        <v>605</v>
      </c>
      <c r="C133" s="1317">
        <f t="shared" si="30"/>
        <v>0</v>
      </c>
      <c r="D133" s="1318">
        <f t="shared" si="30"/>
        <v>0</v>
      </c>
      <c r="E133" s="729"/>
      <c r="F133" s="729"/>
      <c r="G133" s="729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727" t="str">
        <f t="shared" si="30"/>
        <v>Transferta për Buxhetet Familiare dhe Individët</v>
      </c>
      <c r="B134" s="1316">
        <f t="shared" si="30"/>
        <v>606</v>
      </c>
      <c r="C134" s="1317">
        <f t="shared" si="30"/>
        <v>0</v>
      </c>
      <c r="D134" s="1318">
        <f t="shared" si="30"/>
        <v>0</v>
      </c>
      <c r="E134" s="729"/>
      <c r="F134" s="729"/>
      <c r="G134" s="729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737" t="str">
        <f t="shared" si="30"/>
        <v>Shpenzimet kapitale</v>
      </c>
      <c r="B135" s="1350" t="str">
        <f t="shared" si="30"/>
        <v>230 / 231</v>
      </c>
      <c r="C135" s="1351">
        <f t="shared" si="30"/>
        <v>0</v>
      </c>
      <c r="D135" s="1352">
        <f t="shared" si="30"/>
        <v>0</v>
      </c>
      <c r="E135" s="735"/>
      <c r="F135" s="735"/>
      <c r="G135" s="735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727" t="str">
        <f t="shared" si="30"/>
        <v>Rezerva</v>
      </c>
      <c r="B136" s="1316">
        <f t="shared" si="30"/>
        <v>609</v>
      </c>
      <c r="C136" s="1317">
        <f t="shared" si="30"/>
        <v>0</v>
      </c>
      <c r="D136" s="1318">
        <f t="shared" si="30"/>
        <v>0</v>
      </c>
      <c r="E136" s="729"/>
      <c r="F136" s="729"/>
      <c r="G136" s="729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727" t="str">
        <f t="shared" si="30"/>
        <v>Interesa per kredi direkte ose bono</v>
      </c>
      <c r="B137" s="1353">
        <f t="shared" si="30"/>
        <v>650</v>
      </c>
      <c r="C137" s="1354">
        <f t="shared" si="30"/>
        <v>0</v>
      </c>
      <c r="D137" s="1355">
        <f t="shared" si="30"/>
        <v>0</v>
      </c>
      <c r="E137" s="729"/>
      <c r="F137" s="729"/>
      <c r="G137" s="729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738" t="str">
        <f>A99</f>
        <v>Të tjera</v>
      </c>
      <c r="B138" s="1316" t="str">
        <f>B99</f>
        <v>69 / ?</v>
      </c>
      <c r="C138" s="1317">
        <f>C99</f>
        <v>0</v>
      </c>
      <c r="D138" s="739" t="str">
        <f>IF(OR(E138&lt;0,F138&lt;0,G138&lt;0),"STOP","OK!")</f>
        <v>OK!</v>
      </c>
      <c r="E138" s="740">
        <f>-E126+E111-(SUM(E128:E137))</f>
        <v>0</v>
      </c>
      <c r="F138" s="741">
        <f>-F126+F111-(SUM(F128:F137))</f>
        <v>0</v>
      </c>
      <c r="G138" s="741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727" t="str">
        <f>A100</f>
        <v>SHPENZIME KORRENTE</v>
      </c>
      <c r="B139" s="1356"/>
      <c r="C139" s="1357"/>
      <c r="D139" s="1358"/>
      <c r="E139" s="735">
        <f>SUM(E128:E138)</f>
        <v>15655000</v>
      </c>
      <c r="F139" s="735">
        <f>SUM(F128:F138)</f>
        <v>16745000</v>
      </c>
      <c r="G139" s="735">
        <f>SUM(G128:G138)</f>
        <v>17268600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730"/>
      <c r="B140" s="731"/>
      <c r="C140" s="732"/>
      <c r="D140" s="732"/>
      <c r="E140" s="733"/>
      <c r="F140" s="733"/>
      <c r="G140" s="734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727" t="str">
        <f>A102</f>
        <v>SHPENZIME TË PRITSHME</v>
      </c>
      <c r="B141" s="728">
        <f>B111</f>
        <v>24247564</v>
      </c>
      <c r="C141" s="728">
        <f>C111</f>
        <v>10803448</v>
      </c>
      <c r="D141" s="728">
        <f>D111</f>
        <v>20764388</v>
      </c>
      <c r="E141" s="735">
        <f>E126+E139</f>
        <v>15705000</v>
      </c>
      <c r="F141" s="735">
        <f>F126+F139</f>
        <v>16795000</v>
      </c>
      <c r="G141" s="735">
        <f>G126+G139</f>
        <v>17368600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19</v>
      </c>
      <c r="B144" s="1225" t="str">
        <f t="shared" si="33"/>
        <v>081 Shërbimet rekreative dhe sportive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19c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Funksionale'!B101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6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tabColor rgb="FFFF0000"/>
    <pageSetUpPr fitToPage="1"/>
  </sheetPr>
  <dimension ref="A1:O295"/>
  <sheetViews>
    <sheetView showGridLines="0" topLeftCell="A30" workbookViewId="0">
      <selection activeCell="E91" sqref="E91:G91"/>
    </sheetView>
  </sheetViews>
  <sheetFormatPr defaultColWidth="9.140625" defaultRowHeight="17.25" customHeight="1" x14ac:dyDescent="0.2"/>
  <cols>
    <col min="1" max="1" width="25.85546875" style="95" customWidth="1"/>
    <col min="2" max="2" width="11" style="95" customWidth="1"/>
    <col min="3" max="3" width="10.42578125" style="95" customWidth="1"/>
    <col min="4" max="4" width="10.140625" style="95" customWidth="1"/>
    <col min="5" max="7" width="11.28515625" style="95" customWidth="1"/>
    <col min="8" max="8" width="2.7109375" style="95" customWidth="1"/>
    <col min="9" max="9" width="29.85546875" style="95" customWidth="1"/>
    <col min="10" max="10" width="10.42578125" style="95" customWidth="1"/>
    <col min="11" max="11" width="9" style="95" customWidth="1"/>
    <col min="12" max="12" width="10.7109375" style="95" customWidth="1"/>
    <col min="13" max="13" width="11.85546875" style="95" customWidth="1"/>
    <col min="14" max="14" width="11" style="95" customWidth="1"/>
    <col min="15" max="15" width="10.42578125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Fjalori'!A83</f>
        <v>Nënfunksioni 20</v>
      </c>
      <c r="B2" s="1130" t="str">
        <f>+VLOOKUP($A2,'(B2) Struktura Organizative'!$A7:$E33,2,FALSE)</f>
        <v>082 Shërbimet kulturore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 t="str">
        <f>+VLOOKUP($A2,'(B2) Struktura Organizative'!$A7:$E33,4,FALSE)</f>
        <v xml:space="preserve">Eritan Kamolli 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Funksionale'!A103</f>
        <v>Programi 20a</v>
      </c>
      <c r="B6" s="1203"/>
      <c r="C6" s="1204" t="str">
        <f>VLOOKUP($A6,'(B3) Struktura Funksionale'!$A$7:$E$146,3,FALSE)</f>
        <v>Trashëgimia kulturore, eventet artistike dhe kulturore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Funksionale'!A104</f>
        <v>Programi 20b</v>
      </c>
      <c r="B7" s="1203"/>
      <c r="C7" s="1204" t="str">
        <f>VLOOKUP($A7,'(B3) Struktura Funksionale'!$A$7:$E$146,3,FALSE)</f>
        <v>Arti dhe kultura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customHeight="1" x14ac:dyDescent="0.2">
      <c r="A8" s="1202" t="str">
        <f>'(B3) Struktura Funksionale'!A105</f>
        <v>Programi 20c</v>
      </c>
      <c r="B8" s="1203"/>
      <c r="C8" s="1204" t="str">
        <f>VLOOKUP($A8,'(B3) Struktura Funksionale'!$A$7:$E$146,3,FALSE)</f>
        <v xml:space="preserve">Muzetë, teatrot dhe eventet kulturore </v>
      </c>
      <c r="D8" s="1205"/>
      <c r="E8" s="1205"/>
      <c r="F8" s="1205"/>
      <c r="G8" s="1205"/>
      <c r="H8" s="1206"/>
      <c r="I8" s="1204" t="str">
        <f>VLOOKUP($A8,'(B3) Struktura Funksionale'!$A$7:$E$146,4,FALSE)</f>
        <v>E detyrueshme</v>
      </c>
      <c r="J8" s="1205"/>
      <c r="K8" s="1206"/>
      <c r="L8" s="1204" t="str">
        <f>VLOOKUP($A8,'(B3) Struktura Funksionale'!$A$7:$E$146,5,FALSE)</f>
        <v>I veti</v>
      </c>
      <c r="M8" s="1205"/>
      <c r="N8" s="1205"/>
      <c r="O8" s="1206"/>
    </row>
    <row r="9" spans="1:15" ht="13.5" customHeight="1" x14ac:dyDescent="0.2">
      <c r="A9" s="1202" t="str">
        <f>'(B3) Struktura Funksionale'!A106</f>
        <v>Programi 20d</v>
      </c>
      <c r="B9" s="1203"/>
      <c r="C9" s="1204">
        <f>VLOOKUP($A9,'(B3) Struktura Funksionale'!$A$7:$E$146,3,FALSE)</f>
        <v>0</v>
      </c>
      <c r="D9" s="1205"/>
      <c r="E9" s="1205"/>
      <c r="F9" s="1205"/>
      <c r="G9" s="1205"/>
      <c r="H9" s="1206"/>
      <c r="I9" s="1204">
        <f>VLOOKUP($A9,'(B3) Struktura Funksionale'!$A$7:$E$146,4,FALSE)</f>
        <v>0</v>
      </c>
      <c r="J9" s="1205"/>
      <c r="K9" s="1206"/>
      <c r="L9" s="1204">
        <f>VLOOKUP($A9,'(B3) Struktura Funksionale'!$A$7:$E$146,5,FALSE)</f>
        <v>0</v>
      </c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20</v>
      </c>
      <c r="B14" s="1225" t="str">
        <f>B$2</f>
        <v>082 Shërbimet kulturore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B72+B111+B150+B189+B227+B265</f>
        <v>1020083</v>
      </c>
      <c r="C18" s="33">
        <f t="shared" si="1"/>
        <v>17381102</v>
      </c>
      <c r="D18" s="33">
        <f t="shared" si="1"/>
        <v>35846037</v>
      </c>
      <c r="E18" s="126">
        <f t="shared" si="1"/>
        <v>34798500</v>
      </c>
      <c r="F18" s="126">
        <f t="shared" si="1"/>
        <v>34848500</v>
      </c>
      <c r="G18" s="126">
        <f t="shared" si="1"/>
        <v>34858500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J73+J112+J151+J190+J228+J266</f>
        <v>258900</v>
      </c>
      <c r="K19" s="34">
        <f t="shared" si="2"/>
        <v>12000</v>
      </c>
      <c r="L19" s="33">
        <f t="shared" si="2"/>
        <v>380000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E76+E115+E154+E193+E231+E269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M76+M115+M154+M193+M231+M269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J80+J119+J158+J197+J235+J273</f>
        <v>0</v>
      </c>
      <c r="K27" s="33">
        <f>K80+K119+K158+K197+K235+K273</f>
        <v>0</v>
      </c>
      <c r="L27" s="33">
        <f>L80+L119+L158+L197+L235+L273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6983300</v>
      </c>
      <c r="F29" s="267">
        <f t="shared" si="3"/>
        <v>6198800</v>
      </c>
      <c r="G29" s="267">
        <f t="shared" si="3"/>
        <v>5368500</v>
      </c>
      <c r="H29" s="52"/>
      <c r="I29" s="134" t="str">
        <f>'(G1) Fjalori'!A395</f>
        <v xml:space="preserve">TË ARDHURAT E PRITSHME </v>
      </c>
      <c r="J29" s="33">
        <f t="shared" ref="J29:O29" si="5">J82+J121+J160+J199+J237+J275</f>
        <v>258900</v>
      </c>
      <c r="K29" s="33">
        <f t="shared" si="5"/>
        <v>12000</v>
      </c>
      <c r="L29" s="33">
        <f t="shared" si="5"/>
        <v>380000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6983300</v>
      </c>
      <c r="F33" s="126">
        <f t="shared" si="3"/>
        <v>6198800</v>
      </c>
      <c r="G33" s="126">
        <f t="shared" si="3"/>
        <v>5368500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J88+J127+J166+J205+J243+J281</f>
        <v>761183</v>
      </c>
      <c r="K34" s="18">
        <f t="shared" si="6"/>
        <v>17369102</v>
      </c>
      <c r="L34" s="18">
        <f t="shared" si="6"/>
        <v>35466037</v>
      </c>
      <c r="M34" s="18">
        <f t="shared" si="6"/>
        <v>34798500</v>
      </c>
      <c r="N34" s="18">
        <f t="shared" si="6"/>
        <v>34848500</v>
      </c>
      <c r="O34" s="18">
        <f t="shared" si="6"/>
        <v>34858500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E89+E128+E167+E206+E244+E282</f>
        <v>13090261.800000001</v>
      </c>
      <c r="F35" s="267">
        <f t="shared" si="7"/>
        <v>13482987.98</v>
      </c>
      <c r="G35" s="267">
        <f t="shared" si="7"/>
        <v>13902770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2624338.1999999997</v>
      </c>
      <c r="F36" s="267">
        <f t="shared" si="7"/>
        <v>2703072.0199999996</v>
      </c>
      <c r="G36" s="267">
        <f t="shared" si="7"/>
        <v>2787229.9999999995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12100600</v>
      </c>
      <c r="F37" s="267">
        <f t="shared" si="7"/>
        <v>12463640</v>
      </c>
      <c r="G37" s="267">
        <f t="shared" si="7"/>
        <v>12800000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M91+M130+M169+M208+M246+M284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27815200</v>
      </c>
      <c r="F46" s="126">
        <f t="shared" si="7"/>
        <v>28649700</v>
      </c>
      <c r="G46" s="126">
        <f t="shared" si="7"/>
        <v>29490000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B102+B141+B180+B219+B257+B295</f>
        <v>1020083</v>
      </c>
      <c r="C48" s="33">
        <f t="shared" si="11"/>
        <v>17381102</v>
      </c>
      <c r="D48" s="33">
        <f t="shared" si="11"/>
        <v>35846037</v>
      </c>
      <c r="E48" s="126">
        <f t="shared" si="11"/>
        <v>34798500</v>
      </c>
      <c r="F48" s="126">
        <f t="shared" si="11"/>
        <v>34848500</v>
      </c>
      <c r="G48" s="126">
        <f t="shared" si="11"/>
        <v>34858500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34798500</v>
      </c>
      <c r="N52" s="135">
        <f>VLOOKUP($A14,'(D1) Tavanet buxhetore'!$A$7:$R$473,8,FALSE)</f>
        <v>34848500</v>
      </c>
      <c r="O52" s="587">
        <f>VLOOKUP($A14,'(D1) Tavanet buxhetore'!$A$7:$R$473,9,FALSE)</f>
        <v>34858500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34798500</v>
      </c>
      <c r="N53" s="136">
        <f>F18</f>
        <v>34848500</v>
      </c>
      <c r="O53" s="588">
        <f>G18</f>
        <v>34858500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15714600</v>
      </c>
      <c r="N55" s="135">
        <f>VLOOKUP($A14,'(D1) Tavanet buxhetore'!$A$7:$R$473,11,FALSE)</f>
        <v>16186060</v>
      </c>
      <c r="O55" s="587">
        <f>VLOOKUP($A14,'(D1) Tavanet buxhetore'!$A$7:$R$473,12,FALSE)</f>
        <v>16690000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15714600</v>
      </c>
      <c r="N56" s="136">
        <f>F22+F35+F23+F36</f>
        <v>16186060</v>
      </c>
      <c r="O56" s="588">
        <f>G22+G35+G23+G36</f>
        <v>16690000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12100600</v>
      </c>
      <c r="N58" s="135">
        <f>VLOOKUP($A14,'(D1) Tavanet buxhetore'!$A$7:$R$473,14,FALSE)</f>
        <v>12463640</v>
      </c>
      <c r="O58" s="587">
        <f>VLOOKUP($A14,'(D1) Tavanet buxhetore'!$A$7:$R$473,15,FALSE)</f>
        <v>12800000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12100600</v>
      </c>
      <c r="N59" s="136">
        <f>N53-N56-N62</f>
        <v>12463640</v>
      </c>
      <c r="O59" s="588">
        <f>O53-O56-O62</f>
        <v>12800000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6983300</v>
      </c>
      <c r="N61" s="135">
        <f>VLOOKUP($A14,'(D1) Tavanet buxhetore'!$A$7:$R$473,17,FALSE)</f>
        <v>6198800</v>
      </c>
      <c r="O61" s="587">
        <f>VLOOKUP($A14,'(D1) Tavanet buxhetore'!$A$7:$R$473,18,FALSE)</f>
        <v>5368500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6983300</v>
      </c>
      <c r="N62" s="136">
        <f>F29+F42</f>
        <v>6198800</v>
      </c>
      <c r="O62" s="588">
        <f>G29+G42</f>
        <v>5368500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20</v>
      </c>
      <c r="B66" s="1225" t="str">
        <f t="shared" si="12"/>
        <v>082 Shërbimet kulturore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20a</v>
      </c>
      <c r="B67" s="1225" t="str">
        <f>C6</f>
        <v>Trashëgimia kulturore, eventet artistike dhe kulturore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Funksionale'!B103</f>
        <v>08220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769">
        <f>VLOOKUP(A67,'(C1) Shpenzimet vitet e kaluara'!A$9:O$177,5,FALSE)</f>
        <v>1020083</v>
      </c>
      <c r="C72" s="769">
        <f>VLOOKUP(A67,'(C1) Shpenzimet vitet e kaluara'!A$9:O$177,9,FALSE)</f>
        <v>17381102</v>
      </c>
      <c r="D72" s="769">
        <f>VLOOKUP(A67,'(C1) Shpenzimet vitet e kaluara'!A$9:O$177,13,FALSE)</f>
        <v>35846037</v>
      </c>
      <c r="E72" s="770">
        <f>E83+E89+E90+E91</f>
        <v>34798500</v>
      </c>
      <c r="F72" s="770">
        <f>F83+F89+F90+F91</f>
        <v>34848500</v>
      </c>
      <c r="G72" s="770">
        <f>G83+G89+G90+G91</f>
        <v>34858500</v>
      </c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258900</v>
      </c>
      <c r="K73" s="34">
        <f>VLOOKUP($A67,'(C1) Shpenzimet vitet e kaluara'!$A$9:$O$177,10,FALSE)</f>
        <v>12000</v>
      </c>
      <c r="L73" s="34">
        <f>VLOOKUP($A67,'(C1) Shpenzimet vitet e kaluara'!$A$9:$O$177,14,FALSE)</f>
        <v>380000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258900</v>
      </c>
      <c r="K82" s="33">
        <f>K73+K80</f>
        <v>12000</v>
      </c>
      <c r="L82" s="33">
        <f>L73+L80</f>
        <v>380000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>
        <v>6983300</v>
      </c>
      <c r="F83" s="36">
        <v>6198800</v>
      </c>
      <c r="G83" s="36">
        <v>5368500</v>
      </c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6983300</v>
      </c>
      <c r="F87" s="126">
        <f>SUM(F76:F86)</f>
        <v>6198800</v>
      </c>
      <c r="G87" s="126">
        <f>SUM(G76:G86)</f>
        <v>5368500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780">
        <f t="shared" ref="J88:O88" si="21">B72-J82</f>
        <v>761183</v>
      </c>
      <c r="K88" s="780">
        <f t="shared" si="21"/>
        <v>17369102</v>
      </c>
      <c r="L88" s="780">
        <f t="shared" si="21"/>
        <v>35466037</v>
      </c>
      <c r="M88" s="780">
        <f t="shared" si="21"/>
        <v>34798500</v>
      </c>
      <c r="N88" s="780">
        <f t="shared" si="21"/>
        <v>34848500</v>
      </c>
      <c r="O88" s="780">
        <f t="shared" si="21"/>
        <v>34858500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708">
        <v>13090261.800000001</v>
      </c>
      <c r="F89" s="708">
        <v>13482987.98</v>
      </c>
      <c r="G89" s="708">
        <v>13902770</v>
      </c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708">
        <v>2624338.1999999997</v>
      </c>
      <c r="F90" s="708">
        <v>2703072.0199999996</v>
      </c>
      <c r="G90" s="708">
        <v>2787229.9999999995</v>
      </c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708">
        <v>12100600</v>
      </c>
      <c r="F91" s="708">
        <v>12463640</v>
      </c>
      <c r="G91" s="708">
        <v>12800000</v>
      </c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708"/>
      <c r="G92" s="708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716">
        <f>-E87+E72-(SUM(E89:E98))</f>
        <v>0</v>
      </c>
      <c r="F99" s="717">
        <f>-F87+F72-(SUM(F89:F98))</f>
        <v>0</v>
      </c>
      <c r="G99" s="717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713">
        <f>SUM(E89:E99)</f>
        <v>27815200</v>
      </c>
      <c r="F100" s="713">
        <f>SUM(F89:F99)</f>
        <v>28649700</v>
      </c>
      <c r="G100" s="713">
        <f>SUM(G89:G99)</f>
        <v>29490000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774">
        <f>B72</f>
        <v>1020083</v>
      </c>
      <c r="C102" s="774">
        <f>C72</f>
        <v>17381102</v>
      </c>
      <c r="D102" s="774">
        <f>D72</f>
        <v>35846037</v>
      </c>
      <c r="E102" s="713">
        <f>E87+E100</f>
        <v>34798500</v>
      </c>
      <c r="F102" s="713">
        <f>F87+F100</f>
        <v>34848500</v>
      </c>
      <c r="G102" s="713">
        <f>G87+G100</f>
        <v>34858500</v>
      </c>
      <c r="H102" s="52"/>
      <c r="I102" s="366"/>
      <c r="J102" s="1277"/>
      <c r="K102" s="1278"/>
      <c r="L102" s="1278"/>
      <c r="M102" s="1278"/>
      <c r="N102" s="1278"/>
      <c r="O102" s="1279"/>
    </row>
    <row r="104" spans="1:15" ht="17.25" hidden="1" customHeight="1" x14ac:dyDescent="0.2"/>
    <row r="105" spans="1:15" ht="17.25" hidden="1" customHeight="1" x14ac:dyDescent="0.2">
      <c r="A105" s="204" t="str">
        <f t="shared" ref="A105:O105" si="22">A66</f>
        <v>Nënfunksioni 20</v>
      </c>
      <c r="B105" s="1225" t="str">
        <f t="shared" si="22"/>
        <v>082 Shërbimet kulturore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hidden="1" customHeight="1" x14ac:dyDescent="0.2">
      <c r="A106" s="262" t="str">
        <f>A7</f>
        <v>Programi 20b</v>
      </c>
      <c r="B106" s="1225" t="str">
        <f>C7</f>
        <v>Arti dhe kultura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hidden="1" customHeight="1" x14ac:dyDescent="0.2">
      <c r="A107" s="562" t="str">
        <f>'(B3) Struktura Funksionale'!B104</f>
        <v>08230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hidden="1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hidden="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hidden="1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hidden="1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 t="shared" ref="I111:O111" si="27">I72</f>
        <v>VLERËSIM I ARDHURAVE NGA TARIFAT</v>
      </c>
      <c r="J111" s="1227">
        <f t="shared" si="27"/>
        <v>0</v>
      </c>
      <c r="K111" s="1227">
        <f t="shared" si="27"/>
        <v>0</v>
      </c>
      <c r="L111" s="1227">
        <f t="shared" si="27"/>
        <v>0</v>
      </c>
      <c r="M111" s="1227">
        <f t="shared" si="27"/>
        <v>0</v>
      </c>
      <c r="N111" s="1227">
        <f t="shared" si="27"/>
        <v>0</v>
      </c>
      <c r="O111" s="1228">
        <f t="shared" si="27"/>
        <v>0</v>
      </c>
    </row>
    <row r="112" spans="1:15" ht="12.75" hidden="1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hidden="1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hidden="1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hidden="1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hidden="1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hidden="1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hidden="1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hidden="1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hidden="1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hidden="1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hidden="1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hidden="1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hidden="1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hidden="1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hidden="1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hidden="1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hidden="1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hidden="1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hidden="1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hidden="1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hidden="1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hidden="1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hidden="1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hidden="1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hidden="1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hidden="1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hidden="1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hidden="1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hidden="1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hidden="1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2" spans="1:15" ht="17.25" hidden="1" customHeight="1" x14ac:dyDescent="0.2"/>
    <row r="143" spans="1:15" ht="17.25" hidden="1" customHeight="1" x14ac:dyDescent="0.2"/>
    <row r="144" spans="1:15" ht="17.25" hidden="1" customHeight="1" x14ac:dyDescent="0.2">
      <c r="A144" s="204" t="str">
        <f t="shared" ref="A144:O144" si="33">A66</f>
        <v>Nënfunksioni 20</v>
      </c>
      <c r="B144" s="1225" t="str">
        <f t="shared" si="33"/>
        <v>082 Shërbimet kulturore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hidden="1" customHeight="1" x14ac:dyDescent="0.2">
      <c r="A145" s="262" t="str">
        <f>A8</f>
        <v>Programi 20c</v>
      </c>
      <c r="B145" s="1225" t="str">
        <f>C8</f>
        <v xml:space="preserve">Muzetë, teatrot dhe eventet kulturore 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hidden="1" customHeight="1" x14ac:dyDescent="0.2">
      <c r="A146" s="562" t="str">
        <f>'(B3) Struktura Funksionale'!B105</f>
        <v>08280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hidden="1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hidden="1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hidden="1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hidden="1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hidden="1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hidden="1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hidden="1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hidden="1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hidden="1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hidden="1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hidden="1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hidden="1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hidden="1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hidden="1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hidden="1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hidden="1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hidden="1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hidden="1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hidden="1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hidden="1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hidden="1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hidden="1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hidden="1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hidden="1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hidden="1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hidden="1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hidden="1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hidden="1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hidden="1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hidden="1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hidden="1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hidden="1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hidden="1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hidden="1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hidden="1" x14ac:dyDescent="0.2"/>
    <row r="182" spans="1:15" ht="12.75" x14ac:dyDescent="0.2"/>
    <row r="183" spans="1:15" ht="18.75" x14ac:dyDescent="0.2">
      <c r="A183" s="204" t="str">
        <f t="shared" ref="A183:O183" si="44">A66</f>
        <v>Nënfunksioni 20</v>
      </c>
      <c r="B183" s="1225" t="str">
        <f t="shared" si="44"/>
        <v>082 Shërbimet kulturore</v>
      </c>
      <c r="C183" s="1225">
        <f t="shared" si="44"/>
        <v>0</v>
      </c>
      <c r="D183" s="1225">
        <f t="shared" si="44"/>
        <v>0</v>
      </c>
      <c r="E183" s="1225">
        <f t="shared" si="44"/>
        <v>0</v>
      </c>
      <c r="F183" s="1225">
        <f t="shared" si="44"/>
        <v>0</v>
      </c>
      <c r="G183" s="1225">
        <f t="shared" si="44"/>
        <v>0</v>
      </c>
      <c r="H183" s="1225">
        <f t="shared" si="44"/>
        <v>0</v>
      </c>
      <c r="I183" s="1225">
        <f t="shared" si="44"/>
        <v>0</v>
      </c>
      <c r="J183" s="1225">
        <f t="shared" si="44"/>
        <v>0</v>
      </c>
      <c r="K183" s="1225">
        <f t="shared" si="44"/>
        <v>0</v>
      </c>
      <c r="L183" s="1225">
        <f t="shared" si="44"/>
        <v>0</v>
      </c>
      <c r="M183" s="1225">
        <f t="shared" si="44"/>
        <v>0</v>
      </c>
      <c r="N183" s="1225">
        <f t="shared" si="44"/>
        <v>0</v>
      </c>
      <c r="O183" s="1225">
        <f t="shared" si="44"/>
        <v>0</v>
      </c>
    </row>
    <row r="184" spans="1:15" ht="18.75" x14ac:dyDescent="0.2">
      <c r="A184" s="262" t="str">
        <f>A9</f>
        <v>Programi 20d</v>
      </c>
      <c r="B184" s="1225">
        <f>C9</f>
        <v>0</v>
      </c>
      <c r="C184" s="1225" t="e">
        <f>#REF!</f>
        <v>#REF!</v>
      </c>
      <c r="D184" s="1225" t="e">
        <f>#REF!</f>
        <v>#REF!</v>
      </c>
      <c r="E184" s="1225" t="e">
        <f>#REF!</f>
        <v>#REF!</v>
      </c>
      <c r="F184" s="1225" t="e">
        <f>#REF!</f>
        <v>#REF!</v>
      </c>
      <c r="G184" s="1225" t="e">
        <f>#REF!</f>
        <v>#REF!</v>
      </c>
      <c r="H184" s="1225" t="e">
        <f>#REF!</f>
        <v>#REF!</v>
      </c>
      <c r="I184" s="1225" t="e">
        <f>#REF!</f>
        <v>#REF!</v>
      </c>
      <c r="J184" s="1225" t="e">
        <f>#REF!</f>
        <v>#REF!</v>
      </c>
      <c r="K184" s="1225" t="e">
        <f>#REF!</f>
        <v>#REF!</v>
      </c>
      <c r="L184" s="1225" t="e">
        <f>#REF!</f>
        <v>#REF!</v>
      </c>
      <c r="M184" s="1225" t="e">
        <f>#REF!</f>
        <v>#REF!</v>
      </c>
      <c r="N184" s="1225" t="e">
        <f>#REF!</f>
        <v>#REF!</v>
      </c>
      <c r="O184" s="1225" t="e">
        <f>#REF!</f>
        <v>#REF!</v>
      </c>
    </row>
    <row r="185" spans="1:15" ht="18.75" x14ac:dyDescent="0.2">
      <c r="A185" s="562">
        <f>'(B3) Struktura Funksionale'!B106</f>
        <v>0</v>
      </c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6"/>
    </row>
    <row r="186" spans="1:15" ht="22.5" customHeight="1" x14ac:dyDescent="0.2">
      <c r="A186" s="1252" t="str">
        <f t="shared" ref="A186:G186" si="45">A69</f>
        <v>SHPENZIME TË PRITSHME</v>
      </c>
      <c r="B186" s="1253">
        <f t="shared" si="45"/>
        <v>0</v>
      </c>
      <c r="C186" s="1253">
        <f t="shared" si="45"/>
        <v>0</v>
      </c>
      <c r="D186" s="1253">
        <f t="shared" si="45"/>
        <v>0</v>
      </c>
      <c r="E186" s="1253">
        <f t="shared" si="45"/>
        <v>0</v>
      </c>
      <c r="F186" s="1253">
        <f t="shared" si="45"/>
        <v>0</v>
      </c>
      <c r="G186" s="1254">
        <f t="shared" si="45"/>
        <v>0</v>
      </c>
      <c r="H186" s="128"/>
      <c r="I186" s="1255" t="str">
        <f t="shared" ref="I186:O186" si="46">I69</f>
        <v xml:space="preserve">TË ARDHURAT E PRITSHME </v>
      </c>
      <c r="J186" s="1253">
        <f t="shared" si="46"/>
        <v>0</v>
      </c>
      <c r="K186" s="1253">
        <f t="shared" si="46"/>
        <v>0</v>
      </c>
      <c r="L186" s="1253">
        <f t="shared" si="46"/>
        <v>0</v>
      </c>
      <c r="M186" s="1253">
        <f t="shared" si="46"/>
        <v>0</v>
      </c>
      <c r="N186" s="1253">
        <f t="shared" si="46"/>
        <v>0</v>
      </c>
      <c r="O186" s="1254">
        <f t="shared" si="46"/>
        <v>0</v>
      </c>
    </row>
    <row r="187" spans="1:15" ht="21.75" customHeight="1" x14ac:dyDescent="0.2">
      <c r="A187" s="202"/>
      <c r="B187" s="363">
        <f t="shared" ref="B187:G187" si="47">B70</f>
        <v>2019</v>
      </c>
      <c r="C187" s="363">
        <f t="shared" si="47"/>
        <v>2020</v>
      </c>
      <c r="D187" s="363">
        <f t="shared" si="47"/>
        <v>2021</v>
      </c>
      <c r="E187" s="238">
        <f t="shared" si="47"/>
        <v>2022</v>
      </c>
      <c r="F187" s="238">
        <f t="shared" si="47"/>
        <v>2023</v>
      </c>
      <c r="G187" s="238">
        <f t="shared" si="47"/>
        <v>2024</v>
      </c>
      <c r="H187" s="203"/>
      <c r="I187" s="360"/>
      <c r="J187" s="363">
        <f t="shared" ref="J187:O187" si="48">J70</f>
        <v>2019</v>
      </c>
      <c r="K187" s="363">
        <f t="shared" si="48"/>
        <v>2020</v>
      </c>
      <c r="L187" s="363">
        <f t="shared" si="48"/>
        <v>2021</v>
      </c>
      <c r="M187" s="238">
        <f t="shared" si="48"/>
        <v>2022</v>
      </c>
      <c r="N187" s="238">
        <f t="shared" si="48"/>
        <v>2023</v>
      </c>
      <c r="O187" s="238">
        <f t="shared" si="48"/>
        <v>2024</v>
      </c>
    </row>
    <row r="188" spans="1:15" ht="12.75" x14ac:dyDescent="0.2">
      <c r="A188" s="377"/>
      <c r="B188" s="370"/>
      <c r="C188" s="303"/>
      <c r="D188" s="304"/>
      <c r="E188" s="378"/>
      <c r="F188" s="378"/>
      <c r="G188" s="379"/>
      <c r="H188" s="128"/>
      <c r="I188" s="302"/>
      <c r="J188" s="1250"/>
      <c r="K188" s="1250"/>
      <c r="L188" s="375"/>
      <c r="M188" s="375"/>
      <c r="N188" s="375"/>
      <c r="O188" s="376"/>
    </row>
    <row r="189" spans="1:15" ht="12.75" x14ac:dyDescent="0.2">
      <c r="A189" s="134" t="str">
        <f>A72</f>
        <v>SHPENZIME TË PRITSHME</v>
      </c>
      <c r="B189" s="33">
        <f>VLOOKUP(A184,'(C1) Shpenzimet vitet e kaluara'!A$9:O$177,5,FALSE)</f>
        <v>0</v>
      </c>
      <c r="C189" s="33">
        <f>VLOOKUP(A184,'(C1) Shpenzimet vitet e kaluara'!A$9:O$177,9,FALSE)</f>
        <v>0</v>
      </c>
      <c r="D189" s="33">
        <f>VLOOKUP(A184,'(C1) Shpenzimet vitet e kaluara'!A$9:O$177,13,FALSE)</f>
        <v>0</v>
      </c>
      <c r="E189" s="36"/>
      <c r="F189" s="36"/>
      <c r="G189" s="36"/>
      <c r="H189" s="128"/>
      <c r="I189" s="1226" t="str">
        <f t="shared" ref="I189:O189" si="49">I72</f>
        <v>VLERËSIM I ARDHURAVE NGA TARIFAT</v>
      </c>
      <c r="J189" s="1227">
        <f t="shared" si="49"/>
        <v>0</v>
      </c>
      <c r="K189" s="1227">
        <f t="shared" si="49"/>
        <v>0</v>
      </c>
      <c r="L189" s="1227">
        <f t="shared" si="49"/>
        <v>0</v>
      </c>
      <c r="M189" s="1227">
        <f t="shared" si="49"/>
        <v>0</v>
      </c>
      <c r="N189" s="1227">
        <f t="shared" si="49"/>
        <v>0</v>
      </c>
      <c r="O189" s="1228">
        <f t="shared" si="49"/>
        <v>0</v>
      </c>
    </row>
    <row r="190" spans="1:15" ht="12.75" x14ac:dyDescent="0.2">
      <c r="A190" s="122"/>
      <c r="B190" s="201"/>
      <c r="C190" s="123"/>
      <c r="D190" s="123"/>
      <c r="E190" s="10"/>
      <c r="F190" s="10"/>
      <c r="G190" s="130"/>
      <c r="H190" s="10"/>
      <c r="I190" s="134" t="str">
        <f>I73</f>
        <v>VLERËSIM I ARDHURAVE NGA TARIFAT</v>
      </c>
      <c r="J190" s="34">
        <f>VLOOKUP($A184,'(C1) Shpenzimet vitet e kaluara'!$A$9:$O$177,6,FALSE)</f>
        <v>0</v>
      </c>
      <c r="K190" s="34">
        <f>VLOOKUP($A184,'(C1) Shpenzimet vitet e kaluara'!$A$9:$O$177,10,FALSE)</f>
        <v>0</v>
      </c>
      <c r="L190" s="34">
        <f>VLOOKUP($A184,'(C1) Shpenzimet vitet e kaluara'!$A$9:$O$177,14,FALSE)</f>
        <v>0</v>
      </c>
      <c r="M190" s="36"/>
      <c r="N190" s="36"/>
      <c r="O190" s="36"/>
    </row>
    <row r="191" spans="1:15" ht="12.75" x14ac:dyDescent="0.2">
      <c r="A191" s="1232" t="str">
        <f t="shared" ref="A191:G192" si="50">A74</f>
        <v>SHPENZIME TË PRITSHME</v>
      </c>
      <c r="B191" s="1233">
        <f t="shared" si="50"/>
        <v>0</v>
      </c>
      <c r="C191" s="1233">
        <f t="shared" si="50"/>
        <v>0</v>
      </c>
      <c r="D191" s="1233">
        <f t="shared" si="50"/>
        <v>0</v>
      </c>
      <c r="E191" s="1233">
        <f t="shared" si="50"/>
        <v>0</v>
      </c>
      <c r="F191" s="1233">
        <f t="shared" si="50"/>
        <v>0</v>
      </c>
      <c r="G191" s="1234">
        <f t="shared" si="50"/>
        <v>0</v>
      </c>
      <c r="H191" s="10"/>
    </row>
    <row r="192" spans="1:15" ht="12.75" x14ac:dyDescent="0.2">
      <c r="A192" s="1226" t="str">
        <f t="shared" si="50"/>
        <v>KOSTO DIREKTE PËR PROJEKTET DHE SHPENZIMET KAPITALE</v>
      </c>
      <c r="B192" s="1227">
        <f t="shared" si="50"/>
        <v>0</v>
      </c>
      <c r="C192" s="1227">
        <f t="shared" si="50"/>
        <v>0</v>
      </c>
      <c r="D192" s="1227">
        <f t="shared" si="50"/>
        <v>0</v>
      </c>
      <c r="E192" s="1227">
        <f t="shared" si="50"/>
        <v>0</v>
      </c>
      <c r="F192" s="1227">
        <f t="shared" si="50"/>
        <v>0</v>
      </c>
      <c r="G192" s="1228">
        <f t="shared" si="50"/>
        <v>0</v>
      </c>
      <c r="H192" s="30"/>
      <c r="I192" s="1226" t="str">
        <f t="shared" ref="I192:I197" si="51">I75</f>
        <v>VLERËSIMI I TË ARDHURAVE ME DESTINACION</v>
      </c>
      <c r="J192" s="1227"/>
      <c r="K192" s="1227"/>
      <c r="L192" s="1227"/>
      <c r="M192" s="1227"/>
      <c r="N192" s="1227"/>
      <c r="O192" s="1228"/>
    </row>
    <row r="193" spans="1:15" ht="12.75" x14ac:dyDescent="0.2">
      <c r="A193" s="121" t="str">
        <f t="shared" ref="A193:D215" si="52">A76</f>
        <v>Pagat</v>
      </c>
      <c r="B193" s="1229">
        <f t="shared" si="52"/>
        <v>600</v>
      </c>
      <c r="C193" s="1230">
        <f t="shared" si="52"/>
        <v>0</v>
      </c>
      <c r="D193" s="1231">
        <f t="shared" si="52"/>
        <v>0</v>
      </c>
      <c r="E193" s="126"/>
      <c r="F193" s="126"/>
      <c r="G193" s="126"/>
      <c r="H193" s="30"/>
      <c r="I193" s="339" t="str">
        <f t="shared" si="51"/>
        <v>Transferta e kushtëzuar</v>
      </c>
      <c r="J193" s="336"/>
      <c r="K193" s="338"/>
      <c r="L193" s="337"/>
      <c r="M193" s="125"/>
      <c r="N193" s="125"/>
      <c r="O193" s="129"/>
    </row>
    <row r="194" spans="1:15" ht="12.75" x14ac:dyDescent="0.2">
      <c r="A194" s="121" t="str">
        <f t="shared" si="52"/>
        <v>Sigurimet Shoqërore</v>
      </c>
      <c r="B194" s="1229">
        <f t="shared" si="52"/>
        <v>601</v>
      </c>
      <c r="C194" s="1230">
        <f t="shared" si="52"/>
        <v>0</v>
      </c>
      <c r="D194" s="1231">
        <f t="shared" si="52"/>
        <v>0</v>
      </c>
      <c r="E194" s="126"/>
      <c r="F194" s="126"/>
      <c r="G194" s="126"/>
      <c r="H194" s="30"/>
      <c r="I194" s="339" t="str">
        <f t="shared" si="51"/>
        <v>Trasferta Specifike</v>
      </c>
      <c r="J194" s="336"/>
      <c r="K194" s="338"/>
      <c r="L194" s="337"/>
      <c r="M194" s="125"/>
      <c r="N194" s="125"/>
      <c r="O194" s="129"/>
    </row>
    <row r="195" spans="1:15" ht="12.75" x14ac:dyDescent="0.2">
      <c r="A195" s="121" t="str">
        <f t="shared" si="52"/>
        <v>Mallra dhe shërbime</v>
      </c>
      <c r="B195" s="1229">
        <f t="shared" si="52"/>
        <v>602</v>
      </c>
      <c r="C195" s="1230">
        <f t="shared" si="52"/>
        <v>0</v>
      </c>
      <c r="D195" s="1231">
        <f t="shared" si="52"/>
        <v>0</v>
      </c>
      <c r="E195" s="126"/>
      <c r="F195" s="126"/>
      <c r="G195" s="126"/>
      <c r="H195" s="52"/>
      <c r="I195" s="339" t="str">
        <f t="shared" si="51"/>
        <v>Trashëgimi me destinacion</v>
      </c>
      <c r="J195" s="336"/>
      <c r="K195" s="338"/>
      <c r="L195" s="337"/>
      <c r="M195" s="264">
        <f>VLOOKUP($A184,'(C4) Trashëgimi me destinacion'!$A$8:$F$168,4,FALSE)</f>
        <v>0</v>
      </c>
      <c r="N195" s="479">
        <f>VLOOKUP($A184,'(C4) Trashëgimi me destinacion'!$A$8:$F$168,5,FALSE)</f>
        <v>0</v>
      </c>
      <c r="O195" s="479">
        <f>VLOOKUP($A184,'(C4) Trashëgimi me destinacion'!$A$8:$F$168,6,FALSE)</f>
        <v>0</v>
      </c>
    </row>
    <row r="196" spans="1:15" ht="12.75" x14ac:dyDescent="0.2">
      <c r="A196" s="121" t="str">
        <f t="shared" si="52"/>
        <v>Subvencione</v>
      </c>
      <c r="B196" s="1229">
        <f t="shared" si="52"/>
        <v>603</v>
      </c>
      <c r="C196" s="1230">
        <f t="shared" si="52"/>
        <v>0</v>
      </c>
      <c r="D196" s="1231">
        <f t="shared" si="52"/>
        <v>0</v>
      </c>
      <c r="E196" s="126"/>
      <c r="F196" s="126"/>
      <c r="G196" s="126"/>
      <c r="H196" s="8"/>
      <c r="I196" s="339" t="str">
        <f t="shared" si="51"/>
        <v>Burime të tjera (përfshirë gjobat)</v>
      </c>
      <c r="J196" s="336"/>
      <c r="K196" s="338"/>
      <c r="L196" s="337"/>
      <c r="M196" s="125"/>
      <c r="N196" s="125"/>
      <c r="O196" s="129"/>
    </row>
    <row r="197" spans="1:15" ht="12.75" x14ac:dyDescent="0.2">
      <c r="A197" s="121" t="str">
        <f t="shared" si="52"/>
        <v>Të tjera transferta korrente të brendshme</v>
      </c>
      <c r="B197" s="1229">
        <f t="shared" si="52"/>
        <v>604</v>
      </c>
      <c r="C197" s="1230">
        <f t="shared" si="52"/>
        <v>0</v>
      </c>
      <c r="D197" s="1231">
        <f t="shared" si="52"/>
        <v>0</v>
      </c>
      <c r="E197" s="126"/>
      <c r="F197" s="126"/>
      <c r="G197" s="126"/>
      <c r="H197" s="52"/>
      <c r="I197" s="339" t="str">
        <f t="shared" si="51"/>
        <v>VLERËSIMI I TË ARDHURAVE ME DESTINACION</v>
      </c>
      <c r="J197" s="34">
        <f>VLOOKUP($A184,'(C1) Shpenzimet vitet e kaluara'!$A$9:$O$177,7,FALSE)</f>
        <v>0</v>
      </c>
      <c r="K197" s="34">
        <f>VLOOKUP($A184,'(C1) Shpenzimet vitet e kaluara'!$A$9:$O$177,11,FALSE)</f>
        <v>0</v>
      </c>
      <c r="L197" s="34">
        <f>VLOOKUP($A184,'(C1) Shpenzimet vitet e kaluara'!$A$9:$O$177,15,FALSE)</f>
        <v>0</v>
      </c>
      <c r="M197" s="126">
        <f>SUM(M193:M196)</f>
        <v>0</v>
      </c>
      <c r="N197" s="126">
        <f>SUM(N193:N196)</f>
        <v>0</v>
      </c>
      <c r="O197" s="126">
        <f>SUM(O193:O196)</f>
        <v>0</v>
      </c>
    </row>
    <row r="198" spans="1:15" ht="12.75" x14ac:dyDescent="0.2">
      <c r="A198" s="121" t="str">
        <f t="shared" si="52"/>
        <v>Transferta korrente të huaja</v>
      </c>
      <c r="B198" s="1229">
        <f t="shared" si="52"/>
        <v>605</v>
      </c>
      <c r="C198" s="1230">
        <f t="shared" si="52"/>
        <v>0</v>
      </c>
      <c r="D198" s="1231">
        <f t="shared" si="52"/>
        <v>0</v>
      </c>
      <c r="E198" s="126"/>
      <c r="F198" s="126"/>
      <c r="G198" s="126"/>
      <c r="H198" s="52"/>
    </row>
    <row r="199" spans="1:15" ht="12.75" x14ac:dyDescent="0.2">
      <c r="A199" s="121" t="str">
        <f t="shared" si="52"/>
        <v>Transferta për Buxhetet Familiare dhe Individët</v>
      </c>
      <c r="B199" s="1229">
        <f t="shared" si="52"/>
        <v>606</v>
      </c>
      <c r="C199" s="1230">
        <f t="shared" si="52"/>
        <v>0</v>
      </c>
      <c r="D199" s="1231">
        <f t="shared" si="52"/>
        <v>0</v>
      </c>
      <c r="E199" s="126"/>
      <c r="F199" s="126"/>
      <c r="G199" s="126"/>
      <c r="H199" s="52"/>
      <c r="I199" s="134" t="str">
        <f>I82</f>
        <v xml:space="preserve">TË ARDHURAT E PRITSHME </v>
      </c>
      <c r="J199" s="33">
        <f>J190+J197</f>
        <v>0</v>
      </c>
      <c r="K199" s="33">
        <f>K190+K197</f>
        <v>0</v>
      </c>
      <c r="L199" s="33">
        <f>L190+L197</f>
        <v>0</v>
      </c>
      <c r="M199" s="126">
        <f>M197+M190</f>
        <v>0</v>
      </c>
      <c r="N199" s="126">
        <f>N197+N190</f>
        <v>0</v>
      </c>
      <c r="O199" s="126">
        <f>O197+O190</f>
        <v>0</v>
      </c>
    </row>
    <row r="200" spans="1:15" ht="12.75" x14ac:dyDescent="0.2">
      <c r="A200" s="121" t="str">
        <f t="shared" si="52"/>
        <v>Shpenzimet kapitale</v>
      </c>
      <c r="B200" s="1229" t="str">
        <f t="shared" si="52"/>
        <v>230 / 231</v>
      </c>
      <c r="C200" s="1230">
        <f t="shared" si="52"/>
        <v>0</v>
      </c>
      <c r="D200" s="1231">
        <f t="shared" si="52"/>
        <v>0</v>
      </c>
      <c r="E200" s="36"/>
      <c r="F200" s="36"/>
      <c r="G200" s="36"/>
      <c r="H200" s="52"/>
    </row>
    <row r="201" spans="1:15" ht="12.75" x14ac:dyDescent="0.2">
      <c r="A201" s="121" t="str">
        <f t="shared" si="52"/>
        <v>Rezerva</v>
      </c>
      <c r="B201" s="1229">
        <f t="shared" si="52"/>
        <v>609</v>
      </c>
      <c r="C201" s="1230">
        <f t="shared" si="52"/>
        <v>0</v>
      </c>
      <c r="D201" s="1231">
        <f t="shared" si="52"/>
        <v>0</v>
      </c>
      <c r="E201" s="126"/>
      <c r="F201" s="126"/>
      <c r="G201" s="126"/>
      <c r="H201" s="52"/>
    </row>
    <row r="202" spans="1:15" ht="12.75" x14ac:dyDescent="0.2">
      <c r="A202" s="121" t="str">
        <f t="shared" si="52"/>
        <v>Interesa per kredi direkte ose bono</v>
      </c>
      <c r="B202" s="1229">
        <f t="shared" si="52"/>
        <v>650</v>
      </c>
      <c r="C202" s="1230">
        <f t="shared" si="52"/>
        <v>0</v>
      </c>
      <c r="D202" s="1231">
        <f t="shared" si="52"/>
        <v>0</v>
      </c>
      <c r="E202" s="126"/>
      <c r="F202" s="126"/>
      <c r="G202" s="126"/>
      <c r="H202" s="52"/>
    </row>
    <row r="203" spans="1:15" ht="12.75" x14ac:dyDescent="0.2">
      <c r="A203" s="121" t="str">
        <f t="shared" si="52"/>
        <v>Të tjera</v>
      </c>
      <c r="B203" s="1229" t="str">
        <f t="shared" si="52"/>
        <v>69 / ?</v>
      </c>
      <c r="C203" s="1230">
        <f t="shared" si="52"/>
        <v>0</v>
      </c>
      <c r="D203" s="1231">
        <f t="shared" si="52"/>
        <v>0</v>
      </c>
      <c r="E203" s="126"/>
      <c r="F203" s="126"/>
      <c r="G203" s="126"/>
      <c r="H203" s="52"/>
      <c r="I203" s="1235" t="str">
        <f t="shared" ref="I203:O204" si="53">I86</f>
        <v>SHUMA E KËRKUAR NETO</v>
      </c>
      <c r="J203" s="1236">
        <f t="shared" si="53"/>
        <v>0</v>
      </c>
      <c r="K203" s="1236">
        <f t="shared" si="53"/>
        <v>0</v>
      </c>
      <c r="L203" s="1236">
        <f t="shared" si="53"/>
        <v>0</v>
      </c>
      <c r="M203" s="1236">
        <f t="shared" si="53"/>
        <v>0</v>
      </c>
      <c r="N203" s="1236">
        <f t="shared" si="53"/>
        <v>0</v>
      </c>
      <c r="O203" s="1237">
        <f t="shared" si="53"/>
        <v>0</v>
      </c>
    </row>
    <row r="204" spans="1:15" ht="12.75" customHeight="1" x14ac:dyDescent="0.2">
      <c r="A204" s="268" t="str">
        <f t="shared" si="52"/>
        <v>KOSTO DIREKTE PËR PROJEKTET DHE SHPENZIMET KAPITALE</v>
      </c>
      <c r="B204" s="1229">
        <f t="shared" si="52"/>
        <v>0</v>
      </c>
      <c r="C204" s="1230">
        <f t="shared" si="52"/>
        <v>0</v>
      </c>
      <c r="D204" s="1231">
        <f t="shared" si="52"/>
        <v>0</v>
      </c>
      <c r="E204" s="126">
        <f>SUM(E193:E203)</f>
        <v>0</v>
      </c>
      <c r="F204" s="126">
        <f>SUM(F193:F203)</f>
        <v>0</v>
      </c>
      <c r="G204" s="126">
        <f>SUM(G193:G203)</f>
        <v>0</v>
      </c>
      <c r="H204" s="52"/>
      <c r="I204" s="1238">
        <f t="shared" si="53"/>
        <v>0</v>
      </c>
      <c r="J204" s="1239">
        <f t="shared" si="53"/>
        <v>0</v>
      </c>
      <c r="K204" s="1239">
        <f t="shared" si="53"/>
        <v>0</v>
      </c>
      <c r="L204" s="1239">
        <f t="shared" si="53"/>
        <v>0</v>
      </c>
      <c r="M204" s="1239">
        <f t="shared" si="53"/>
        <v>0</v>
      </c>
      <c r="N204" s="1239">
        <f t="shared" si="53"/>
        <v>0</v>
      </c>
      <c r="O204" s="1240">
        <f t="shared" si="53"/>
        <v>0</v>
      </c>
    </row>
    <row r="205" spans="1:15" ht="12.75" x14ac:dyDescent="0.2">
      <c r="A205" s="1226" t="str">
        <f t="shared" si="52"/>
        <v>SHPENZIME KORRENTE</v>
      </c>
      <c r="B205" s="1227">
        <f t="shared" si="52"/>
        <v>0</v>
      </c>
      <c r="C205" s="1227">
        <f t="shared" si="52"/>
        <v>0</v>
      </c>
      <c r="D205" s="1227">
        <f t="shared" si="52"/>
        <v>0</v>
      </c>
      <c r="E205" s="1227">
        <f>E88</f>
        <v>0</v>
      </c>
      <c r="F205" s="1227">
        <f>F88</f>
        <v>0</v>
      </c>
      <c r="G205" s="1228">
        <f>G88</f>
        <v>0</v>
      </c>
      <c r="H205" s="52"/>
      <c r="I205" s="17" t="str">
        <f>I88</f>
        <v>SHUMA E KËRKUAR NETO</v>
      </c>
      <c r="J205" s="18">
        <f t="shared" ref="J205:O205" si="54">B189-J199</f>
        <v>0</v>
      </c>
      <c r="K205" s="18">
        <f t="shared" si="54"/>
        <v>0</v>
      </c>
      <c r="L205" s="18">
        <f t="shared" si="54"/>
        <v>0</v>
      </c>
      <c r="M205" s="18">
        <f t="shared" si="54"/>
        <v>0</v>
      </c>
      <c r="N205" s="18">
        <f t="shared" si="54"/>
        <v>0</v>
      </c>
      <c r="O205" s="18">
        <f t="shared" si="54"/>
        <v>0</v>
      </c>
    </row>
    <row r="206" spans="1:15" ht="12.75" x14ac:dyDescent="0.2">
      <c r="A206" s="121" t="str">
        <f t="shared" si="52"/>
        <v>Pagat</v>
      </c>
      <c r="B206" s="1229">
        <f t="shared" si="52"/>
        <v>600</v>
      </c>
      <c r="C206" s="1230">
        <f t="shared" si="52"/>
        <v>0</v>
      </c>
      <c r="D206" s="1231">
        <f t="shared" si="52"/>
        <v>0</v>
      </c>
      <c r="E206" s="36"/>
      <c r="F206" s="36"/>
      <c r="G206" s="36"/>
      <c r="H206" s="52"/>
      <c r="I206" s="52"/>
      <c r="J206" s="52"/>
      <c r="K206" s="52"/>
      <c r="L206" s="14"/>
      <c r="M206" s="53"/>
    </row>
    <row r="207" spans="1:15" ht="12.75" x14ac:dyDescent="0.2">
      <c r="A207" s="121" t="str">
        <f t="shared" si="52"/>
        <v>Sigurimet Shoqërore</v>
      </c>
      <c r="B207" s="1229">
        <f t="shared" si="52"/>
        <v>601</v>
      </c>
      <c r="C207" s="1230">
        <f t="shared" si="52"/>
        <v>0</v>
      </c>
      <c r="D207" s="1231">
        <f t="shared" si="52"/>
        <v>0</v>
      </c>
      <c r="E207" s="36"/>
      <c r="F207" s="36"/>
      <c r="G207" s="36"/>
      <c r="H207" s="52"/>
    </row>
    <row r="208" spans="1:15" ht="12.75" x14ac:dyDescent="0.2">
      <c r="A208" s="121" t="str">
        <f t="shared" si="52"/>
        <v>Mallra dhe shërbime</v>
      </c>
      <c r="B208" s="1229">
        <f t="shared" si="52"/>
        <v>602</v>
      </c>
      <c r="C208" s="1230">
        <f t="shared" si="52"/>
        <v>0</v>
      </c>
      <c r="D208" s="1231">
        <f t="shared" si="52"/>
        <v>0</v>
      </c>
      <c r="E208" s="36"/>
      <c r="F208" s="36"/>
      <c r="G208" s="36"/>
      <c r="H208" s="52"/>
      <c r="I208" s="239" t="str">
        <f>I169</f>
        <v>Angazhimet</v>
      </c>
      <c r="J208" s="1290" t="str">
        <f>J169</f>
        <v>Vlera Totale për Aktivitet</v>
      </c>
      <c r="K208" s="1291"/>
      <c r="L208" s="1292"/>
      <c r="M208" s="126">
        <f>VLOOKUP($A184,'(C5) Angazhimet'!$A$8:$F$168,4,FALSE)</f>
        <v>0</v>
      </c>
      <c r="N208" s="126">
        <f>VLOOKUP($A184,'(C5) Angazhimet'!$A$8:$F$168,5,FALSE)</f>
        <v>0</v>
      </c>
      <c r="O208" s="126">
        <f>VLOOKUP($A184,'(C5) Angazhimet'!$A$8:$F$168,6,FALSE)</f>
        <v>0</v>
      </c>
    </row>
    <row r="209" spans="1:15" ht="12.75" x14ac:dyDescent="0.2">
      <c r="A209" s="121" t="str">
        <f t="shared" si="52"/>
        <v>Subvencione</v>
      </c>
      <c r="B209" s="1229">
        <f t="shared" si="52"/>
        <v>603</v>
      </c>
      <c r="C209" s="1230">
        <f t="shared" si="52"/>
        <v>0</v>
      </c>
      <c r="D209" s="1231">
        <f t="shared" si="52"/>
        <v>0</v>
      </c>
      <c r="E209" s="36"/>
      <c r="F209" s="36"/>
      <c r="G209" s="36"/>
      <c r="H209" s="52"/>
      <c r="I209" s="279" t="str">
        <f>I170</f>
        <v>Qëllime</v>
      </c>
      <c r="J209" s="1290" t="str">
        <f>J170</f>
        <v>Shpenzimet kapitale</v>
      </c>
      <c r="K209" s="1291"/>
      <c r="L209" s="1292"/>
      <c r="M209" s="125"/>
      <c r="N209" s="125"/>
      <c r="O209" s="129"/>
    </row>
    <row r="210" spans="1:15" ht="12.75" x14ac:dyDescent="0.2">
      <c r="A210" s="121" t="str">
        <f t="shared" si="52"/>
        <v>Të tjera transferta korrente të brendshme</v>
      </c>
      <c r="B210" s="1229">
        <f t="shared" si="52"/>
        <v>604</v>
      </c>
      <c r="C210" s="1230">
        <f t="shared" si="52"/>
        <v>0</v>
      </c>
      <c r="D210" s="1231">
        <f t="shared" si="52"/>
        <v>0</v>
      </c>
      <c r="E210" s="36"/>
      <c r="F210" s="36"/>
      <c r="G210" s="36"/>
      <c r="H210" s="52"/>
      <c r="I210" s="276"/>
      <c r="J210" s="1290" t="str">
        <f>J171</f>
        <v>Mallra dhe shërbime</v>
      </c>
      <c r="K210" s="1291"/>
      <c r="L210" s="1292"/>
      <c r="M210" s="125"/>
      <c r="N210" s="125"/>
      <c r="O210" s="129"/>
    </row>
    <row r="211" spans="1:15" ht="12.75" x14ac:dyDescent="0.2">
      <c r="A211" s="121" t="str">
        <f t="shared" si="52"/>
        <v>Transferta korrente të huaja</v>
      </c>
      <c r="B211" s="1229">
        <f t="shared" si="52"/>
        <v>605</v>
      </c>
      <c r="C211" s="1230">
        <f t="shared" si="52"/>
        <v>0</v>
      </c>
      <c r="D211" s="1231">
        <f t="shared" si="52"/>
        <v>0</v>
      </c>
      <c r="E211" s="36"/>
      <c r="F211" s="36"/>
      <c r="G211" s="36"/>
      <c r="H211" s="52"/>
      <c r="I211" s="276"/>
      <c r="J211" s="1290" t="str">
        <f>J172</f>
        <v>Qëllime të mëtejshme</v>
      </c>
      <c r="K211" s="1291"/>
      <c r="L211" s="1292"/>
      <c r="M211" s="125"/>
      <c r="N211" s="125"/>
      <c r="O211" s="129"/>
    </row>
    <row r="212" spans="1:15" ht="12.75" x14ac:dyDescent="0.2">
      <c r="A212" s="121" t="str">
        <f t="shared" si="52"/>
        <v>Transferta për Buxhetet Familiare dhe Individët</v>
      </c>
      <c r="B212" s="1229">
        <f t="shared" si="52"/>
        <v>606</v>
      </c>
      <c r="C212" s="1230">
        <f t="shared" si="52"/>
        <v>0</v>
      </c>
      <c r="D212" s="1231">
        <f t="shared" si="52"/>
        <v>0</v>
      </c>
      <c r="E212" s="36"/>
      <c r="F212" s="36"/>
      <c r="G212" s="36"/>
      <c r="H212" s="52"/>
      <c r="I212" s="276"/>
      <c r="J212" s="1286"/>
      <c r="K212" s="1286"/>
      <c r="L212" s="1286"/>
      <c r="M212" s="300" t="str">
        <f>IF(SUM(M209:M211)=M208,"OK","STOP")</f>
        <v>OK</v>
      </c>
      <c r="N212" s="300" t="str">
        <f>IF(SUM(N209:N211)=N208,"OK","STOP")</f>
        <v>OK</v>
      </c>
      <c r="O212" s="300" t="str">
        <f>IF(SUM(O209:O211)=O208,"OK","STOP")</f>
        <v>OK</v>
      </c>
    </row>
    <row r="213" spans="1:15" ht="12.75" x14ac:dyDescent="0.2">
      <c r="A213" s="564" t="str">
        <f t="shared" si="52"/>
        <v>Shpenzimet kapitale</v>
      </c>
      <c r="B213" s="1256" t="str">
        <f t="shared" si="52"/>
        <v>230 / 231</v>
      </c>
      <c r="C213" s="1257">
        <f t="shared" si="52"/>
        <v>0</v>
      </c>
      <c r="D213" s="1258">
        <f t="shared" si="52"/>
        <v>0</v>
      </c>
      <c r="E213" s="126"/>
      <c r="F213" s="126"/>
      <c r="G213" s="126"/>
      <c r="H213" s="52"/>
      <c r="I213" s="367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2.75" x14ac:dyDescent="0.2">
      <c r="A214" s="121" t="str">
        <f t="shared" si="52"/>
        <v>Rezerva</v>
      </c>
      <c r="B214" s="1229">
        <f t="shared" si="52"/>
        <v>609</v>
      </c>
      <c r="C214" s="1230">
        <f t="shared" si="52"/>
        <v>0</v>
      </c>
      <c r="D214" s="1231">
        <f t="shared" si="52"/>
        <v>0</v>
      </c>
      <c r="E214" s="36"/>
      <c r="F214" s="36"/>
      <c r="G214" s="36"/>
      <c r="H214" s="52"/>
      <c r="I214" s="365">
        <f>M187</f>
        <v>2022</v>
      </c>
      <c r="J214" s="1271"/>
      <c r="K214" s="1272"/>
      <c r="L214" s="1272"/>
      <c r="M214" s="1272"/>
      <c r="N214" s="1272"/>
      <c r="O214" s="1273"/>
    </row>
    <row r="215" spans="1:15" ht="12.75" x14ac:dyDescent="0.2">
      <c r="A215" s="121" t="str">
        <f t="shared" si="52"/>
        <v>Interesa per kredi direkte ose bono</v>
      </c>
      <c r="B215" s="1259">
        <f t="shared" si="52"/>
        <v>650</v>
      </c>
      <c r="C215" s="1260">
        <f t="shared" si="52"/>
        <v>0</v>
      </c>
      <c r="D215" s="1261">
        <f t="shared" si="52"/>
        <v>0</v>
      </c>
      <c r="E215" s="36"/>
      <c r="F215" s="36"/>
      <c r="G215" s="36"/>
      <c r="H215" s="52"/>
      <c r="I215" s="366"/>
      <c r="J215" s="1274"/>
      <c r="K215" s="1275"/>
      <c r="L215" s="1275"/>
      <c r="M215" s="1275"/>
      <c r="N215" s="1275"/>
      <c r="O215" s="1276"/>
    </row>
    <row r="216" spans="1:15" ht="12.75" x14ac:dyDescent="0.2">
      <c r="A216" s="239" t="str">
        <f>A99</f>
        <v>Të tjera</v>
      </c>
      <c r="B216" s="1229" t="str">
        <f>B99</f>
        <v>69 / ?</v>
      </c>
      <c r="C216" s="1230">
        <f>C99</f>
        <v>0</v>
      </c>
      <c r="D216" s="273" t="str">
        <f>IF(OR(E216&lt;0,F216&lt;0,G216&lt;0),"STOP","OK!")</f>
        <v>OK!</v>
      </c>
      <c r="E216" s="127">
        <f>-E204+E189-(SUM(E206:E215))</f>
        <v>0</v>
      </c>
      <c r="F216" s="270">
        <f>-F204+F189-(SUM(F206:F215))</f>
        <v>0</v>
      </c>
      <c r="G216" s="270">
        <f>-G204+G189-(SUM(G206:G215))</f>
        <v>0</v>
      </c>
      <c r="H216" s="52"/>
      <c r="I216" s="365">
        <f>N187</f>
        <v>2023</v>
      </c>
      <c r="J216" s="1271"/>
      <c r="K216" s="1272"/>
      <c r="L216" s="1272"/>
      <c r="M216" s="1272"/>
      <c r="N216" s="1272"/>
      <c r="O216" s="1273"/>
    </row>
    <row r="217" spans="1:15" ht="12.75" x14ac:dyDescent="0.2">
      <c r="A217" s="121" t="str">
        <f>A100</f>
        <v>SHPENZIME KORRENTE</v>
      </c>
      <c r="B217" s="1262"/>
      <c r="C217" s="1263"/>
      <c r="D217" s="1264"/>
      <c r="E217" s="126">
        <f>SUM(E206:E216)</f>
        <v>0</v>
      </c>
      <c r="F217" s="126">
        <f>SUM(F206:F216)</f>
        <v>0</v>
      </c>
      <c r="G217" s="126">
        <f>SUM(G206:G216)</f>
        <v>0</v>
      </c>
      <c r="H217" s="52"/>
      <c r="I217" s="366"/>
      <c r="J217" s="1277"/>
      <c r="K217" s="1278"/>
      <c r="L217" s="1278"/>
      <c r="M217" s="1278"/>
      <c r="N217" s="1278"/>
      <c r="O217" s="1279"/>
    </row>
    <row r="218" spans="1:15" ht="12.75" x14ac:dyDescent="0.2">
      <c r="A218" s="122"/>
      <c r="B218" s="201"/>
      <c r="C218" s="123"/>
      <c r="D218" s="123"/>
      <c r="E218" s="10"/>
      <c r="F218" s="10"/>
      <c r="G218" s="130"/>
      <c r="H218" s="52"/>
      <c r="I218" s="365">
        <f>O187</f>
        <v>2024</v>
      </c>
      <c r="J218" s="1271"/>
      <c r="K218" s="1272"/>
      <c r="L218" s="1272"/>
      <c r="M218" s="1272"/>
      <c r="N218" s="1272"/>
      <c r="O218" s="1273"/>
    </row>
    <row r="219" spans="1:15" ht="12.75" x14ac:dyDescent="0.2">
      <c r="A219" s="134" t="str">
        <f>A102</f>
        <v>SHPENZIME TË PRITSHME</v>
      </c>
      <c r="B219" s="33">
        <f>B189</f>
        <v>0</v>
      </c>
      <c r="C219" s="33">
        <f>C189</f>
        <v>0</v>
      </c>
      <c r="D219" s="33">
        <f>D189</f>
        <v>0</v>
      </c>
      <c r="E219" s="126">
        <f>E204+E217</f>
        <v>0</v>
      </c>
      <c r="F219" s="126">
        <f>F204+F217</f>
        <v>0</v>
      </c>
      <c r="G219" s="126">
        <f>G204+G217</f>
        <v>0</v>
      </c>
      <c r="H219" s="52"/>
      <c r="I219" s="366"/>
      <c r="J219" s="1277"/>
      <c r="K219" s="1278"/>
      <c r="L219" s="1278"/>
      <c r="M219" s="1278"/>
      <c r="N219" s="1278"/>
      <c r="O219" s="1279"/>
    </row>
    <row r="222" spans="1:15" ht="17.25" hidden="1" customHeight="1" x14ac:dyDescent="0.2">
      <c r="A222" s="204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17.25" hidden="1" customHeight="1" x14ac:dyDescent="0.2">
      <c r="A223" s="262"/>
      <c r="B223" s="1225"/>
      <c r="C223" s="1225"/>
      <c r="D223" s="1225"/>
      <c r="E223" s="1225"/>
      <c r="F223" s="1225"/>
      <c r="G223" s="1225"/>
      <c r="H223" s="1225"/>
      <c r="I223" s="1225"/>
      <c r="J223" s="1225"/>
      <c r="K223" s="1225"/>
      <c r="L223" s="1225"/>
      <c r="M223" s="1225"/>
      <c r="N223" s="1225"/>
      <c r="O223" s="1225"/>
    </row>
    <row r="224" spans="1:15" ht="21.75" hidden="1" customHeight="1" x14ac:dyDescent="0.2">
      <c r="A224" s="1221"/>
      <c r="B224" s="1222"/>
      <c r="C224" s="1222"/>
      <c r="D224" s="1222"/>
      <c r="E224" s="1222"/>
      <c r="F224" s="1222"/>
      <c r="G224" s="1242"/>
      <c r="H224" s="128"/>
      <c r="I224" s="1243"/>
      <c r="J224" s="1222"/>
      <c r="K224" s="1222"/>
      <c r="L224" s="1222"/>
      <c r="M224" s="1222"/>
      <c r="N224" s="1222"/>
      <c r="O224" s="1242"/>
    </row>
    <row r="225" spans="1:15" ht="18.75" hidden="1" customHeight="1" x14ac:dyDescent="0.2">
      <c r="A225" s="202"/>
      <c r="B225" s="363"/>
      <c r="C225" s="363"/>
      <c r="D225" s="363"/>
      <c r="E225" s="238"/>
      <c r="F225" s="238"/>
      <c r="G225" s="238"/>
      <c r="H225" s="203"/>
      <c r="I225" s="360"/>
      <c r="J225" s="363"/>
      <c r="K225" s="363"/>
      <c r="L225" s="363"/>
      <c r="M225" s="238"/>
      <c r="N225" s="238"/>
      <c r="O225" s="238"/>
    </row>
    <row r="226" spans="1:15" ht="12.75" hidden="1" x14ac:dyDescent="0.2">
      <c r="A226" s="380"/>
      <c r="B226" s="200"/>
      <c r="C226" s="368"/>
      <c r="D226" s="281"/>
      <c r="E226" s="8"/>
      <c r="F226" s="8"/>
      <c r="G226" s="381"/>
      <c r="H226" s="128"/>
      <c r="I226" s="369"/>
      <c r="J226" s="305"/>
      <c r="K226" s="305"/>
      <c r="L226" s="305"/>
      <c r="M226" s="305"/>
      <c r="N226" s="305"/>
      <c r="O226" s="306"/>
    </row>
    <row r="227" spans="1:15" ht="12.75" hidden="1" x14ac:dyDescent="0.2">
      <c r="A227" s="134"/>
      <c r="B227" s="33"/>
      <c r="C227" s="33"/>
      <c r="D227" s="33"/>
      <c r="E227" s="36"/>
      <c r="F227" s="36"/>
      <c r="G227" s="36"/>
      <c r="H227" s="128"/>
      <c r="I227" s="1226"/>
      <c r="J227" s="1227"/>
      <c r="K227" s="1227"/>
      <c r="L227" s="1227"/>
      <c r="M227" s="1227"/>
      <c r="N227" s="1227"/>
      <c r="O227" s="1228"/>
    </row>
    <row r="228" spans="1:15" ht="12.75" hidden="1" x14ac:dyDescent="0.2">
      <c r="A228" s="122"/>
      <c r="B228" s="201"/>
      <c r="C228" s="123"/>
      <c r="D228" s="123"/>
      <c r="E228" s="10"/>
      <c r="F228" s="10"/>
      <c r="G228" s="130"/>
      <c r="H228" s="10"/>
      <c r="I228" s="134"/>
      <c r="J228" s="34"/>
      <c r="K228" s="34"/>
      <c r="L228" s="34"/>
      <c r="M228" s="36"/>
      <c r="N228" s="36"/>
      <c r="O228" s="36"/>
    </row>
    <row r="229" spans="1:15" ht="12.75" hidden="1" x14ac:dyDescent="0.2">
      <c r="A229" s="1232"/>
      <c r="B229" s="1233"/>
      <c r="C229" s="1233"/>
      <c r="D229" s="1233"/>
      <c r="E229" s="1233"/>
      <c r="F229" s="1233"/>
      <c r="G229" s="1234"/>
      <c r="H229" s="10"/>
    </row>
    <row r="230" spans="1:15" ht="12.75" hidden="1" x14ac:dyDescent="0.2">
      <c r="A230" s="1226"/>
      <c r="B230" s="1227"/>
      <c r="C230" s="1227"/>
      <c r="D230" s="1227"/>
      <c r="E230" s="1227"/>
      <c r="F230" s="1227"/>
      <c r="G230" s="1228"/>
      <c r="H230" s="30"/>
      <c r="I230" s="1226"/>
      <c r="J230" s="1227"/>
      <c r="K230" s="1227"/>
      <c r="L230" s="1227"/>
      <c r="M230" s="1227"/>
      <c r="N230" s="1227"/>
      <c r="O230" s="1228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30"/>
      <c r="I232" s="339"/>
      <c r="J232" s="336"/>
      <c r="K232" s="338"/>
      <c r="L232" s="337"/>
      <c r="M232" s="125"/>
      <c r="N232" s="125"/>
      <c r="O232" s="129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52"/>
      <c r="I233" s="339"/>
      <c r="J233" s="336"/>
      <c r="K233" s="338"/>
      <c r="L233" s="337"/>
      <c r="M233" s="264"/>
      <c r="N233" s="479"/>
      <c r="O233" s="481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8"/>
      <c r="I234" s="339"/>
      <c r="J234" s="336"/>
      <c r="K234" s="338"/>
      <c r="L234" s="337"/>
      <c r="M234" s="125"/>
      <c r="N234" s="125"/>
      <c r="O234" s="129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  <c r="I235" s="339"/>
      <c r="J235" s="34"/>
      <c r="K235" s="34"/>
      <c r="L235" s="34"/>
      <c r="M235" s="126"/>
      <c r="N235" s="126"/>
      <c r="O235" s="126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  <c r="I237" s="134"/>
      <c r="J237" s="33"/>
      <c r="K237" s="33"/>
      <c r="L237" s="33"/>
      <c r="M237" s="126"/>
      <c r="N237" s="126"/>
      <c r="O237" s="126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</row>
    <row r="241" spans="1:15" ht="12.75" hidden="1" x14ac:dyDescent="0.2">
      <c r="A241" s="121"/>
      <c r="B241" s="1229"/>
      <c r="C241" s="1230"/>
      <c r="D241" s="1231"/>
      <c r="E241" s="36"/>
      <c r="F241" s="36"/>
      <c r="G241" s="36"/>
      <c r="H241" s="52"/>
      <c r="I241" s="1235"/>
      <c r="J241" s="1236"/>
      <c r="K241" s="1236"/>
      <c r="L241" s="1236"/>
      <c r="M241" s="1236"/>
      <c r="N241" s="1236"/>
      <c r="O241" s="1237"/>
    </row>
    <row r="242" spans="1:15" ht="12.75" hidden="1" customHeight="1" x14ac:dyDescent="0.2">
      <c r="A242" s="268"/>
      <c r="B242" s="1229"/>
      <c r="C242" s="1230"/>
      <c r="D242" s="1231"/>
      <c r="E242" s="126"/>
      <c r="F242" s="126"/>
      <c r="G242" s="126"/>
      <c r="H242" s="52"/>
      <c r="I242" s="1238"/>
      <c r="J242" s="1239"/>
      <c r="K242" s="1239"/>
      <c r="L242" s="1239"/>
      <c r="M242" s="1239"/>
      <c r="N242" s="1239"/>
      <c r="O242" s="1240"/>
    </row>
    <row r="243" spans="1:15" ht="12.75" hidden="1" x14ac:dyDescent="0.2">
      <c r="A243" s="1226"/>
      <c r="B243" s="1227"/>
      <c r="C243" s="1227"/>
      <c r="D243" s="1227"/>
      <c r="E243" s="1227"/>
      <c r="F243" s="1227"/>
      <c r="G243" s="1228"/>
      <c r="H243" s="52"/>
      <c r="I243" s="17"/>
      <c r="J243" s="18"/>
      <c r="K243" s="18"/>
      <c r="L243" s="18"/>
      <c r="M243" s="18"/>
      <c r="N243" s="18"/>
      <c r="O243" s="18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  <c r="I244" s="52"/>
      <c r="J244" s="52"/>
      <c r="K244" s="52"/>
      <c r="L244" s="14"/>
      <c r="M244" s="53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39"/>
      <c r="J246" s="1290"/>
      <c r="K246" s="1291"/>
      <c r="L246" s="1292"/>
      <c r="M246" s="126"/>
      <c r="N246" s="126"/>
      <c r="O246" s="126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9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90"/>
      <c r="K249" s="1291"/>
      <c r="L249" s="1292"/>
      <c r="M249" s="125"/>
      <c r="N249" s="125"/>
      <c r="O249" s="129"/>
    </row>
    <row r="250" spans="1:15" ht="12.75" hidden="1" x14ac:dyDescent="0.2">
      <c r="A250" s="121"/>
      <c r="B250" s="1229"/>
      <c r="C250" s="1230"/>
      <c r="D250" s="1231"/>
      <c r="E250" s="36"/>
      <c r="F250" s="36"/>
      <c r="G250" s="36"/>
      <c r="H250" s="52"/>
      <c r="I250" s="276"/>
      <c r="J250" s="1286"/>
      <c r="K250" s="1286"/>
      <c r="L250" s="1286"/>
      <c r="M250" s="300" t="str">
        <f>IF(SUM(M247:M249)=M246,"OK","STOP")</f>
        <v>OK</v>
      </c>
      <c r="N250" s="300" t="str">
        <f>IF(SUM(N247:N249)=N246,"OK","STOP")</f>
        <v>OK</v>
      </c>
      <c r="O250" s="300" t="str">
        <f>IF(SUM(O247:O249)=O246,"OK","STOP")</f>
        <v>OK</v>
      </c>
    </row>
    <row r="251" spans="1:15" ht="12.75" hidden="1" x14ac:dyDescent="0.2">
      <c r="A251" s="121"/>
      <c r="B251" s="1229"/>
      <c r="C251" s="1230"/>
      <c r="D251" s="1231"/>
      <c r="E251" s="126"/>
      <c r="F251" s="126"/>
      <c r="G251" s="126"/>
      <c r="H251" s="52"/>
      <c r="I251" s="367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2.75" hidden="1" x14ac:dyDescent="0.2">
      <c r="A252" s="121"/>
      <c r="B252" s="1229"/>
      <c r="C252" s="1230"/>
      <c r="D252" s="1231"/>
      <c r="E252" s="36"/>
      <c r="F252" s="36"/>
      <c r="G252" s="36"/>
      <c r="H252" s="52"/>
      <c r="I252" s="365">
        <f>M225</f>
        <v>0</v>
      </c>
      <c r="J252" s="1271"/>
      <c r="K252" s="1272"/>
      <c r="L252" s="1272"/>
      <c r="M252" s="1272"/>
      <c r="N252" s="1272"/>
      <c r="O252" s="1273"/>
    </row>
    <row r="253" spans="1:15" ht="12.75" hidden="1" x14ac:dyDescent="0.2">
      <c r="A253" s="121"/>
      <c r="B253" s="1259"/>
      <c r="C253" s="1260"/>
      <c r="D253" s="1261"/>
      <c r="E253" s="36"/>
      <c r="F253" s="36"/>
      <c r="G253" s="36"/>
      <c r="H253" s="52"/>
      <c r="I253" s="366"/>
      <c r="J253" s="1274"/>
      <c r="K253" s="1275"/>
      <c r="L253" s="1275"/>
      <c r="M253" s="1275"/>
      <c r="N253" s="1275"/>
      <c r="O253" s="1276"/>
    </row>
    <row r="254" spans="1:15" ht="12.75" hidden="1" x14ac:dyDescent="0.2">
      <c r="A254" s="239"/>
      <c r="B254" s="1229"/>
      <c r="C254" s="1230"/>
      <c r="D254" s="273"/>
      <c r="E254" s="270"/>
      <c r="F254" s="270"/>
      <c r="G254" s="270"/>
      <c r="H254" s="52"/>
      <c r="I254" s="365">
        <f>N225</f>
        <v>0</v>
      </c>
      <c r="J254" s="1271"/>
      <c r="K254" s="1272"/>
      <c r="L254" s="1272"/>
      <c r="M254" s="1272"/>
      <c r="N254" s="1272"/>
      <c r="O254" s="1273"/>
    </row>
    <row r="255" spans="1:15" ht="12.75" hidden="1" x14ac:dyDescent="0.2">
      <c r="A255" s="121"/>
      <c r="B255" s="1262"/>
      <c r="C255" s="1263"/>
      <c r="D255" s="1264"/>
      <c r="E255" s="126"/>
      <c r="F255" s="126"/>
      <c r="G255" s="126"/>
      <c r="H255" s="52"/>
      <c r="I255" s="366"/>
      <c r="J255" s="1277"/>
      <c r="K255" s="1278"/>
      <c r="L255" s="1278"/>
      <c r="M255" s="1278"/>
      <c r="N255" s="1278"/>
      <c r="O255" s="1279"/>
    </row>
    <row r="256" spans="1:15" ht="12.75" hidden="1" x14ac:dyDescent="0.2">
      <c r="A256" s="122"/>
      <c r="B256" s="201"/>
      <c r="C256" s="123"/>
      <c r="D256" s="123"/>
      <c r="E256" s="10"/>
      <c r="F256" s="10"/>
      <c r="G256" s="130"/>
      <c r="H256" s="52"/>
      <c r="I256" s="365">
        <f>O225</f>
        <v>0</v>
      </c>
      <c r="J256" s="1271"/>
      <c r="K256" s="1272"/>
      <c r="L256" s="1272"/>
      <c r="M256" s="1272"/>
      <c r="N256" s="1272"/>
      <c r="O256" s="1273"/>
    </row>
    <row r="257" spans="1:15" ht="12.75" hidden="1" x14ac:dyDescent="0.2">
      <c r="A257" s="134"/>
      <c r="B257" s="33"/>
      <c r="C257" s="33"/>
      <c r="D257" s="33"/>
      <c r="E257" s="126"/>
      <c r="F257" s="126"/>
      <c r="G257" s="126"/>
      <c r="H257" s="52"/>
      <c r="I257" s="366"/>
      <c r="J257" s="1277"/>
      <c r="K257" s="1278"/>
      <c r="L257" s="1278"/>
      <c r="M257" s="1278"/>
      <c r="N257" s="1278"/>
      <c r="O257" s="1279"/>
    </row>
    <row r="258" spans="1:15" ht="17.25" hidden="1" customHeight="1" x14ac:dyDescent="0.2"/>
    <row r="259" spans="1:15" ht="17.25" hidden="1" customHeight="1" x14ac:dyDescent="0.2"/>
    <row r="260" spans="1:15" ht="17.25" hidden="1" customHeight="1" x14ac:dyDescent="0.2">
      <c r="A260" s="204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17.25" hidden="1" customHeight="1" x14ac:dyDescent="0.2">
      <c r="A261" s="262"/>
      <c r="B261" s="1225"/>
      <c r="C261" s="1225"/>
      <c r="D261" s="1225"/>
      <c r="E261" s="1225"/>
      <c r="F261" s="1225"/>
      <c r="G261" s="1225"/>
      <c r="H261" s="1225"/>
      <c r="I261" s="1225"/>
      <c r="J261" s="1225"/>
      <c r="K261" s="1225"/>
      <c r="L261" s="1225"/>
      <c r="M261" s="1225"/>
      <c r="N261" s="1225"/>
      <c r="O261" s="1225"/>
    </row>
    <row r="262" spans="1:15" ht="22.5" hidden="1" customHeight="1" x14ac:dyDescent="0.2">
      <c r="A262" s="1221"/>
      <c r="B262" s="1222"/>
      <c r="C262" s="1222"/>
      <c r="D262" s="1222"/>
      <c r="E262" s="1222"/>
      <c r="F262" s="1222"/>
      <c r="G262" s="1242"/>
      <c r="H262" s="128"/>
      <c r="I262" s="1243"/>
      <c r="J262" s="1222"/>
      <c r="K262" s="1222"/>
      <c r="L262" s="1222"/>
      <c r="M262" s="1222"/>
      <c r="N262" s="1222"/>
      <c r="O262" s="1242"/>
    </row>
    <row r="263" spans="1:15" ht="20.25" hidden="1" customHeight="1" x14ac:dyDescent="0.2">
      <c r="A263" s="202"/>
      <c r="B263" s="236"/>
      <c r="C263" s="236"/>
      <c r="D263" s="236"/>
      <c r="E263" s="237"/>
      <c r="F263" s="237"/>
      <c r="G263" s="237"/>
      <c r="H263" s="203"/>
      <c r="I263" s="269"/>
      <c r="J263" s="236"/>
      <c r="K263" s="236"/>
      <c r="L263" s="236"/>
      <c r="M263" s="237"/>
      <c r="N263" s="237"/>
      <c r="O263" s="237"/>
    </row>
    <row r="264" spans="1:15" ht="12.75" hidden="1" x14ac:dyDescent="0.2">
      <c r="A264" s="122"/>
      <c r="B264" s="201"/>
      <c r="C264" s="123"/>
      <c r="D264" s="123"/>
      <c r="E264" s="10"/>
      <c r="F264" s="10"/>
      <c r="G264" s="130"/>
      <c r="H264" s="128"/>
    </row>
    <row r="265" spans="1:15" ht="12.75" hidden="1" x14ac:dyDescent="0.2">
      <c r="A265" s="134"/>
      <c r="B265" s="33"/>
      <c r="C265" s="33"/>
      <c r="D265" s="33"/>
      <c r="E265" s="36"/>
      <c r="F265" s="36"/>
      <c r="G265" s="36"/>
      <c r="H265" s="128"/>
      <c r="I265" s="1226"/>
      <c r="J265" s="1227"/>
      <c r="K265" s="1227"/>
      <c r="L265" s="1227"/>
      <c r="M265" s="1227"/>
      <c r="N265" s="1227"/>
      <c r="O265" s="1228"/>
    </row>
    <row r="266" spans="1:15" ht="12.75" hidden="1" x14ac:dyDescent="0.2">
      <c r="A266" s="122"/>
      <c r="B266" s="201"/>
      <c r="C266" s="123"/>
      <c r="D266" s="123"/>
      <c r="E266" s="10"/>
      <c r="F266" s="10"/>
      <c r="G266" s="130"/>
      <c r="H266" s="10"/>
      <c r="I266" s="134"/>
      <c r="J266" s="34"/>
      <c r="K266" s="34"/>
      <c r="L266" s="34"/>
      <c r="M266" s="36"/>
      <c r="N266" s="36"/>
      <c r="O266" s="36"/>
    </row>
    <row r="267" spans="1:15" ht="12.75" hidden="1" x14ac:dyDescent="0.2">
      <c r="A267" s="1293"/>
      <c r="B267" s="1294"/>
      <c r="C267" s="1294"/>
      <c r="D267" s="1294"/>
      <c r="E267" s="1294"/>
      <c r="F267" s="1294"/>
      <c r="G267" s="1295"/>
      <c r="H267" s="10"/>
    </row>
    <row r="268" spans="1:15" ht="12.75" hidden="1" x14ac:dyDescent="0.2">
      <c r="A268" s="1226"/>
      <c r="B268" s="1227"/>
      <c r="C268" s="1227"/>
      <c r="D268" s="1227"/>
      <c r="E268" s="1227"/>
      <c r="F268" s="1227"/>
      <c r="G268" s="1228"/>
      <c r="H268" s="30"/>
      <c r="I268" s="333"/>
      <c r="J268" s="334"/>
      <c r="K268" s="334"/>
      <c r="L268" s="334"/>
      <c r="M268" s="334"/>
      <c r="N268" s="334"/>
      <c r="O268" s="335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30"/>
      <c r="I270" s="339"/>
      <c r="J270" s="336"/>
      <c r="K270" s="338"/>
      <c r="L270" s="337"/>
      <c r="M270" s="125"/>
      <c r="N270" s="125"/>
      <c r="O270" s="12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52"/>
      <c r="I271" s="339"/>
      <c r="J271" s="336"/>
      <c r="K271" s="338"/>
      <c r="L271" s="337"/>
      <c r="M271" s="264"/>
      <c r="N271" s="479"/>
      <c r="O271" s="47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8"/>
      <c r="I272" s="339"/>
      <c r="J272" s="336"/>
      <c r="K272" s="338"/>
      <c r="L272" s="337"/>
      <c r="M272" s="125"/>
      <c r="N272" s="125"/>
      <c r="O272" s="129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  <c r="I273" s="339"/>
      <c r="J273" s="34"/>
      <c r="K273" s="34"/>
      <c r="L273" s="34"/>
      <c r="M273" s="126"/>
      <c r="N273" s="126"/>
      <c r="O273" s="126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  <c r="I275" s="134"/>
      <c r="J275" s="33"/>
      <c r="K275" s="33"/>
      <c r="L275" s="33"/>
      <c r="M275" s="126"/>
      <c r="N275" s="126"/>
      <c r="O275" s="126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</row>
    <row r="279" spans="1:15" ht="12.75" hidden="1" x14ac:dyDescent="0.2">
      <c r="A279" s="121"/>
      <c r="B279" s="1229"/>
      <c r="C279" s="1230"/>
      <c r="D279" s="1231"/>
      <c r="E279" s="36"/>
      <c r="F279" s="36"/>
      <c r="G279" s="36"/>
      <c r="H279" s="52"/>
      <c r="I279" s="1235"/>
      <c r="J279" s="1236"/>
      <c r="K279" s="1236"/>
      <c r="L279" s="1236"/>
      <c r="M279" s="1236"/>
      <c r="N279" s="1236"/>
      <c r="O279" s="1237"/>
    </row>
    <row r="280" spans="1:15" ht="12.75" hidden="1" customHeight="1" x14ac:dyDescent="0.2">
      <c r="A280" s="268"/>
      <c r="B280" s="1229"/>
      <c r="C280" s="1230"/>
      <c r="D280" s="1231"/>
      <c r="E280" s="126"/>
      <c r="F280" s="126"/>
      <c r="G280" s="126"/>
      <c r="H280" s="52"/>
      <c r="I280" s="1238"/>
      <c r="J280" s="1239"/>
      <c r="K280" s="1239"/>
      <c r="L280" s="1239"/>
      <c r="M280" s="1239"/>
      <c r="N280" s="1239"/>
      <c r="O280" s="1240"/>
    </row>
    <row r="281" spans="1:15" ht="12.75" hidden="1" x14ac:dyDescent="0.2">
      <c r="A281" s="1226"/>
      <c r="B281" s="1227"/>
      <c r="C281" s="1227"/>
      <c r="D281" s="1227"/>
      <c r="E281" s="1227"/>
      <c r="F281" s="1227"/>
      <c r="G281" s="1228"/>
      <c r="H281" s="52"/>
      <c r="I281" s="17"/>
      <c r="J281" s="18"/>
      <c r="K281" s="18"/>
      <c r="L281" s="18"/>
      <c r="M281" s="18"/>
      <c r="N281" s="18"/>
      <c r="O281" s="18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  <c r="I282" s="52"/>
      <c r="J282" s="52"/>
      <c r="K282" s="52"/>
      <c r="L282" s="14"/>
      <c r="M282" s="53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39"/>
      <c r="J284" s="1297"/>
      <c r="K284" s="1298"/>
      <c r="L284" s="1299"/>
      <c r="M284" s="126"/>
      <c r="N284" s="126"/>
      <c r="O284" s="126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9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97"/>
      <c r="K287" s="1298"/>
      <c r="L287" s="1299"/>
      <c r="M287" s="125"/>
      <c r="N287" s="125"/>
      <c r="O287" s="129"/>
    </row>
    <row r="288" spans="1:15" ht="12.75" hidden="1" x14ac:dyDescent="0.2">
      <c r="A288" s="121"/>
      <c r="B288" s="1229"/>
      <c r="C288" s="1230"/>
      <c r="D288" s="1231"/>
      <c r="E288" s="36"/>
      <c r="F288" s="36"/>
      <c r="G288" s="36"/>
      <c r="H288" s="52"/>
      <c r="I288" s="276"/>
      <c r="J288" s="1286"/>
      <c r="K288" s="1286"/>
      <c r="L288" s="1286"/>
      <c r="M288" s="300" t="str">
        <f>IF(SUM(M285:M287)=M284,"OK","STOP")</f>
        <v>OK</v>
      </c>
      <c r="N288" s="300" t="str">
        <f>IF(SUM(N285:N287)=N284,"OK","STOP")</f>
        <v>OK</v>
      </c>
      <c r="O288" s="300" t="str">
        <f>IF(SUM(O285:O287)=O284,"OK","STOP")</f>
        <v>OK</v>
      </c>
    </row>
    <row r="289" spans="1:15" ht="12.75" hidden="1" x14ac:dyDescent="0.2">
      <c r="A289" s="121"/>
      <c r="B289" s="1229"/>
      <c r="C289" s="1230"/>
      <c r="D289" s="1231"/>
      <c r="E289" s="126"/>
      <c r="F289" s="126"/>
      <c r="G289" s="126"/>
      <c r="H289" s="52"/>
      <c r="I289" s="367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2.75" hidden="1" x14ac:dyDescent="0.2">
      <c r="A290" s="121"/>
      <c r="B290" s="1229"/>
      <c r="C290" s="1230"/>
      <c r="D290" s="1231"/>
      <c r="E290" s="36"/>
      <c r="F290" s="36"/>
      <c r="G290" s="36"/>
      <c r="H290" s="52"/>
      <c r="I290" s="365">
        <f>M263</f>
        <v>0</v>
      </c>
      <c r="J290" s="1271"/>
      <c r="K290" s="1272"/>
      <c r="L290" s="1272"/>
      <c r="M290" s="1272"/>
      <c r="N290" s="1272"/>
      <c r="O290" s="1273"/>
    </row>
    <row r="291" spans="1:15" ht="12.75" hidden="1" x14ac:dyDescent="0.2">
      <c r="A291" s="121"/>
      <c r="B291" s="1259"/>
      <c r="C291" s="1260"/>
      <c r="D291" s="1261"/>
      <c r="E291" s="36"/>
      <c r="F291" s="36"/>
      <c r="G291" s="36"/>
      <c r="H291" s="52"/>
      <c r="I291" s="366"/>
      <c r="J291" s="1274"/>
      <c r="K291" s="1275"/>
      <c r="L291" s="1275"/>
      <c r="M291" s="1275"/>
      <c r="N291" s="1275"/>
      <c r="O291" s="1276"/>
    </row>
    <row r="292" spans="1:15" ht="12.75" hidden="1" x14ac:dyDescent="0.2">
      <c r="A292" s="239"/>
      <c r="B292" s="1229"/>
      <c r="C292" s="1230"/>
      <c r="D292" s="273"/>
      <c r="E292" s="270"/>
      <c r="F292" s="270"/>
      <c r="G292" s="270"/>
      <c r="H292" s="52"/>
      <c r="I292" s="365">
        <f>N263</f>
        <v>0</v>
      </c>
      <c r="J292" s="1271"/>
      <c r="K292" s="1272"/>
      <c r="L292" s="1272"/>
      <c r="M292" s="1272"/>
      <c r="N292" s="1272"/>
      <c r="O292" s="1273"/>
    </row>
    <row r="293" spans="1:15" ht="12.75" hidden="1" x14ac:dyDescent="0.2">
      <c r="A293" s="121"/>
      <c r="B293" s="1262"/>
      <c r="C293" s="1263"/>
      <c r="D293" s="1264"/>
      <c r="E293" s="126"/>
      <c r="F293" s="126"/>
      <c r="G293" s="126"/>
      <c r="H293" s="52"/>
      <c r="I293" s="366"/>
      <c r="J293" s="1277"/>
      <c r="K293" s="1278"/>
      <c r="L293" s="1278"/>
      <c r="M293" s="1278"/>
      <c r="N293" s="1278"/>
      <c r="O293" s="1279"/>
    </row>
    <row r="294" spans="1:15" ht="12.75" hidden="1" x14ac:dyDescent="0.2">
      <c r="A294" s="122"/>
      <c r="B294" s="201"/>
      <c r="C294" s="123"/>
      <c r="D294" s="123"/>
      <c r="E294" s="10"/>
      <c r="F294" s="10"/>
      <c r="G294" s="130"/>
      <c r="H294" s="52"/>
      <c r="I294" s="365">
        <f>O263</f>
        <v>0</v>
      </c>
      <c r="J294" s="1271"/>
      <c r="K294" s="1272"/>
      <c r="L294" s="1272"/>
      <c r="M294" s="1272"/>
      <c r="N294" s="1272"/>
      <c r="O294" s="1273"/>
    </row>
    <row r="295" spans="1:15" ht="12.75" hidden="1" x14ac:dyDescent="0.2">
      <c r="A295" s="134"/>
      <c r="B295" s="33"/>
      <c r="C295" s="33"/>
      <c r="D295" s="33"/>
      <c r="E295" s="126"/>
      <c r="F295" s="126"/>
      <c r="G295" s="126"/>
      <c r="H295" s="52"/>
      <c r="I295" s="366"/>
      <c r="J295" s="1277"/>
      <c r="K295" s="1278"/>
      <c r="L295" s="1278"/>
      <c r="M295" s="1278"/>
      <c r="N295" s="1278"/>
      <c r="O295" s="1279"/>
    </row>
  </sheetData>
  <sheetProtection selectLockedCells="1"/>
  <mergeCells count="338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69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tabColor rgb="FFFF0000"/>
    <pageSetUpPr fitToPage="1"/>
  </sheetPr>
  <dimension ref="A1:O295"/>
  <sheetViews>
    <sheetView showGridLines="0" topLeftCell="A60" workbookViewId="0">
      <selection activeCell="M77" sqref="M77"/>
    </sheetView>
  </sheetViews>
  <sheetFormatPr defaultColWidth="9.140625" defaultRowHeight="17.25" customHeight="1" x14ac:dyDescent="0.2"/>
  <cols>
    <col min="1" max="1" width="25.85546875" style="95" customWidth="1"/>
    <col min="2" max="2" width="12.42578125" style="95" customWidth="1"/>
    <col min="3" max="3" width="11.28515625" style="95" customWidth="1"/>
    <col min="4" max="4" width="11.140625" style="95" customWidth="1"/>
    <col min="5" max="5" width="11.5703125" style="95" customWidth="1"/>
    <col min="6" max="6" width="11.7109375" style="95" customWidth="1"/>
    <col min="7" max="7" width="11.42578125" style="95" customWidth="1"/>
    <col min="8" max="8" width="2.7109375" style="95" customWidth="1"/>
    <col min="9" max="9" width="29.85546875" style="95" customWidth="1"/>
    <col min="10" max="10" width="11.140625" style="95" customWidth="1"/>
    <col min="11" max="11" width="10.140625" style="95" customWidth="1"/>
    <col min="12" max="12" width="10.42578125" style="95" customWidth="1"/>
    <col min="13" max="13" width="11" style="95" customWidth="1"/>
    <col min="14" max="14" width="11.28515625" style="95" customWidth="1"/>
    <col min="15" max="15" width="11.5703125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Fjalori'!A84</f>
        <v>Nënfunksioni 21</v>
      </c>
      <c r="B2" s="1130" t="str">
        <f>+VLOOKUP($A2,'(B2) Struktura Organizative'!$A7:$E33,2,FALSE)</f>
        <v>091 Arsimi bazë dhe parashkollor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 t="str">
        <f>+VLOOKUP($A2,'(B2) Struktura Organizative'!$A7:$E33,4,FALSE)</f>
        <v>Anxhela Andoni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Funksionale'!A109</f>
        <v>Programi 21a</v>
      </c>
      <c r="B6" s="1203"/>
      <c r="C6" s="1204" t="str">
        <f>VLOOKUP($A6,'(B3) Struktura Funksionale'!$A$7:$E$146,3,FALSE)</f>
        <v>Arsimi bazë përfshirë arsimin parashkollor.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Transferuar</v>
      </c>
      <c r="M6" s="1205"/>
      <c r="N6" s="1205"/>
      <c r="O6" s="1206"/>
    </row>
    <row r="7" spans="1:15" ht="13.5" hidden="1" customHeight="1" x14ac:dyDescent="0.2">
      <c r="A7" s="1202" t="str">
        <f>'(B3) Struktura Funksionale'!A110</f>
        <v>Programi 21b</v>
      </c>
      <c r="B7" s="1203"/>
      <c r="C7" s="1204" t="str">
        <f>VLOOKUP($A7,'(B3) Struktura Funksionale'!$A$7:$E$146,3,FALSE)</f>
        <v>Mësuesit e kopshteve dhe pagat e stafit mbështetës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Transferuar</v>
      </c>
      <c r="M7" s="1205"/>
      <c r="N7" s="1205"/>
      <c r="O7" s="1206"/>
    </row>
    <row r="8" spans="1:15" ht="13.5" hidden="1" customHeight="1" x14ac:dyDescent="0.2">
      <c r="A8" s="1202" t="str">
        <f>'(B3) Struktura Funksionale'!A111</f>
        <v>Programi 21c</v>
      </c>
      <c r="B8" s="1203"/>
      <c r="C8" s="1204" t="str">
        <f>VLOOKUP($A8,'(B3) Struktura Funksionale'!$A$7:$E$146,3,FALSE)</f>
        <v>Ushqimi i kopshteve</v>
      </c>
      <c r="D8" s="1205"/>
      <c r="E8" s="1205"/>
      <c r="F8" s="1205"/>
      <c r="G8" s="1205"/>
      <c r="H8" s="1206"/>
      <c r="I8" s="1204" t="str">
        <f>VLOOKUP($A8,'(B3) Struktura Funksionale'!$A$7:$E$146,4,FALSE)</f>
        <v>E detyrueshme</v>
      </c>
      <c r="J8" s="1205"/>
      <c r="K8" s="1206"/>
      <c r="L8" s="1204" t="str">
        <f>VLOOKUP($A8,'(B3) Struktura Funksionale'!$A$7:$E$146,5,FALSE)</f>
        <v>I veti</v>
      </c>
      <c r="M8" s="1205"/>
      <c r="N8" s="1205"/>
      <c r="O8" s="1206"/>
    </row>
    <row r="9" spans="1:15" ht="13.5" customHeight="1" x14ac:dyDescent="0.2">
      <c r="A9" s="1202" t="str">
        <f>'(B3) Struktura Funksionale'!A112</f>
        <v>Programi 21d</v>
      </c>
      <c r="B9" s="1203"/>
      <c r="C9" s="1204">
        <f>VLOOKUP($A9,'(B3) Struktura Funksionale'!$A$7:$E$146,3,FALSE)</f>
        <v>0</v>
      </c>
      <c r="D9" s="1205"/>
      <c r="E9" s="1205"/>
      <c r="F9" s="1205"/>
      <c r="G9" s="1205"/>
      <c r="H9" s="1206"/>
      <c r="I9" s="1204">
        <f>VLOOKUP($A9,'(B3) Struktura Funksionale'!$A$7:$E$146,4,FALSE)</f>
        <v>0</v>
      </c>
      <c r="J9" s="1205"/>
      <c r="K9" s="1206"/>
      <c r="L9" s="1204">
        <f>VLOOKUP($A9,'(B3) Struktura Funksionale'!$A$7:$E$146,5,FALSE)</f>
        <v>0</v>
      </c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21</v>
      </c>
      <c r="B14" s="1225" t="str">
        <f>B$2</f>
        <v>091 Arsimi bazë dhe parashkollor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B72+B111+B150+B189+B227+B265</f>
        <v>162011189</v>
      </c>
      <c r="C18" s="33">
        <f t="shared" si="1"/>
        <v>171800051</v>
      </c>
      <c r="D18" s="33">
        <f t="shared" si="1"/>
        <v>216831061</v>
      </c>
      <c r="E18" s="126">
        <f t="shared" si="1"/>
        <v>211383000</v>
      </c>
      <c r="F18" s="126">
        <f t="shared" si="1"/>
        <v>217722000</v>
      </c>
      <c r="G18" s="126">
        <f t="shared" si="1"/>
        <v>224469000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J73+J112+J151+J190+J228+J266</f>
        <v>663300</v>
      </c>
      <c r="K19" s="34">
        <f t="shared" si="2"/>
        <v>1686425</v>
      </c>
      <c r="L19" s="33">
        <f t="shared" si="2"/>
        <v>5544000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E76+E115+E154+E193+E231+E269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M76+M115+M154+M193+M231+M269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125724000</v>
      </c>
      <c r="N24" s="267">
        <f t="shared" si="4"/>
        <v>125724000</v>
      </c>
      <c r="O24" s="267">
        <f t="shared" si="4"/>
        <v>125724000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782" t="str">
        <f>'(G1) Fjalori'!A394</f>
        <v>VLERËSIMI I TË ARDHURAVE ME DESTINACION</v>
      </c>
      <c r="J27" s="774">
        <f>J80+J119+J158+J197+J235+J273</f>
        <v>123593917</v>
      </c>
      <c r="K27" s="774">
        <f>K80+K119+K158+K197+K235+K273</f>
        <v>134349163</v>
      </c>
      <c r="L27" s="774">
        <f>L80+L119+L158+L197+L235+L273</f>
        <v>136930434</v>
      </c>
      <c r="M27" s="713">
        <f t="shared" si="4"/>
        <v>125724000</v>
      </c>
      <c r="N27" s="713">
        <f t="shared" si="4"/>
        <v>125724000</v>
      </c>
      <c r="O27" s="713">
        <f t="shared" si="4"/>
        <v>125724000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  <c r="I28" s="776"/>
      <c r="J28" s="776"/>
      <c r="K28" s="776"/>
      <c r="L28" s="776"/>
      <c r="M28" s="776"/>
      <c r="N28" s="776"/>
      <c r="O28" s="776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1850000</v>
      </c>
      <c r="F29" s="267">
        <f t="shared" si="3"/>
        <v>1900000</v>
      </c>
      <c r="G29" s="267">
        <f t="shared" si="3"/>
        <v>2100000</v>
      </c>
      <c r="H29" s="52"/>
      <c r="I29" s="121" t="str">
        <f>'(G1) Fjalori'!A395</f>
        <v xml:space="preserve">TË ARDHURAT E PRITSHME </v>
      </c>
      <c r="J29" s="774">
        <f t="shared" ref="J29:O29" si="5">J82+J121+J160+J199+J237+J275</f>
        <v>124257217</v>
      </c>
      <c r="K29" s="774">
        <f t="shared" si="5"/>
        <v>136035588</v>
      </c>
      <c r="L29" s="774">
        <f t="shared" si="5"/>
        <v>142474434</v>
      </c>
      <c r="M29" s="713">
        <f t="shared" si="5"/>
        <v>125724000</v>
      </c>
      <c r="N29" s="713">
        <f t="shared" si="5"/>
        <v>125724000</v>
      </c>
      <c r="O29" s="713">
        <f t="shared" si="5"/>
        <v>125724000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  <c r="I30" s="776"/>
      <c r="J30" s="776"/>
      <c r="K30" s="776"/>
      <c r="L30" s="776"/>
      <c r="M30" s="776"/>
      <c r="N30" s="776"/>
      <c r="O30" s="776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  <c r="I31" s="776"/>
      <c r="J31" s="776"/>
      <c r="K31" s="776"/>
      <c r="L31" s="776"/>
      <c r="M31" s="776"/>
      <c r="N31" s="776"/>
      <c r="O31" s="776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371" t="str">
        <f>'(G1) Fjalori'!A415</f>
        <v>SHUMA E KËRKUAR NETO</v>
      </c>
      <c r="J32" s="1372"/>
      <c r="K32" s="1372"/>
      <c r="L32" s="1372"/>
      <c r="M32" s="1372"/>
      <c r="N32" s="1372"/>
      <c r="O32" s="1373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1850000</v>
      </c>
      <c r="F33" s="126">
        <f t="shared" si="3"/>
        <v>1900000</v>
      </c>
      <c r="G33" s="126">
        <f t="shared" si="3"/>
        <v>2100000</v>
      </c>
      <c r="H33" s="52"/>
      <c r="I33" s="1374"/>
      <c r="J33" s="1375"/>
      <c r="K33" s="1375"/>
      <c r="L33" s="1375"/>
      <c r="M33" s="1375"/>
      <c r="N33" s="1375"/>
      <c r="O33" s="1376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787" t="str">
        <f>I32</f>
        <v>SHUMA E KËRKUAR NETO</v>
      </c>
      <c r="J34" s="780">
        <f t="shared" ref="J34:O34" si="6">J88+J127+J166+J205+J243+J281</f>
        <v>37753972</v>
      </c>
      <c r="K34" s="780">
        <f t="shared" si="6"/>
        <v>35764463</v>
      </c>
      <c r="L34" s="780">
        <f t="shared" si="6"/>
        <v>74356627</v>
      </c>
      <c r="M34" s="780">
        <f t="shared" si="6"/>
        <v>85659000</v>
      </c>
      <c r="N34" s="780">
        <f t="shared" si="6"/>
        <v>91998000</v>
      </c>
      <c r="O34" s="780">
        <f t="shared" si="6"/>
        <v>98745000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E89+E128+E167+E206+E244+E282</f>
        <v>134312920</v>
      </c>
      <c r="F35" s="267">
        <f t="shared" si="7"/>
        <v>138340475</v>
      </c>
      <c r="G35" s="267">
        <f t="shared" si="7"/>
        <v>142491314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26927079.999999996</v>
      </c>
      <c r="F36" s="267">
        <f t="shared" si="7"/>
        <v>27734524.999999996</v>
      </c>
      <c r="G36" s="267">
        <f t="shared" si="7"/>
        <v>28566685.999999996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48293000</v>
      </c>
      <c r="F37" s="267">
        <f t="shared" si="7"/>
        <v>49747000</v>
      </c>
      <c r="G37" s="267">
        <f t="shared" si="7"/>
        <v>51311000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M91+M130+M169+M208+M246+M284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209533000</v>
      </c>
      <c r="F46" s="126">
        <f t="shared" si="7"/>
        <v>215822000</v>
      </c>
      <c r="G46" s="126">
        <f t="shared" si="7"/>
        <v>222369000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774">
        <f t="shared" ref="B48:G48" si="11">B102+B141+B180+B219+B257+B295</f>
        <v>162011189</v>
      </c>
      <c r="C48" s="774">
        <f t="shared" si="11"/>
        <v>171800051</v>
      </c>
      <c r="D48" s="774">
        <f t="shared" si="11"/>
        <v>216831061</v>
      </c>
      <c r="E48" s="126">
        <f t="shared" si="11"/>
        <v>211383000</v>
      </c>
      <c r="F48" s="126">
        <f t="shared" si="11"/>
        <v>217722000</v>
      </c>
      <c r="G48" s="126">
        <f t="shared" si="11"/>
        <v>224469000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211383000</v>
      </c>
      <c r="N52" s="135">
        <f>VLOOKUP($A14,'(D1) Tavanet buxhetore'!$A$7:$R$473,8,FALSE)</f>
        <v>217722000</v>
      </c>
      <c r="O52" s="587">
        <f>VLOOKUP($A14,'(D1) Tavanet buxhetore'!$A$7:$R$473,9,FALSE)</f>
        <v>224469000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211383000</v>
      </c>
      <c r="N53" s="136">
        <f>F18</f>
        <v>217722000</v>
      </c>
      <c r="O53" s="588">
        <f>G18</f>
        <v>224469000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161240000</v>
      </c>
      <c r="N55" s="135">
        <f>VLOOKUP($A14,'(D1) Tavanet buxhetore'!$A$7:$R$473,11,FALSE)</f>
        <v>166075000</v>
      </c>
      <c r="O55" s="587">
        <f>VLOOKUP($A14,'(D1) Tavanet buxhetore'!$A$7:$R$473,12,FALSE)</f>
        <v>171058000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161240000</v>
      </c>
      <c r="N56" s="136">
        <f>F22+F35+F23+F36</f>
        <v>166075000</v>
      </c>
      <c r="O56" s="136">
        <f>G22+G35+G23+G36</f>
        <v>171058000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48293000</v>
      </c>
      <c r="N58" s="135">
        <f>VLOOKUP($A14,'(D1) Tavanet buxhetore'!$A$7:$R$473,14,FALSE)</f>
        <v>49747000</v>
      </c>
      <c r="O58" s="587">
        <f>VLOOKUP($A14,'(D1) Tavanet buxhetore'!$A$7:$R$473,15,FALSE)</f>
        <v>51311000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48293000</v>
      </c>
      <c r="N59" s="136">
        <f>N53-N56-N62</f>
        <v>49747000</v>
      </c>
      <c r="O59" s="588">
        <f>O53-O56-O62</f>
        <v>51311000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1850000</v>
      </c>
      <c r="N61" s="135">
        <f>VLOOKUP($A14,'(D1) Tavanet buxhetore'!$A$7:$R$473,17,FALSE)</f>
        <v>1900000</v>
      </c>
      <c r="O61" s="587">
        <f>VLOOKUP($A14,'(D1) Tavanet buxhetore'!$A$7:$R$473,18,FALSE)</f>
        <v>2100000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1850000</v>
      </c>
      <c r="N62" s="136">
        <f>F29+F42</f>
        <v>1900000</v>
      </c>
      <c r="O62" s="588">
        <f>G29+G42</f>
        <v>2100000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21</v>
      </c>
      <c r="B66" s="1225" t="str">
        <f t="shared" si="12"/>
        <v>091 Arsimi bazë dhe parashkollor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21a</v>
      </c>
      <c r="B67" s="1225" t="str">
        <f>C6</f>
        <v>Arsimi bazë përfshirë arsimin parashkollor.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Funksionale'!B109</f>
        <v>09120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162011189</v>
      </c>
      <c r="C72" s="301">
        <f>VLOOKUP(A67,'(C1) Shpenzimet vitet e kaluara'!A$9:O$177,9,FALSE)</f>
        <v>171800051</v>
      </c>
      <c r="D72" s="301">
        <f>VLOOKUP(A67,'(C1) Shpenzimet vitet e kaluara'!A$9:O$177,13,FALSE)</f>
        <v>216831061</v>
      </c>
      <c r="E72" s="362">
        <f>E83+E89+E90+E91</f>
        <v>211383000</v>
      </c>
      <c r="F72" s="362">
        <f>F83+F89+F90+F91</f>
        <v>217722000</v>
      </c>
      <c r="G72" s="362">
        <f>G83+G89+G90+G91</f>
        <v>224469000</v>
      </c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663300</v>
      </c>
      <c r="K73" s="34">
        <f>VLOOKUP($A67,'(C1) Shpenzimet vitet e kaluara'!$A$9:$O$177,10,FALSE)</f>
        <v>1686425</v>
      </c>
      <c r="L73" s="34">
        <f>VLOOKUP($A67,'(C1) Shpenzimet vitet e kaluara'!$A$9:$O$177,14,FALSE)</f>
        <v>5544000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>
        <v>125724000</v>
      </c>
      <c r="N77" s="125">
        <v>125724000</v>
      </c>
      <c r="O77" s="125">
        <v>125724000</v>
      </c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749">
        <f>VLOOKUP($A67,'(C1) Shpenzimet vitet e kaluara'!$A$9:$O$177,7,FALSE)</f>
        <v>123593917</v>
      </c>
      <c r="K80" s="749">
        <f>VLOOKUP($A67,'(C1) Shpenzimet vitet e kaluara'!$A$9:$O$177,11,FALSE)</f>
        <v>134349163</v>
      </c>
      <c r="L80" s="749">
        <f>VLOOKUP($A67,'(C1) Shpenzimet vitet e kaluara'!$A$9:$O$177,15,FALSE)</f>
        <v>136930434</v>
      </c>
      <c r="M80" s="735">
        <f>SUM(M76:M79)</f>
        <v>125724000</v>
      </c>
      <c r="N80" s="735">
        <f>SUM(N76:N79)</f>
        <v>125724000</v>
      </c>
      <c r="O80" s="735">
        <f>SUM(O76:O79)</f>
        <v>125724000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  <c r="J81" s="284"/>
      <c r="K81" s="284"/>
      <c r="L81" s="284"/>
      <c r="M81" s="284"/>
      <c r="N81" s="284"/>
      <c r="O81" s="284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728">
        <f>J73+J80</f>
        <v>124257217</v>
      </c>
      <c r="K82" s="728">
        <f>K73+K80</f>
        <v>136035588</v>
      </c>
      <c r="L82" s="728">
        <f>L73+L80</f>
        <v>142474434</v>
      </c>
      <c r="M82" s="735">
        <f>M80+M73</f>
        <v>125724000</v>
      </c>
      <c r="N82" s="735">
        <f>N80+N73</f>
        <v>125724000</v>
      </c>
      <c r="O82" s="735">
        <f>O80+O73</f>
        <v>125724000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>
        <v>1850000</v>
      </c>
      <c r="F83" s="36">
        <v>1900000</v>
      </c>
      <c r="G83" s="36">
        <v>2100000</v>
      </c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1850000</v>
      </c>
      <c r="F87" s="126">
        <f>SUM(F76:F86)</f>
        <v>1900000</v>
      </c>
      <c r="G87" s="126">
        <f>SUM(G76:G86)</f>
        <v>2100000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780">
        <f t="shared" ref="J88:O88" si="21">B72-J82</f>
        <v>37753972</v>
      </c>
      <c r="K88" s="780">
        <f t="shared" si="21"/>
        <v>35764463</v>
      </c>
      <c r="L88" s="780">
        <f t="shared" si="21"/>
        <v>74356627</v>
      </c>
      <c r="M88" s="780">
        <f t="shared" si="21"/>
        <v>85659000</v>
      </c>
      <c r="N88" s="780">
        <f t="shared" si="21"/>
        <v>91998000</v>
      </c>
      <c r="O88" s="780">
        <f t="shared" si="21"/>
        <v>98745000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708">
        <v>134312920</v>
      </c>
      <c r="F89" s="708">
        <v>138340475</v>
      </c>
      <c r="G89" s="708">
        <v>142491314</v>
      </c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708">
        <v>26927079.999999996</v>
      </c>
      <c r="F90" s="708">
        <v>27734524.999999996</v>
      </c>
      <c r="G90" s="708">
        <v>28566685.999999996</v>
      </c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708">
        <v>48293000</v>
      </c>
      <c r="F91" s="36">
        <v>49747000</v>
      </c>
      <c r="G91" s="36">
        <v>51311000</v>
      </c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708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708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708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708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713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708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708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716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209533000</v>
      </c>
      <c r="F100" s="126">
        <f>SUM(F89:F99)</f>
        <v>215822000</v>
      </c>
      <c r="G100" s="126">
        <f>SUM(G89:G99)</f>
        <v>222369000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162011189</v>
      </c>
      <c r="C102" s="33">
        <f>C72</f>
        <v>171800051</v>
      </c>
      <c r="D102" s="33">
        <f>D72</f>
        <v>216831061</v>
      </c>
      <c r="E102" s="126">
        <f>E87+E100</f>
        <v>211383000</v>
      </c>
      <c r="F102" s="126">
        <f>F87+F100</f>
        <v>217722000</v>
      </c>
      <c r="G102" s="126">
        <f>G87+G100</f>
        <v>224469000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hidden="1" customHeight="1" x14ac:dyDescent="0.2">
      <c r="A105" s="204" t="str">
        <f t="shared" ref="A105:O105" si="22">A66</f>
        <v>Nënfunksioni 21</v>
      </c>
      <c r="B105" s="1225" t="str">
        <f t="shared" si="22"/>
        <v>091 Arsimi bazë dhe parashkollor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hidden="1" customHeight="1" x14ac:dyDescent="0.2">
      <c r="A106" s="262" t="str">
        <f>A7</f>
        <v>Programi 21b</v>
      </c>
      <c r="B106" s="1225" t="str">
        <f>C7</f>
        <v>Mësuesit e kopshteve dhe pagat e stafit mbështetës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hidden="1" customHeight="1" x14ac:dyDescent="0.2">
      <c r="A107" s="562" t="str">
        <f>'(B3) Struktura Funksionale'!B110</f>
        <v>09122</v>
      </c>
      <c r="B107" s="485"/>
      <c r="C107" s="485"/>
      <c r="D107" s="485"/>
      <c r="E107" s="485"/>
      <c r="F107" s="485"/>
      <c r="G107" s="486"/>
      <c r="H107" s="487"/>
      <c r="I107" s="488"/>
      <c r="J107" s="485"/>
      <c r="K107" s="485"/>
      <c r="L107" s="485"/>
      <c r="M107" s="485"/>
      <c r="N107" s="485"/>
      <c r="O107" s="486"/>
    </row>
    <row r="108" spans="1:15" ht="24.75" hidden="1" customHeight="1" x14ac:dyDescent="0.2">
      <c r="A108" s="1221" t="str">
        <f t="shared" ref="A108:G108" si="23">A69</f>
        <v>SHPENZIME TË PRITSHME</v>
      </c>
      <c r="B108" s="1222">
        <f t="shared" si="23"/>
        <v>0</v>
      </c>
      <c r="C108" s="1222">
        <f t="shared" si="23"/>
        <v>0</v>
      </c>
      <c r="D108" s="1222">
        <f t="shared" si="23"/>
        <v>0</v>
      </c>
      <c r="E108" s="1222">
        <f t="shared" si="23"/>
        <v>0</v>
      </c>
      <c r="F108" s="1222">
        <f t="shared" si="23"/>
        <v>0</v>
      </c>
      <c r="G108" s="1242">
        <f t="shared" si="23"/>
        <v>0</v>
      </c>
      <c r="H108" s="128"/>
      <c r="I108" s="1243" t="str">
        <f t="shared" ref="I108:O108" si="24">I69</f>
        <v xml:space="preserve">TË ARDHURAT E PRITSHME </v>
      </c>
      <c r="J108" s="1222">
        <f t="shared" si="24"/>
        <v>0</v>
      </c>
      <c r="K108" s="1222">
        <f t="shared" si="24"/>
        <v>0</v>
      </c>
      <c r="L108" s="1222">
        <f t="shared" si="24"/>
        <v>0</v>
      </c>
      <c r="M108" s="1222">
        <f t="shared" si="24"/>
        <v>0</v>
      </c>
      <c r="N108" s="1222">
        <f t="shared" si="24"/>
        <v>0</v>
      </c>
      <c r="O108" s="1242">
        <f t="shared" si="24"/>
        <v>0</v>
      </c>
    </row>
    <row r="109" spans="1:15" ht="21" hidden="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hidden="1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hidden="1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333" t="str">
        <f t="shared" ref="I111:O111" si="27">I72</f>
        <v>VLERËSIM I ARDHURAVE NGA TARIFAT</v>
      </c>
      <c r="J111" s="334">
        <f t="shared" si="27"/>
        <v>0</v>
      </c>
      <c r="K111" s="334">
        <f t="shared" si="27"/>
        <v>0</v>
      </c>
      <c r="L111" s="334">
        <f t="shared" si="27"/>
        <v>0</v>
      </c>
      <c r="M111" s="334">
        <f t="shared" si="27"/>
        <v>0</v>
      </c>
      <c r="N111" s="334">
        <f t="shared" si="27"/>
        <v>0</v>
      </c>
      <c r="O111" s="335">
        <f t="shared" si="27"/>
        <v>0</v>
      </c>
    </row>
    <row r="112" spans="1:15" ht="12.75" hidden="1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hidden="1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hidden="1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hidden="1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36"/>
      <c r="F115" s="36"/>
      <c r="G115" s="3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hidden="1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36"/>
      <c r="F116" s="36"/>
      <c r="G116" s="3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hidden="1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36"/>
      <c r="F117" s="36"/>
      <c r="G117" s="3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hidden="1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36"/>
      <c r="F118" s="36"/>
      <c r="G118" s="3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hidden="1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36"/>
      <c r="F119" s="36"/>
      <c r="G119" s="3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hidden="1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36"/>
      <c r="F120" s="36"/>
      <c r="G120" s="36"/>
      <c r="H120" s="52"/>
    </row>
    <row r="121" spans="1:15" ht="12.75" hidden="1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36"/>
      <c r="F121" s="36"/>
      <c r="G121" s="3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hidden="1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hidden="1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36"/>
      <c r="F123" s="36"/>
      <c r="G123" s="36"/>
      <c r="H123" s="52"/>
    </row>
    <row r="124" spans="1:15" ht="12.75" hidden="1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36"/>
      <c r="F124" s="36"/>
      <c r="G124" s="36"/>
      <c r="H124" s="52"/>
    </row>
    <row r="125" spans="1:15" ht="12.75" hidden="1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36"/>
      <c r="F125" s="36"/>
      <c r="G125" s="3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hidden="1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hidden="1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hidden="1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hidden="1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hidden="1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hidden="1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hidden="1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hidden="1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hidden="1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hidden="1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hidden="1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hidden="1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hidden="1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hidden="1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hidden="1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hidden="1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2" spans="1:15" ht="17.25" hidden="1" customHeight="1" x14ac:dyDescent="0.2"/>
    <row r="143" spans="1:15" ht="17.25" hidden="1" customHeight="1" x14ac:dyDescent="0.2"/>
    <row r="144" spans="1:15" ht="17.25" hidden="1" customHeight="1" x14ac:dyDescent="0.2">
      <c r="A144" s="204" t="str">
        <f t="shared" ref="A144:O144" si="33">A66</f>
        <v>Nënfunksioni 21</v>
      </c>
      <c r="B144" s="1225" t="str">
        <f t="shared" si="33"/>
        <v>091 Arsimi bazë dhe parashkollor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hidden="1" customHeight="1" x14ac:dyDescent="0.2">
      <c r="A145" s="262" t="str">
        <f>A8</f>
        <v>Programi 21c</v>
      </c>
      <c r="B145" s="1225" t="str">
        <f>C8</f>
        <v>Ushqimi i kopshteve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hidden="1" customHeight="1" x14ac:dyDescent="0.2">
      <c r="A146" s="562" t="str">
        <f>'(B3) Struktura Funksionale'!B111</f>
        <v>09123</v>
      </c>
      <c r="B146" s="485"/>
      <c r="C146" s="485"/>
      <c r="D146" s="485"/>
      <c r="E146" s="485"/>
      <c r="F146" s="485"/>
      <c r="G146" s="486"/>
      <c r="H146" s="487"/>
      <c r="I146" s="488"/>
      <c r="J146" s="485"/>
      <c r="K146" s="485"/>
      <c r="L146" s="485"/>
      <c r="M146" s="485"/>
      <c r="N146" s="485"/>
      <c r="O146" s="486"/>
    </row>
    <row r="147" spans="1:15" ht="22.5" hidden="1" customHeight="1" x14ac:dyDescent="0.2">
      <c r="A147" s="1221" t="str">
        <f t="shared" ref="A147:G147" si="34">A69</f>
        <v>SHPENZIME TË PRITSHME</v>
      </c>
      <c r="B147" s="1222">
        <f t="shared" si="34"/>
        <v>0</v>
      </c>
      <c r="C147" s="1222">
        <f t="shared" si="34"/>
        <v>0</v>
      </c>
      <c r="D147" s="1222">
        <f t="shared" si="34"/>
        <v>0</v>
      </c>
      <c r="E147" s="1222">
        <f t="shared" si="34"/>
        <v>0</v>
      </c>
      <c r="F147" s="1222">
        <f t="shared" si="34"/>
        <v>0</v>
      </c>
      <c r="G147" s="1242">
        <f t="shared" si="34"/>
        <v>0</v>
      </c>
      <c r="H147" s="128"/>
      <c r="I147" s="1243" t="str">
        <f t="shared" ref="I147:O147" si="35">I69</f>
        <v xml:space="preserve">TË ARDHURAT E PRITSHME </v>
      </c>
      <c r="J147" s="1222">
        <f t="shared" si="35"/>
        <v>0</v>
      </c>
      <c r="K147" s="1222">
        <f t="shared" si="35"/>
        <v>0</v>
      </c>
      <c r="L147" s="1222">
        <f t="shared" si="35"/>
        <v>0</v>
      </c>
      <c r="M147" s="1222">
        <f t="shared" si="35"/>
        <v>0</v>
      </c>
      <c r="N147" s="1222">
        <f t="shared" si="35"/>
        <v>0</v>
      </c>
      <c r="O147" s="1242">
        <f t="shared" si="35"/>
        <v>0</v>
      </c>
    </row>
    <row r="148" spans="1:15" ht="20.25" hidden="1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hidden="1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hidden="1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hidden="1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hidden="1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hidden="1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hidden="1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36"/>
      <c r="F154" s="36"/>
      <c r="G154" s="3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hidden="1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36"/>
      <c r="F155" s="36"/>
      <c r="G155" s="3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hidden="1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36"/>
      <c r="F156" s="36"/>
      <c r="G156" s="3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hidden="1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36"/>
      <c r="F157" s="36"/>
      <c r="G157" s="3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hidden="1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36"/>
      <c r="F158" s="36"/>
      <c r="G158" s="3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hidden="1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36"/>
      <c r="F159" s="36"/>
      <c r="G159" s="36"/>
      <c r="H159" s="52"/>
    </row>
    <row r="160" spans="1:15" ht="12.75" hidden="1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36"/>
      <c r="F160" s="36"/>
      <c r="G160" s="3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hidden="1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hidden="1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36"/>
      <c r="F162" s="36"/>
      <c r="G162" s="36"/>
      <c r="H162" s="52"/>
    </row>
    <row r="163" spans="1:15" ht="12.75" hidden="1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36"/>
      <c r="F163" s="36"/>
      <c r="G163" s="36"/>
      <c r="H163" s="52"/>
    </row>
    <row r="164" spans="1:15" ht="12.75" hidden="1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36"/>
      <c r="F164" s="36"/>
      <c r="G164" s="3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hidden="1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hidden="1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hidden="1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hidden="1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hidden="1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hidden="1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hidden="1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hidden="1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hidden="1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hidden="1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hidden="1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hidden="1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hidden="1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hidden="1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hidden="1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hidden="1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hidden="1" x14ac:dyDescent="0.2"/>
    <row r="182" spans="1:15" ht="12.75" hidden="1" x14ac:dyDescent="0.2"/>
    <row r="183" spans="1:15" ht="18.75" x14ac:dyDescent="0.2">
      <c r="A183" s="204" t="str">
        <f t="shared" ref="A183:O183" si="44">A66</f>
        <v>Nënfunksioni 21</v>
      </c>
      <c r="B183" s="1225" t="str">
        <f t="shared" si="44"/>
        <v>091 Arsimi bazë dhe parashkollor</v>
      </c>
      <c r="C183" s="1225">
        <f t="shared" si="44"/>
        <v>0</v>
      </c>
      <c r="D183" s="1225">
        <f t="shared" si="44"/>
        <v>0</v>
      </c>
      <c r="E183" s="1225">
        <f t="shared" si="44"/>
        <v>0</v>
      </c>
      <c r="F183" s="1225">
        <f t="shared" si="44"/>
        <v>0</v>
      </c>
      <c r="G183" s="1225">
        <f t="shared" si="44"/>
        <v>0</v>
      </c>
      <c r="H183" s="1225">
        <f t="shared" si="44"/>
        <v>0</v>
      </c>
      <c r="I183" s="1225">
        <f t="shared" si="44"/>
        <v>0</v>
      </c>
      <c r="J183" s="1225">
        <f t="shared" si="44"/>
        <v>0</v>
      </c>
      <c r="K183" s="1225">
        <f t="shared" si="44"/>
        <v>0</v>
      </c>
      <c r="L183" s="1225">
        <f t="shared" si="44"/>
        <v>0</v>
      </c>
      <c r="M183" s="1225">
        <f t="shared" si="44"/>
        <v>0</v>
      </c>
      <c r="N183" s="1225">
        <f t="shared" si="44"/>
        <v>0</v>
      </c>
      <c r="O183" s="1225">
        <f t="shared" si="44"/>
        <v>0</v>
      </c>
    </row>
    <row r="184" spans="1:15" ht="18.75" x14ac:dyDescent="0.2">
      <c r="A184" s="262" t="str">
        <f>A9</f>
        <v>Programi 21d</v>
      </c>
      <c r="B184" s="1225">
        <f>C9</f>
        <v>0</v>
      </c>
      <c r="C184" s="1225" t="e">
        <f>#REF!</f>
        <v>#REF!</v>
      </c>
      <c r="D184" s="1225" t="e">
        <f>#REF!</f>
        <v>#REF!</v>
      </c>
      <c r="E184" s="1225" t="e">
        <f>#REF!</f>
        <v>#REF!</v>
      </c>
      <c r="F184" s="1225" t="e">
        <f>#REF!</f>
        <v>#REF!</v>
      </c>
      <c r="G184" s="1225" t="e">
        <f>#REF!</f>
        <v>#REF!</v>
      </c>
      <c r="H184" s="1225" t="e">
        <f>#REF!</f>
        <v>#REF!</v>
      </c>
      <c r="I184" s="1225" t="e">
        <f>#REF!</f>
        <v>#REF!</v>
      </c>
      <c r="J184" s="1225" t="e">
        <f>#REF!</f>
        <v>#REF!</v>
      </c>
      <c r="K184" s="1225" t="e">
        <f>#REF!</f>
        <v>#REF!</v>
      </c>
      <c r="L184" s="1225" t="e">
        <f>#REF!</f>
        <v>#REF!</v>
      </c>
      <c r="M184" s="1225" t="e">
        <f>#REF!</f>
        <v>#REF!</v>
      </c>
      <c r="N184" s="1225" t="e">
        <f>#REF!</f>
        <v>#REF!</v>
      </c>
      <c r="O184" s="1225" t="e">
        <f>#REF!</f>
        <v>#REF!</v>
      </c>
    </row>
    <row r="185" spans="1:15" ht="18.75" x14ac:dyDescent="0.2">
      <c r="A185" s="562">
        <f>'(B3) Struktura Funksionale'!B112</f>
        <v>0</v>
      </c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6"/>
    </row>
    <row r="186" spans="1:15" ht="22.5" customHeight="1" x14ac:dyDescent="0.2">
      <c r="A186" s="1252" t="str">
        <f t="shared" ref="A186:G186" si="45">A69</f>
        <v>SHPENZIME TË PRITSHME</v>
      </c>
      <c r="B186" s="1253">
        <f t="shared" si="45"/>
        <v>0</v>
      </c>
      <c r="C186" s="1253">
        <f t="shared" si="45"/>
        <v>0</v>
      </c>
      <c r="D186" s="1253">
        <f t="shared" si="45"/>
        <v>0</v>
      </c>
      <c r="E186" s="1253">
        <f t="shared" si="45"/>
        <v>0</v>
      </c>
      <c r="F186" s="1253">
        <f t="shared" si="45"/>
        <v>0</v>
      </c>
      <c r="G186" s="1254">
        <f t="shared" si="45"/>
        <v>0</v>
      </c>
      <c r="H186" s="128"/>
      <c r="I186" s="1255" t="str">
        <f t="shared" ref="I186:O186" si="46">I69</f>
        <v xml:space="preserve">TË ARDHURAT E PRITSHME </v>
      </c>
      <c r="J186" s="1253">
        <f t="shared" si="46"/>
        <v>0</v>
      </c>
      <c r="K186" s="1253">
        <f t="shared" si="46"/>
        <v>0</v>
      </c>
      <c r="L186" s="1253">
        <f t="shared" si="46"/>
        <v>0</v>
      </c>
      <c r="M186" s="1253">
        <f t="shared" si="46"/>
        <v>0</v>
      </c>
      <c r="N186" s="1253">
        <f t="shared" si="46"/>
        <v>0</v>
      </c>
      <c r="O186" s="1254">
        <f t="shared" si="46"/>
        <v>0</v>
      </c>
    </row>
    <row r="187" spans="1:15" ht="21.75" customHeight="1" x14ac:dyDescent="0.2">
      <c r="A187" s="202"/>
      <c r="B187" s="363">
        <f t="shared" ref="B187:G187" si="47">B70</f>
        <v>2019</v>
      </c>
      <c r="C187" s="363">
        <f t="shared" si="47"/>
        <v>2020</v>
      </c>
      <c r="D187" s="363">
        <f t="shared" si="47"/>
        <v>2021</v>
      </c>
      <c r="E187" s="238">
        <f t="shared" si="47"/>
        <v>2022</v>
      </c>
      <c r="F187" s="238">
        <f t="shared" si="47"/>
        <v>2023</v>
      </c>
      <c r="G187" s="238">
        <f t="shared" si="47"/>
        <v>2024</v>
      </c>
      <c r="H187" s="203"/>
      <c r="I187" s="360"/>
      <c r="J187" s="363">
        <f t="shared" ref="J187:O187" si="48">J70</f>
        <v>2019</v>
      </c>
      <c r="K187" s="363">
        <f t="shared" si="48"/>
        <v>2020</v>
      </c>
      <c r="L187" s="363">
        <f t="shared" si="48"/>
        <v>2021</v>
      </c>
      <c r="M187" s="238">
        <f t="shared" si="48"/>
        <v>2022</v>
      </c>
      <c r="N187" s="238">
        <f t="shared" si="48"/>
        <v>2023</v>
      </c>
      <c r="O187" s="238">
        <f t="shared" si="48"/>
        <v>2024</v>
      </c>
    </row>
    <row r="188" spans="1:15" ht="12.75" x14ac:dyDescent="0.2">
      <c r="A188" s="377"/>
      <c r="B188" s="370"/>
      <c r="C188" s="303"/>
      <c r="D188" s="304"/>
      <c r="E188" s="378"/>
      <c r="F188" s="378"/>
      <c r="G188" s="379"/>
      <c r="H188" s="128"/>
      <c r="I188" s="302"/>
      <c r="J188" s="1250"/>
      <c r="K188" s="1250"/>
      <c r="L188" s="375"/>
      <c r="M188" s="375"/>
      <c r="N188" s="375"/>
      <c r="O188" s="376"/>
    </row>
    <row r="189" spans="1:15" ht="12.75" x14ac:dyDescent="0.2">
      <c r="A189" s="134" t="str">
        <f>A72</f>
        <v>SHPENZIME TË PRITSHME</v>
      </c>
      <c r="B189" s="33">
        <f>VLOOKUP(A184,'(C1) Shpenzimet vitet e kaluara'!A$9:O$177,5,FALSE)</f>
        <v>0</v>
      </c>
      <c r="C189" s="33">
        <f>VLOOKUP(A184,'(C1) Shpenzimet vitet e kaluara'!A$9:O$177,9,FALSE)</f>
        <v>0</v>
      </c>
      <c r="D189" s="33">
        <f>VLOOKUP(A184,'(C1) Shpenzimet vitet e kaluara'!A$9:O$177,13,FALSE)</f>
        <v>0</v>
      </c>
      <c r="E189" s="36"/>
      <c r="F189" s="36"/>
      <c r="G189" s="36"/>
      <c r="H189" s="128"/>
      <c r="I189" s="1226" t="str">
        <f t="shared" ref="I189:O189" si="49">I72</f>
        <v>VLERËSIM I ARDHURAVE NGA TARIFAT</v>
      </c>
      <c r="J189" s="1227">
        <f t="shared" si="49"/>
        <v>0</v>
      </c>
      <c r="K189" s="1227">
        <f t="shared" si="49"/>
        <v>0</v>
      </c>
      <c r="L189" s="1227">
        <f t="shared" si="49"/>
        <v>0</v>
      </c>
      <c r="M189" s="1227">
        <f t="shared" si="49"/>
        <v>0</v>
      </c>
      <c r="N189" s="1227">
        <f t="shared" si="49"/>
        <v>0</v>
      </c>
      <c r="O189" s="1228">
        <f t="shared" si="49"/>
        <v>0</v>
      </c>
    </row>
    <row r="190" spans="1:15" ht="12.75" x14ac:dyDescent="0.2">
      <c r="A190" s="122"/>
      <c r="B190" s="201"/>
      <c r="C190" s="123"/>
      <c r="D190" s="123"/>
      <c r="E190" s="10"/>
      <c r="F190" s="10"/>
      <c r="G190" s="130"/>
      <c r="H190" s="10"/>
      <c r="I190" s="134" t="str">
        <f>I73</f>
        <v>VLERËSIM I ARDHURAVE NGA TARIFAT</v>
      </c>
      <c r="J190" s="34">
        <f>VLOOKUP($A184,'(C1) Shpenzimet vitet e kaluara'!$A$9:$O$177,6,FALSE)</f>
        <v>0</v>
      </c>
      <c r="K190" s="34">
        <f>VLOOKUP($A184,'(C1) Shpenzimet vitet e kaluara'!$A$9:$O$177,10,FALSE)</f>
        <v>0</v>
      </c>
      <c r="L190" s="34">
        <f>VLOOKUP($A184,'(C1) Shpenzimet vitet e kaluara'!$A$9:$O$177,14,FALSE)</f>
        <v>0</v>
      </c>
      <c r="M190" s="36"/>
      <c r="N190" s="36"/>
      <c r="O190" s="36"/>
    </row>
    <row r="191" spans="1:15" ht="12.75" x14ac:dyDescent="0.2">
      <c r="A191" s="1232" t="str">
        <f t="shared" ref="A191:G192" si="50">A74</f>
        <v>SHPENZIME TË PRITSHME</v>
      </c>
      <c r="B191" s="1233">
        <f t="shared" si="50"/>
        <v>0</v>
      </c>
      <c r="C191" s="1233">
        <f t="shared" si="50"/>
        <v>0</v>
      </c>
      <c r="D191" s="1233">
        <f t="shared" si="50"/>
        <v>0</v>
      </c>
      <c r="E191" s="1233">
        <f t="shared" si="50"/>
        <v>0</v>
      </c>
      <c r="F191" s="1233">
        <f t="shared" si="50"/>
        <v>0</v>
      </c>
      <c r="G191" s="1234">
        <f t="shared" si="50"/>
        <v>0</v>
      </c>
      <c r="H191" s="10"/>
    </row>
    <row r="192" spans="1:15" ht="12.75" x14ac:dyDescent="0.2">
      <c r="A192" s="1226" t="str">
        <f t="shared" si="50"/>
        <v>KOSTO DIREKTE PËR PROJEKTET DHE SHPENZIMET KAPITALE</v>
      </c>
      <c r="B192" s="1227">
        <f t="shared" si="50"/>
        <v>0</v>
      </c>
      <c r="C192" s="1227">
        <f t="shared" si="50"/>
        <v>0</v>
      </c>
      <c r="D192" s="1227">
        <f t="shared" si="50"/>
        <v>0</v>
      </c>
      <c r="E192" s="1227">
        <f t="shared" si="50"/>
        <v>0</v>
      </c>
      <c r="F192" s="1227">
        <f t="shared" si="50"/>
        <v>0</v>
      </c>
      <c r="G192" s="1228">
        <f t="shared" si="50"/>
        <v>0</v>
      </c>
      <c r="H192" s="30"/>
      <c r="I192" s="1226" t="str">
        <f t="shared" ref="I192:I197" si="51">I75</f>
        <v>VLERËSIMI I TË ARDHURAVE ME DESTINACION</v>
      </c>
      <c r="J192" s="1227"/>
      <c r="K192" s="1227"/>
      <c r="L192" s="1227"/>
      <c r="M192" s="1227"/>
      <c r="N192" s="1227"/>
      <c r="O192" s="1228"/>
    </row>
    <row r="193" spans="1:15" ht="12.75" x14ac:dyDescent="0.2">
      <c r="A193" s="121" t="str">
        <f t="shared" ref="A193:D215" si="52">A76</f>
        <v>Pagat</v>
      </c>
      <c r="B193" s="1229">
        <f t="shared" si="52"/>
        <v>600</v>
      </c>
      <c r="C193" s="1230">
        <f t="shared" si="52"/>
        <v>0</v>
      </c>
      <c r="D193" s="1231">
        <f t="shared" si="52"/>
        <v>0</v>
      </c>
      <c r="E193" s="126"/>
      <c r="F193" s="126"/>
      <c r="G193" s="126"/>
      <c r="H193" s="30"/>
      <c r="I193" s="339" t="str">
        <f t="shared" si="51"/>
        <v>Transferta e kushtëzuar</v>
      </c>
      <c r="J193" s="336"/>
      <c r="K193" s="338"/>
      <c r="L193" s="337"/>
      <c r="M193" s="125"/>
      <c r="N193" s="125"/>
      <c r="O193" s="129"/>
    </row>
    <row r="194" spans="1:15" ht="12.75" x14ac:dyDescent="0.2">
      <c r="A194" s="121" t="str">
        <f t="shared" si="52"/>
        <v>Sigurimet Shoqërore</v>
      </c>
      <c r="B194" s="1229">
        <f t="shared" si="52"/>
        <v>601</v>
      </c>
      <c r="C194" s="1230">
        <f t="shared" si="52"/>
        <v>0</v>
      </c>
      <c r="D194" s="1231">
        <f t="shared" si="52"/>
        <v>0</v>
      </c>
      <c r="E194" s="126"/>
      <c r="F194" s="126"/>
      <c r="G194" s="126"/>
      <c r="H194" s="30"/>
      <c r="I194" s="339" t="str">
        <f t="shared" si="51"/>
        <v>Trasferta Specifike</v>
      </c>
      <c r="J194" s="336"/>
      <c r="K194" s="338"/>
      <c r="L194" s="337"/>
      <c r="M194" s="125"/>
      <c r="N194" s="125"/>
      <c r="O194" s="129"/>
    </row>
    <row r="195" spans="1:15" ht="12.75" x14ac:dyDescent="0.2">
      <c r="A195" s="121" t="str">
        <f t="shared" si="52"/>
        <v>Mallra dhe shërbime</v>
      </c>
      <c r="B195" s="1229">
        <f t="shared" si="52"/>
        <v>602</v>
      </c>
      <c r="C195" s="1230">
        <f t="shared" si="52"/>
        <v>0</v>
      </c>
      <c r="D195" s="1231">
        <f t="shared" si="52"/>
        <v>0</v>
      </c>
      <c r="E195" s="126"/>
      <c r="F195" s="126"/>
      <c r="G195" s="126"/>
      <c r="H195" s="52"/>
      <c r="I195" s="339" t="str">
        <f t="shared" si="51"/>
        <v>Trashëgimi me destinacion</v>
      </c>
      <c r="J195" s="336"/>
      <c r="K195" s="338"/>
      <c r="L195" s="337"/>
      <c r="M195" s="264">
        <f>VLOOKUP($A184,'(C4) Trashëgimi me destinacion'!$A$8:$F$168,4,FALSE)</f>
        <v>0</v>
      </c>
      <c r="N195" s="479">
        <f>VLOOKUP($A184,'(C4) Trashëgimi me destinacion'!$A$8:$F$168,5,FALSE)</f>
        <v>0</v>
      </c>
      <c r="O195" s="479">
        <f>VLOOKUP($A184,'(C4) Trashëgimi me destinacion'!$A$8:$F$168,6,FALSE)</f>
        <v>0</v>
      </c>
    </row>
    <row r="196" spans="1:15" ht="12.75" x14ac:dyDescent="0.2">
      <c r="A196" s="121" t="str">
        <f t="shared" si="52"/>
        <v>Subvencione</v>
      </c>
      <c r="B196" s="1229">
        <f t="shared" si="52"/>
        <v>603</v>
      </c>
      <c r="C196" s="1230">
        <f t="shared" si="52"/>
        <v>0</v>
      </c>
      <c r="D196" s="1231">
        <f t="shared" si="52"/>
        <v>0</v>
      </c>
      <c r="E196" s="126"/>
      <c r="F196" s="126"/>
      <c r="G196" s="126"/>
      <c r="H196" s="8"/>
      <c r="I196" s="339" t="str">
        <f t="shared" si="51"/>
        <v>Burime të tjera (përfshirë gjobat)</v>
      </c>
      <c r="J196" s="336"/>
      <c r="K196" s="338"/>
      <c r="L196" s="337"/>
      <c r="M196" s="125"/>
      <c r="N196" s="125"/>
      <c r="O196" s="129"/>
    </row>
    <row r="197" spans="1:15" ht="12.75" x14ac:dyDescent="0.2">
      <c r="A197" s="121" t="str">
        <f t="shared" si="52"/>
        <v>Të tjera transferta korrente të brendshme</v>
      </c>
      <c r="B197" s="1229">
        <f t="shared" si="52"/>
        <v>604</v>
      </c>
      <c r="C197" s="1230">
        <f t="shared" si="52"/>
        <v>0</v>
      </c>
      <c r="D197" s="1231">
        <f t="shared" si="52"/>
        <v>0</v>
      </c>
      <c r="E197" s="126"/>
      <c r="F197" s="126"/>
      <c r="G197" s="126"/>
      <c r="H197" s="52"/>
      <c r="I197" s="339" t="str">
        <f t="shared" si="51"/>
        <v>VLERËSIMI I TË ARDHURAVE ME DESTINACION</v>
      </c>
      <c r="J197" s="34">
        <f>VLOOKUP($A184,'(C1) Shpenzimet vitet e kaluara'!$A$9:$O$177,7,FALSE)</f>
        <v>0</v>
      </c>
      <c r="K197" s="34">
        <f>VLOOKUP($A184,'(C1) Shpenzimet vitet e kaluara'!$A$9:$O$177,11,FALSE)</f>
        <v>0</v>
      </c>
      <c r="L197" s="34">
        <f>VLOOKUP($A184,'(C1) Shpenzimet vitet e kaluara'!$A$9:$O$177,15,FALSE)</f>
        <v>0</v>
      </c>
      <c r="M197" s="126">
        <f>SUM(M193:M196)</f>
        <v>0</v>
      </c>
      <c r="N197" s="126">
        <f>SUM(N193:N196)</f>
        <v>0</v>
      </c>
      <c r="O197" s="126">
        <f>SUM(O193:O196)</f>
        <v>0</v>
      </c>
    </row>
    <row r="198" spans="1:15" ht="12.75" x14ac:dyDescent="0.2">
      <c r="A198" s="121" t="str">
        <f t="shared" si="52"/>
        <v>Transferta korrente të huaja</v>
      </c>
      <c r="B198" s="1229">
        <f t="shared" si="52"/>
        <v>605</v>
      </c>
      <c r="C198" s="1230">
        <f t="shared" si="52"/>
        <v>0</v>
      </c>
      <c r="D198" s="1231">
        <f t="shared" si="52"/>
        <v>0</v>
      </c>
      <c r="E198" s="126"/>
      <c r="F198" s="126"/>
      <c r="G198" s="126"/>
      <c r="H198" s="52"/>
    </row>
    <row r="199" spans="1:15" ht="12.75" x14ac:dyDescent="0.2">
      <c r="A199" s="121" t="str">
        <f t="shared" si="52"/>
        <v>Transferta për Buxhetet Familiare dhe Individët</v>
      </c>
      <c r="B199" s="1229">
        <f t="shared" si="52"/>
        <v>606</v>
      </c>
      <c r="C199" s="1230">
        <f t="shared" si="52"/>
        <v>0</v>
      </c>
      <c r="D199" s="1231">
        <f t="shared" si="52"/>
        <v>0</v>
      </c>
      <c r="E199" s="126"/>
      <c r="F199" s="126"/>
      <c r="G199" s="126"/>
      <c r="H199" s="52"/>
      <c r="I199" s="134" t="str">
        <f>I82</f>
        <v xml:space="preserve">TË ARDHURAT E PRITSHME </v>
      </c>
      <c r="J199" s="33">
        <f>J190+J197</f>
        <v>0</v>
      </c>
      <c r="K199" s="33">
        <f>K190+K197</f>
        <v>0</v>
      </c>
      <c r="L199" s="33">
        <f>L190+L197</f>
        <v>0</v>
      </c>
      <c r="M199" s="126">
        <f>M197+M190</f>
        <v>0</v>
      </c>
      <c r="N199" s="126">
        <f>N197+N190</f>
        <v>0</v>
      </c>
      <c r="O199" s="126">
        <f>O197+O190</f>
        <v>0</v>
      </c>
    </row>
    <row r="200" spans="1:15" ht="12.75" x14ac:dyDescent="0.2">
      <c r="A200" s="121" t="str">
        <f t="shared" si="52"/>
        <v>Shpenzimet kapitale</v>
      </c>
      <c r="B200" s="1229" t="str">
        <f t="shared" si="52"/>
        <v>230 / 231</v>
      </c>
      <c r="C200" s="1230">
        <f t="shared" si="52"/>
        <v>0</v>
      </c>
      <c r="D200" s="1231">
        <f t="shared" si="52"/>
        <v>0</v>
      </c>
      <c r="E200" s="36"/>
      <c r="F200" s="36"/>
      <c r="G200" s="36"/>
      <c r="H200" s="52"/>
    </row>
    <row r="201" spans="1:15" ht="12.75" x14ac:dyDescent="0.2">
      <c r="A201" s="121" t="str">
        <f t="shared" si="52"/>
        <v>Rezerva</v>
      </c>
      <c r="B201" s="1229">
        <f t="shared" si="52"/>
        <v>609</v>
      </c>
      <c r="C201" s="1230">
        <f t="shared" si="52"/>
        <v>0</v>
      </c>
      <c r="D201" s="1231">
        <f t="shared" si="52"/>
        <v>0</v>
      </c>
      <c r="E201" s="126"/>
      <c r="F201" s="126"/>
      <c r="G201" s="126"/>
      <c r="H201" s="52"/>
    </row>
    <row r="202" spans="1:15" ht="12.75" x14ac:dyDescent="0.2">
      <c r="A202" s="121" t="str">
        <f t="shared" si="52"/>
        <v>Interesa per kredi direkte ose bono</v>
      </c>
      <c r="B202" s="1229">
        <f t="shared" si="52"/>
        <v>650</v>
      </c>
      <c r="C202" s="1230">
        <f t="shared" si="52"/>
        <v>0</v>
      </c>
      <c r="D202" s="1231">
        <f t="shared" si="52"/>
        <v>0</v>
      </c>
      <c r="E202" s="126"/>
      <c r="F202" s="126"/>
      <c r="G202" s="126"/>
      <c r="H202" s="52"/>
    </row>
    <row r="203" spans="1:15" ht="12.75" x14ac:dyDescent="0.2">
      <c r="A203" s="121" t="str">
        <f t="shared" si="52"/>
        <v>Të tjera</v>
      </c>
      <c r="B203" s="1229" t="str">
        <f t="shared" si="52"/>
        <v>69 / ?</v>
      </c>
      <c r="C203" s="1230">
        <f t="shared" si="52"/>
        <v>0</v>
      </c>
      <c r="D203" s="1231">
        <f t="shared" si="52"/>
        <v>0</v>
      </c>
      <c r="E203" s="126"/>
      <c r="F203" s="126"/>
      <c r="G203" s="126"/>
      <c r="H203" s="52"/>
      <c r="I203" s="1235" t="str">
        <f t="shared" ref="I203:O204" si="53">I86</f>
        <v>SHUMA E KËRKUAR NETO</v>
      </c>
      <c r="J203" s="1236">
        <f t="shared" si="53"/>
        <v>0</v>
      </c>
      <c r="K203" s="1236">
        <f t="shared" si="53"/>
        <v>0</v>
      </c>
      <c r="L203" s="1236">
        <f t="shared" si="53"/>
        <v>0</v>
      </c>
      <c r="M203" s="1236">
        <f t="shared" si="53"/>
        <v>0</v>
      </c>
      <c r="N203" s="1236">
        <f t="shared" si="53"/>
        <v>0</v>
      </c>
      <c r="O203" s="1237">
        <f t="shared" si="53"/>
        <v>0</v>
      </c>
    </row>
    <row r="204" spans="1:15" ht="12.75" customHeight="1" x14ac:dyDescent="0.2">
      <c r="A204" s="268" t="str">
        <f t="shared" si="52"/>
        <v>KOSTO DIREKTE PËR PROJEKTET DHE SHPENZIMET KAPITALE</v>
      </c>
      <c r="B204" s="1229">
        <f t="shared" si="52"/>
        <v>0</v>
      </c>
      <c r="C204" s="1230">
        <f t="shared" si="52"/>
        <v>0</v>
      </c>
      <c r="D204" s="1231">
        <f t="shared" si="52"/>
        <v>0</v>
      </c>
      <c r="E204" s="126">
        <f>SUM(E193:E203)</f>
        <v>0</v>
      </c>
      <c r="F204" s="126">
        <f>SUM(F193:F203)</f>
        <v>0</v>
      </c>
      <c r="G204" s="126">
        <f>SUM(G193:G203)</f>
        <v>0</v>
      </c>
      <c r="H204" s="52"/>
      <c r="I204" s="1238">
        <f t="shared" si="53"/>
        <v>0</v>
      </c>
      <c r="J204" s="1239">
        <f t="shared" si="53"/>
        <v>0</v>
      </c>
      <c r="K204" s="1239">
        <f t="shared" si="53"/>
        <v>0</v>
      </c>
      <c r="L204" s="1239">
        <f t="shared" si="53"/>
        <v>0</v>
      </c>
      <c r="M204" s="1239">
        <f t="shared" si="53"/>
        <v>0</v>
      </c>
      <c r="N204" s="1239">
        <f t="shared" si="53"/>
        <v>0</v>
      </c>
      <c r="O204" s="1240">
        <f t="shared" si="53"/>
        <v>0</v>
      </c>
    </row>
    <row r="205" spans="1:15" ht="12.75" x14ac:dyDescent="0.2">
      <c r="A205" s="1226" t="str">
        <f t="shared" si="52"/>
        <v>SHPENZIME KORRENTE</v>
      </c>
      <c r="B205" s="1227">
        <f t="shared" si="52"/>
        <v>0</v>
      </c>
      <c r="C205" s="1227">
        <f t="shared" si="52"/>
        <v>0</v>
      </c>
      <c r="D205" s="1227">
        <f t="shared" si="52"/>
        <v>0</v>
      </c>
      <c r="E205" s="1227">
        <f>E88</f>
        <v>0</v>
      </c>
      <c r="F205" s="1227">
        <f>F88</f>
        <v>0</v>
      </c>
      <c r="G205" s="1228">
        <f>G88</f>
        <v>0</v>
      </c>
      <c r="H205" s="52"/>
      <c r="I205" s="17" t="str">
        <f>I88</f>
        <v>SHUMA E KËRKUAR NETO</v>
      </c>
      <c r="J205" s="18">
        <f t="shared" ref="J205:O205" si="54">B189-J199</f>
        <v>0</v>
      </c>
      <c r="K205" s="18">
        <f t="shared" si="54"/>
        <v>0</v>
      </c>
      <c r="L205" s="18">
        <f t="shared" si="54"/>
        <v>0</v>
      </c>
      <c r="M205" s="18">
        <f t="shared" si="54"/>
        <v>0</v>
      </c>
      <c r="N205" s="18">
        <f t="shared" si="54"/>
        <v>0</v>
      </c>
      <c r="O205" s="18">
        <f t="shared" si="54"/>
        <v>0</v>
      </c>
    </row>
    <row r="206" spans="1:15" ht="12.75" x14ac:dyDescent="0.2">
      <c r="A206" s="121" t="str">
        <f t="shared" si="52"/>
        <v>Pagat</v>
      </c>
      <c r="B206" s="1229">
        <f t="shared" si="52"/>
        <v>600</v>
      </c>
      <c r="C206" s="1230">
        <f t="shared" si="52"/>
        <v>0</v>
      </c>
      <c r="D206" s="1231">
        <f t="shared" si="52"/>
        <v>0</v>
      </c>
      <c r="E206" s="36"/>
      <c r="F206" s="36"/>
      <c r="G206" s="36"/>
      <c r="H206" s="52"/>
      <c r="I206" s="52"/>
      <c r="J206" s="52"/>
      <c r="K206" s="52"/>
      <c r="L206" s="14"/>
      <c r="M206" s="53"/>
    </row>
    <row r="207" spans="1:15" ht="12.75" x14ac:dyDescent="0.2">
      <c r="A207" s="121" t="str">
        <f t="shared" si="52"/>
        <v>Sigurimet Shoqërore</v>
      </c>
      <c r="B207" s="1229">
        <f t="shared" si="52"/>
        <v>601</v>
      </c>
      <c r="C207" s="1230">
        <f t="shared" si="52"/>
        <v>0</v>
      </c>
      <c r="D207" s="1231">
        <f t="shared" si="52"/>
        <v>0</v>
      </c>
      <c r="E207" s="36"/>
      <c r="F207" s="36"/>
      <c r="G207" s="36"/>
      <c r="H207" s="52"/>
    </row>
    <row r="208" spans="1:15" ht="12.75" x14ac:dyDescent="0.2">
      <c r="A208" s="121" t="str">
        <f t="shared" si="52"/>
        <v>Mallra dhe shërbime</v>
      </c>
      <c r="B208" s="1229">
        <f t="shared" si="52"/>
        <v>602</v>
      </c>
      <c r="C208" s="1230">
        <f t="shared" si="52"/>
        <v>0</v>
      </c>
      <c r="D208" s="1231">
        <f t="shared" si="52"/>
        <v>0</v>
      </c>
      <c r="E208" s="36"/>
      <c r="F208" s="36"/>
      <c r="G208" s="36"/>
      <c r="H208" s="52"/>
      <c r="I208" s="239" t="str">
        <f>I169</f>
        <v>Angazhimet</v>
      </c>
      <c r="J208" s="1290" t="str">
        <f>J169</f>
        <v>Vlera Totale për Aktivitet</v>
      </c>
      <c r="K208" s="1291"/>
      <c r="L208" s="1292"/>
      <c r="M208" s="126">
        <f>VLOOKUP($A184,'(C5) Angazhimet'!$A$8:$F$168,4,FALSE)</f>
        <v>0</v>
      </c>
      <c r="N208" s="126">
        <f>VLOOKUP($A184,'(C5) Angazhimet'!$A$8:$F$168,5,FALSE)</f>
        <v>0</v>
      </c>
      <c r="O208" s="126">
        <f>VLOOKUP($A184,'(C5) Angazhimet'!$A$8:$F$168,6,FALSE)</f>
        <v>0</v>
      </c>
    </row>
    <row r="209" spans="1:15" ht="12.75" x14ac:dyDescent="0.2">
      <c r="A209" s="121" t="str">
        <f t="shared" si="52"/>
        <v>Subvencione</v>
      </c>
      <c r="B209" s="1229">
        <f t="shared" si="52"/>
        <v>603</v>
      </c>
      <c r="C209" s="1230">
        <f t="shared" si="52"/>
        <v>0</v>
      </c>
      <c r="D209" s="1231">
        <f t="shared" si="52"/>
        <v>0</v>
      </c>
      <c r="E209" s="36"/>
      <c r="F209" s="36"/>
      <c r="G209" s="36"/>
      <c r="H209" s="52"/>
      <c r="I209" s="279" t="str">
        <f>I170</f>
        <v>Qëllime</v>
      </c>
      <c r="J209" s="1290" t="str">
        <f>J170</f>
        <v>Shpenzimet kapitale</v>
      </c>
      <c r="K209" s="1291"/>
      <c r="L209" s="1292"/>
      <c r="M209" s="125"/>
      <c r="N209" s="125"/>
      <c r="O209" s="129"/>
    </row>
    <row r="210" spans="1:15" ht="12.75" x14ac:dyDescent="0.2">
      <c r="A210" s="121" t="str">
        <f t="shared" si="52"/>
        <v>Të tjera transferta korrente të brendshme</v>
      </c>
      <c r="B210" s="1229">
        <f t="shared" si="52"/>
        <v>604</v>
      </c>
      <c r="C210" s="1230">
        <f t="shared" si="52"/>
        <v>0</v>
      </c>
      <c r="D210" s="1231">
        <f t="shared" si="52"/>
        <v>0</v>
      </c>
      <c r="E210" s="36"/>
      <c r="F210" s="36"/>
      <c r="G210" s="36"/>
      <c r="H210" s="52"/>
      <c r="I210" s="276"/>
      <c r="J210" s="1290" t="str">
        <f>J171</f>
        <v>Mallra dhe shërbime</v>
      </c>
      <c r="K210" s="1291"/>
      <c r="L210" s="1292"/>
      <c r="M210" s="125"/>
      <c r="N210" s="125"/>
      <c r="O210" s="129"/>
    </row>
    <row r="211" spans="1:15" ht="12.75" x14ac:dyDescent="0.2">
      <c r="A211" s="121" t="str">
        <f t="shared" si="52"/>
        <v>Transferta korrente të huaja</v>
      </c>
      <c r="B211" s="1229">
        <f t="shared" si="52"/>
        <v>605</v>
      </c>
      <c r="C211" s="1230">
        <f t="shared" si="52"/>
        <v>0</v>
      </c>
      <c r="D211" s="1231">
        <f t="shared" si="52"/>
        <v>0</v>
      </c>
      <c r="E211" s="36"/>
      <c r="F211" s="36"/>
      <c r="G211" s="36"/>
      <c r="H211" s="52"/>
      <c r="I211" s="276"/>
      <c r="J211" s="1290" t="str">
        <f>J172</f>
        <v>Qëllime të mëtejshme</v>
      </c>
      <c r="K211" s="1291"/>
      <c r="L211" s="1292"/>
      <c r="M211" s="125"/>
      <c r="N211" s="125"/>
      <c r="O211" s="129"/>
    </row>
    <row r="212" spans="1:15" ht="12.75" x14ac:dyDescent="0.2">
      <c r="A212" s="121" t="str">
        <f t="shared" si="52"/>
        <v>Transferta për Buxhetet Familiare dhe Individët</v>
      </c>
      <c r="B212" s="1229">
        <f t="shared" si="52"/>
        <v>606</v>
      </c>
      <c r="C212" s="1230">
        <f t="shared" si="52"/>
        <v>0</v>
      </c>
      <c r="D212" s="1231">
        <f t="shared" si="52"/>
        <v>0</v>
      </c>
      <c r="E212" s="36"/>
      <c r="F212" s="36"/>
      <c r="G212" s="36"/>
      <c r="H212" s="52"/>
      <c r="I212" s="276"/>
      <c r="J212" s="1286"/>
      <c r="K212" s="1286"/>
      <c r="L212" s="1286"/>
      <c r="M212" s="300" t="str">
        <f>IF(SUM(M209:M211)=M208,"OK","STOP")</f>
        <v>OK</v>
      </c>
      <c r="N212" s="300" t="str">
        <f>IF(SUM(N209:N211)=N208,"OK","STOP")</f>
        <v>OK</v>
      </c>
      <c r="O212" s="300" t="str">
        <f>IF(SUM(O209:O211)=O208,"OK","STOP")</f>
        <v>OK</v>
      </c>
    </row>
    <row r="213" spans="1:15" ht="12.75" x14ac:dyDescent="0.2">
      <c r="A213" s="564" t="str">
        <f t="shared" si="52"/>
        <v>Shpenzimet kapitale</v>
      </c>
      <c r="B213" s="1256" t="str">
        <f t="shared" si="52"/>
        <v>230 / 231</v>
      </c>
      <c r="C213" s="1257">
        <f t="shared" si="52"/>
        <v>0</v>
      </c>
      <c r="D213" s="1258">
        <f t="shared" si="52"/>
        <v>0</v>
      </c>
      <c r="E213" s="126"/>
      <c r="F213" s="126"/>
      <c r="G213" s="126"/>
      <c r="H213" s="52"/>
      <c r="I213" s="367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2.75" x14ac:dyDescent="0.2">
      <c r="A214" s="121" t="str">
        <f t="shared" si="52"/>
        <v>Rezerva</v>
      </c>
      <c r="B214" s="1229">
        <f t="shared" si="52"/>
        <v>609</v>
      </c>
      <c r="C214" s="1230">
        <f t="shared" si="52"/>
        <v>0</v>
      </c>
      <c r="D214" s="1231">
        <f t="shared" si="52"/>
        <v>0</v>
      </c>
      <c r="E214" s="36"/>
      <c r="F214" s="36"/>
      <c r="G214" s="36"/>
      <c r="H214" s="52"/>
      <c r="I214" s="365">
        <f>M187</f>
        <v>2022</v>
      </c>
      <c r="J214" s="1271"/>
      <c r="K214" s="1272"/>
      <c r="L214" s="1272"/>
      <c r="M214" s="1272"/>
      <c r="N214" s="1272"/>
      <c r="O214" s="1273"/>
    </row>
    <row r="215" spans="1:15" ht="12.75" x14ac:dyDescent="0.2">
      <c r="A215" s="121" t="str">
        <f t="shared" si="52"/>
        <v>Interesa per kredi direkte ose bono</v>
      </c>
      <c r="B215" s="1259">
        <f t="shared" si="52"/>
        <v>650</v>
      </c>
      <c r="C215" s="1260">
        <f t="shared" si="52"/>
        <v>0</v>
      </c>
      <c r="D215" s="1261">
        <f t="shared" si="52"/>
        <v>0</v>
      </c>
      <c r="E215" s="36"/>
      <c r="F215" s="36"/>
      <c r="G215" s="36"/>
      <c r="H215" s="52"/>
      <c r="I215" s="366"/>
      <c r="J215" s="1274"/>
      <c r="K215" s="1275"/>
      <c r="L215" s="1275"/>
      <c r="M215" s="1275"/>
      <c r="N215" s="1275"/>
      <c r="O215" s="1276"/>
    </row>
    <row r="216" spans="1:15" ht="12.75" x14ac:dyDescent="0.2">
      <c r="A216" s="239" t="str">
        <f>A99</f>
        <v>Të tjera</v>
      </c>
      <c r="B216" s="1229" t="str">
        <f>B99</f>
        <v>69 / ?</v>
      </c>
      <c r="C216" s="1230">
        <f>C99</f>
        <v>0</v>
      </c>
      <c r="D216" s="273" t="str">
        <f>IF(OR(E216&lt;0,F216&lt;0,G216&lt;0),"STOP","OK!")</f>
        <v>OK!</v>
      </c>
      <c r="E216" s="127">
        <f>-E204+E189-(SUM(E206:E215))</f>
        <v>0</v>
      </c>
      <c r="F216" s="270">
        <f>-F204+F189-(SUM(F206:F215))</f>
        <v>0</v>
      </c>
      <c r="G216" s="270">
        <f>-G204+G189-(SUM(G206:G215))</f>
        <v>0</v>
      </c>
      <c r="H216" s="52"/>
      <c r="I216" s="365">
        <f>N187</f>
        <v>2023</v>
      </c>
      <c r="J216" s="1271"/>
      <c r="K216" s="1272"/>
      <c r="L216" s="1272"/>
      <c r="M216" s="1272"/>
      <c r="N216" s="1272"/>
      <c r="O216" s="1273"/>
    </row>
    <row r="217" spans="1:15" ht="12.75" x14ac:dyDescent="0.2">
      <c r="A217" s="121" t="str">
        <f>A100</f>
        <v>SHPENZIME KORRENTE</v>
      </c>
      <c r="B217" s="1262"/>
      <c r="C217" s="1263"/>
      <c r="D217" s="1264"/>
      <c r="E217" s="126">
        <f>SUM(E206:E216)</f>
        <v>0</v>
      </c>
      <c r="F217" s="126">
        <f>SUM(F206:F216)</f>
        <v>0</v>
      </c>
      <c r="G217" s="126">
        <f>SUM(G206:G216)</f>
        <v>0</v>
      </c>
      <c r="H217" s="52"/>
      <c r="I217" s="366"/>
      <c r="J217" s="1277"/>
      <c r="K217" s="1278"/>
      <c r="L217" s="1278"/>
      <c r="M217" s="1278"/>
      <c r="N217" s="1278"/>
      <c r="O217" s="1279"/>
    </row>
    <row r="218" spans="1:15" ht="12.75" x14ac:dyDescent="0.2">
      <c r="A218" s="122"/>
      <c r="B218" s="201"/>
      <c r="C218" s="123"/>
      <c r="D218" s="123"/>
      <c r="E218" s="10"/>
      <c r="F218" s="10"/>
      <c r="G218" s="130"/>
      <c r="H218" s="52"/>
      <c r="I218" s="365">
        <f>O187</f>
        <v>2024</v>
      </c>
      <c r="J218" s="1271"/>
      <c r="K218" s="1272"/>
      <c r="L218" s="1272"/>
      <c r="M218" s="1272"/>
      <c r="N218" s="1272"/>
      <c r="O218" s="1273"/>
    </row>
    <row r="219" spans="1:15" ht="12.75" x14ac:dyDescent="0.2">
      <c r="A219" s="134" t="str">
        <f>A102</f>
        <v>SHPENZIME TË PRITSHME</v>
      </c>
      <c r="B219" s="33">
        <f>B189</f>
        <v>0</v>
      </c>
      <c r="C219" s="33">
        <f>C189</f>
        <v>0</v>
      </c>
      <c r="D219" s="33">
        <f>D189</f>
        <v>0</v>
      </c>
      <c r="E219" s="126">
        <f>E204+E217</f>
        <v>0</v>
      </c>
      <c r="F219" s="126">
        <f>F204+F217</f>
        <v>0</v>
      </c>
      <c r="G219" s="126">
        <f>G204+G217</f>
        <v>0</v>
      </c>
      <c r="H219" s="52"/>
      <c r="I219" s="366"/>
      <c r="J219" s="1277"/>
      <c r="K219" s="1278"/>
      <c r="L219" s="1278"/>
      <c r="M219" s="1278"/>
      <c r="N219" s="1278"/>
      <c r="O219" s="1279"/>
    </row>
    <row r="222" spans="1:15" ht="17.25" hidden="1" customHeight="1" x14ac:dyDescent="0.2">
      <c r="A222" s="204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17.25" hidden="1" customHeight="1" x14ac:dyDescent="0.2">
      <c r="A223" s="262"/>
      <c r="B223" s="1225"/>
      <c r="C223" s="1225"/>
      <c r="D223" s="1225"/>
      <c r="E223" s="1225"/>
      <c r="F223" s="1225"/>
      <c r="G223" s="1225"/>
      <c r="H223" s="1225"/>
      <c r="I223" s="1225"/>
      <c r="J223" s="1225"/>
      <c r="K223" s="1225"/>
      <c r="L223" s="1225"/>
      <c r="M223" s="1225"/>
      <c r="N223" s="1225"/>
      <c r="O223" s="1225"/>
    </row>
    <row r="224" spans="1:15" ht="21.75" hidden="1" customHeight="1" x14ac:dyDescent="0.2">
      <c r="A224" s="1221"/>
      <c r="B224" s="1222"/>
      <c r="C224" s="1222"/>
      <c r="D224" s="1222"/>
      <c r="E224" s="1222"/>
      <c r="F224" s="1222"/>
      <c r="G224" s="1242"/>
      <c r="H224" s="128"/>
      <c r="I224" s="1243"/>
      <c r="J224" s="1222"/>
      <c r="K224" s="1222"/>
      <c r="L224" s="1222"/>
      <c r="M224" s="1222"/>
      <c r="N224" s="1222"/>
      <c r="O224" s="1242"/>
    </row>
    <row r="225" spans="1:15" ht="18.75" hidden="1" customHeight="1" x14ac:dyDescent="0.2">
      <c r="A225" s="202"/>
      <c r="B225" s="363"/>
      <c r="C225" s="363"/>
      <c r="D225" s="363"/>
      <c r="E225" s="238"/>
      <c r="F225" s="238"/>
      <c r="G225" s="238"/>
      <c r="H225" s="203"/>
      <c r="I225" s="360"/>
      <c r="J225" s="363"/>
      <c r="K225" s="363"/>
      <c r="L225" s="363"/>
      <c r="M225" s="238"/>
      <c r="N225" s="238"/>
      <c r="O225" s="238"/>
    </row>
    <row r="226" spans="1:15" ht="12.75" hidden="1" x14ac:dyDescent="0.2">
      <c r="A226" s="380"/>
      <c r="B226" s="200"/>
      <c r="C226" s="368"/>
      <c r="D226" s="281"/>
      <c r="E226" s="8"/>
      <c r="F226" s="8"/>
      <c r="G226" s="381"/>
      <c r="H226" s="128"/>
      <c r="I226" s="369"/>
      <c r="J226" s="305"/>
      <c r="K226" s="305"/>
      <c r="L226" s="305"/>
      <c r="M226" s="305"/>
      <c r="N226" s="305"/>
      <c r="O226" s="306"/>
    </row>
    <row r="227" spans="1:15" ht="12.75" hidden="1" x14ac:dyDescent="0.2">
      <c r="A227" s="134"/>
      <c r="B227" s="33"/>
      <c r="C227" s="33"/>
      <c r="D227" s="33"/>
      <c r="E227" s="36"/>
      <c r="F227" s="36"/>
      <c r="G227" s="36"/>
      <c r="H227" s="128"/>
      <c r="I227" s="1226"/>
      <c r="J227" s="1227"/>
      <c r="K227" s="1227"/>
      <c r="L227" s="1227"/>
      <c r="M227" s="1227"/>
      <c r="N227" s="1227"/>
      <c r="O227" s="1228"/>
    </row>
    <row r="228" spans="1:15" ht="12.75" hidden="1" x14ac:dyDescent="0.2">
      <c r="A228" s="122"/>
      <c r="B228" s="201"/>
      <c r="C228" s="123"/>
      <c r="D228" s="123"/>
      <c r="E228" s="10"/>
      <c r="F228" s="10"/>
      <c r="G228" s="130"/>
      <c r="H228" s="10"/>
      <c r="I228" s="134"/>
      <c r="J228" s="34"/>
      <c r="K228" s="34"/>
      <c r="L228" s="34"/>
      <c r="M228" s="36"/>
      <c r="N228" s="36"/>
      <c r="O228" s="36"/>
    </row>
    <row r="229" spans="1:15" ht="12.75" hidden="1" x14ac:dyDescent="0.2">
      <c r="A229" s="1232"/>
      <c r="B229" s="1233"/>
      <c r="C229" s="1233"/>
      <c r="D229" s="1233"/>
      <c r="E229" s="1233"/>
      <c r="F229" s="1233"/>
      <c r="G229" s="1234"/>
      <c r="H229" s="10"/>
    </row>
    <row r="230" spans="1:15" ht="12.75" hidden="1" x14ac:dyDescent="0.2">
      <c r="A230" s="1226"/>
      <c r="B230" s="1227"/>
      <c r="C230" s="1227"/>
      <c r="D230" s="1227"/>
      <c r="E230" s="1227"/>
      <c r="F230" s="1227"/>
      <c r="G230" s="1228"/>
      <c r="H230" s="30"/>
      <c r="I230" s="1226"/>
      <c r="J230" s="1227"/>
      <c r="K230" s="1227"/>
      <c r="L230" s="1227"/>
      <c r="M230" s="1227"/>
      <c r="N230" s="1227"/>
      <c r="O230" s="1228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30"/>
      <c r="I232" s="339"/>
      <c r="J232" s="336"/>
      <c r="K232" s="338"/>
      <c r="L232" s="337"/>
      <c r="M232" s="125"/>
      <c r="N232" s="125"/>
      <c r="O232" s="129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52"/>
      <c r="I233" s="339"/>
      <c r="J233" s="336"/>
      <c r="K233" s="338"/>
      <c r="L233" s="337"/>
      <c r="M233" s="264"/>
      <c r="N233" s="479"/>
      <c r="O233" s="481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8"/>
      <c r="I234" s="339"/>
      <c r="J234" s="336"/>
      <c r="K234" s="338"/>
      <c r="L234" s="337"/>
      <c r="M234" s="125"/>
      <c r="N234" s="125"/>
      <c r="O234" s="129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  <c r="I235" s="339"/>
      <c r="J235" s="34"/>
      <c r="K235" s="34"/>
      <c r="L235" s="34"/>
      <c r="M235" s="126"/>
      <c r="N235" s="126"/>
      <c r="O235" s="126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  <c r="I237" s="134"/>
      <c r="J237" s="33"/>
      <c r="K237" s="33"/>
      <c r="L237" s="33"/>
      <c r="M237" s="126"/>
      <c r="N237" s="126"/>
      <c r="O237" s="126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</row>
    <row r="241" spans="1:15" ht="12.75" hidden="1" x14ac:dyDescent="0.2">
      <c r="A241" s="121"/>
      <c r="B241" s="1229"/>
      <c r="C241" s="1230"/>
      <c r="D241" s="1231"/>
      <c r="E241" s="36"/>
      <c r="F241" s="36"/>
      <c r="G241" s="36"/>
      <c r="H241" s="52"/>
      <c r="I241" s="1235"/>
      <c r="J241" s="1236"/>
      <c r="K241" s="1236"/>
      <c r="L241" s="1236"/>
      <c r="M241" s="1236"/>
      <c r="N241" s="1236"/>
      <c r="O241" s="1237"/>
    </row>
    <row r="242" spans="1:15" ht="12.75" hidden="1" customHeight="1" x14ac:dyDescent="0.2">
      <c r="A242" s="268"/>
      <c r="B242" s="1229"/>
      <c r="C242" s="1230"/>
      <c r="D242" s="1231"/>
      <c r="E242" s="126"/>
      <c r="F242" s="126"/>
      <c r="G242" s="126"/>
      <c r="H242" s="52"/>
      <c r="I242" s="1238"/>
      <c r="J242" s="1239"/>
      <c r="K242" s="1239"/>
      <c r="L242" s="1239"/>
      <c r="M242" s="1239"/>
      <c r="N242" s="1239"/>
      <c r="O242" s="1240"/>
    </row>
    <row r="243" spans="1:15" ht="12.75" hidden="1" x14ac:dyDescent="0.2">
      <c r="A243" s="1226"/>
      <c r="B243" s="1227"/>
      <c r="C243" s="1227"/>
      <c r="D243" s="1227"/>
      <c r="E243" s="1227"/>
      <c r="F243" s="1227"/>
      <c r="G243" s="1228"/>
      <c r="H243" s="52"/>
      <c r="I243" s="17"/>
      <c r="J243" s="18"/>
      <c r="K243" s="18"/>
      <c r="L243" s="18"/>
      <c r="M243" s="18"/>
      <c r="N243" s="18"/>
      <c r="O243" s="18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  <c r="I244" s="52"/>
      <c r="J244" s="52"/>
      <c r="K244" s="52"/>
      <c r="L244" s="14"/>
      <c r="M244" s="53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39"/>
      <c r="J246" s="1290"/>
      <c r="K246" s="1291"/>
      <c r="L246" s="1292"/>
      <c r="M246" s="126"/>
      <c r="N246" s="126"/>
      <c r="O246" s="126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9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90"/>
      <c r="K249" s="1291"/>
      <c r="L249" s="1292"/>
      <c r="M249" s="125"/>
      <c r="N249" s="125"/>
      <c r="O249" s="129"/>
    </row>
    <row r="250" spans="1:15" ht="12.75" hidden="1" x14ac:dyDescent="0.2">
      <c r="A250" s="121"/>
      <c r="B250" s="1229"/>
      <c r="C250" s="1230"/>
      <c r="D250" s="1231"/>
      <c r="E250" s="36"/>
      <c r="F250" s="36"/>
      <c r="G250" s="36"/>
      <c r="H250" s="52"/>
      <c r="I250" s="276"/>
      <c r="J250" s="1286"/>
      <c r="K250" s="1286"/>
      <c r="L250" s="1286"/>
      <c r="M250" s="300" t="str">
        <f>IF(SUM(M247:M249)=M246,"OK","STOP")</f>
        <v>OK</v>
      </c>
      <c r="N250" s="300" t="str">
        <f>IF(SUM(N247:N249)=N246,"OK","STOP")</f>
        <v>OK</v>
      </c>
      <c r="O250" s="300" t="str">
        <f>IF(SUM(O247:O249)=O246,"OK","STOP")</f>
        <v>OK</v>
      </c>
    </row>
    <row r="251" spans="1:15" ht="12.75" hidden="1" x14ac:dyDescent="0.2">
      <c r="A251" s="121"/>
      <c r="B251" s="1229"/>
      <c r="C251" s="1230"/>
      <c r="D251" s="1231"/>
      <c r="E251" s="126"/>
      <c r="F251" s="126"/>
      <c r="G251" s="126"/>
      <c r="H251" s="52"/>
      <c r="I251" s="367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2.75" hidden="1" x14ac:dyDescent="0.2">
      <c r="A252" s="121"/>
      <c r="B252" s="1229"/>
      <c r="C252" s="1230"/>
      <c r="D252" s="1231"/>
      <c r="E252" s="36"/>
      <c r="F252" s="36"/>
      <c r="G252" s="36"/>
      <c r="H252" s="52"/>
      <c r="I252" s="365">
        <f>M225</f>
        <v>0</v>
      </c>
      <c r="J252" s="1271"/>
      <c r="K252" s="1272"/>
      <c r="L252" s="1272"/>
      <c r="M252" s="1272"/>
      <c r="N252" s="1272"/>
      <c r="O252" s="1273"/>
    </row>
    <row r="253" spans="1:15" ht="12.75" hidden="1" x14ac:dyDescent="0.2">
      <c r="A253" s="121"/>
      <c r="B253" s="1259"/>
      <c r="C253" s="1260"/>
      <c r="D253" s="1261"/>
      <c r="E253" s="36"/>
      <c r="F253" s="36"/>
      <c r="G253" s="36"/>
      <c r="H253" s="52"/>
      <c r="I253" s="366"/>
      <c r="J253" s="1274"/>
      <c r="K253" s="1275"/>
      <c r="L253" s="1275"/>
      <c r="M253" s="1275"/>
      <c r="N253" s="1275"/>
      <c r="O253" s="1276"/>
    </row>
    <row r="254" spans="1:15" ht="12.75" hidden="1" x14ac:dyDescent="0.2">
      <c r="A254" s="239"/>
      <c r="B254" s="1229"/>
      <c r="C254" s="1230"/>
      <c r="D254" s="273"/>
      <c r="E254" s="270"/>
      <c r="F254" s="270"/>
      <c r="G254" s="270"/>
      <c r="H254" s="52"/>
      <c r="I254" s="365">
        <f>N225</f>
        <v>0</v>
      </c>
      <c r="J254" s="1271"/>
      <c r="K254" s="1272"/>
      <c r="L254" s="1272"/>
      <c r="M254" s="1272"/>
      <c r="N254" s="1272"/>
      <c r="O254" s="1273"/>
    </row>
    <row r="255" spans="1:15" ht="12.75" hidden="1" x14ac:dyDescent="0.2">
      <c r="A255" s="121"/>
      <c r="B255" s="1262"/>
      <c r="C255" s="1263"/>
      <c r="D255" s="1264"/>
      <c r="E255" s="126"/>
      <c r="F255" s="126"/>
      <c r="G255" s="126"/>
      <c r="H255" s="52"/>
      <c r="I255" s="366"/>
      <c r="J255" s="1277"/>
      <c r="K255" s="1278"/>
      <c r="L255" s="1278"/>
      <c r="M255" s="1278"/>
      <c r="N255" s="1278"/>
      <c r="O255" s="1279"/>
    </row>
    <row r="256" spans="1:15" ht="12.75" hidden="1" x14ac:dyDescent="0.2">
      <c r="A256" s="122"/>
      <c r="B256" s="201"/>
      <c r="C256" s="123"/>
      <c r="D256" s="123"/>
      <c r="E256" s="10"/>
      <c r="F256" s="10"/>
      <c r="G256" s="130"/>
      <c r="H256" s="52"/>
      <c r="I256" s="365">
        <f>O225</f>
        <v>0</v>
      </c>
      <c r="J256" s="1271"/>
      <c r="K256" s="1272"/>
      <c r="L256" s="1272"/>
      <c r="M256" s="1272"/>
      <c r="N256" s="1272"/>
      <c r="O256" s="1273"/>
    </row>
    <row r="257" spans="1:15" ht="12.75" hidden="1" x14ac:dyDescent="0.2">
      <c r="A257" s="134"/>
      <c r="B257" s="33"/>
      <c r="C257" s="33"/>
      <c r="D257" s="33"/>
      <c r="E257" s="126"/>
      <c r="F257" s="126"/>
      <c r="G257" s="126"/>
      <c r="H257" s="52"/>
      <c r="I257" s="366"/>
      <c r="J257" s="1277"/>
      <c r="K257" s="1278"/>
      <c r="L257" s="1278"/>
      <c r="M257" s="1278"/>
      <c r="N257" s="1278"/>
      <c r="O257" s="1279"/>
    </row>
    <row r="258" spans="1:15" ht="17.25" hidden="1" customHeight="1" x14ac:dyDescent="0.2"/>
    <row r="259" spans="1:15" ht="17.25" hidden="1" customHeight="1" x14ac:dyDescent="0.2"/>
    <row r="260" spans="1:15" ht="17.25" hidden="1" customHeight="1" x14ac:dyDescent="0.2">
      <c r="A260" s="204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17.25" hidden="1" customHeight="1" x14ac:dyDescent="0.2">
      <c r="A261" s="262"/>
      <c r="B261" s="1225"/>
      <c r="C261" s="1225"/>
      <c r="D261" s="1225"/>
      <c r="E261" s="1225"/>
      <c r="F261" s="1225"/>
      <c r="G261" s="1225"/>
      <c r="H261" s="1225"/>
      <c r="I261" s="1225"/>
      <c r="J261" s="1225"/>
      <c r="K261" s="1225"/>
      <c r="L261" s="1225"/>
      <c r="M261" s="1225"/>
      <c r="N261" s="1225"/>
      <c r="O261" s="1225"/>
    </row>
    <row r="262" spans="1:15" ht="22.5" hidden="1" customHeight="1" x14ac:dyDescent="0.2">
      <c r="A262" s="1221"/>
      <c r="B262" s="1222"/>
      <c r="C262" s="1222"/>
      <c r="D262" s="1222"/>
      <c r="E262" s="1222"/>
      <c r="F262" s="1222"/>
      <c r="G262" s="1242"/>
      <c r="H262" s="128"/>
      <c r="I262" s="1243"/>
      <c r="J262" s="1222"/>
      <c r="K262" s="1222"/>
      <c r="L262" s="1222"/>
      <c r="M262" s="1222"/>
      <c r="N262" s="1222"/>
      <c r="O262" s="1242"/>
    </row>
    <row r="263" spans="1:15" ht="20.25" hidden="1" customHeight="1" x14ac:dyDescent="0.2">
      <c r="A263" s="202"/>
      <c r="B263" s="236"/>
      <c r="C263" s="236"/>
      <c r="D263" s="236"/>
      <c r="E263" s="237"/>
      <c r="F263" s="237"/>
      <c r="G263" s="237"/>
      <c r="H263" s="203"/>
      <c r="I263" s="269"/>
      <c r="J263" s="236"/>
      <c r="K263" s="236"/>
      <c r="L263" s="236"/>
      <c r="M263" s="237"/>
      <c r="N263" s="237"/>
      <c r="O263" s="237"/>
    </row>
    <row r="264" spans="1:15" ht="12.75" hidden="1" x14ac:dyDescent="0.2">
      <c r="A264" s="122"/>
      <c r="B264" s="201"/>
      <c r="C264" s="123"/>
      <c r="D264" s="123"/>
      <c r="E264" s="10"/>
      <c r="F264" s="10"/>
      <c r="G264" s="130"/>
      <c r="H264" s="128"/>
    </row>
    <row r="265" spans="1:15" ht="12.75" hidden="1" x14ac:dyDescent="0.2">
      <c r="A265" s="134"/>
      <c r="B265" s="33"/>
      <c r="C265" s="33"/>
      <c r="D265" s="33"/>
      <c r="E265" s="36"/>
      <c r="F265" s="36"/>
      <c r="G265" s="36"/>
      <c r="H265" s="128"/>
      <c r="I265" s="1226"/>
      <c r="J265" s="1227"/>
      <c r="K265" s="1227"/>
      <c r="L265" s="1227"/>
      <c r="M265" s="1227"/>
      <c r="N265" s="1227"/>
      <c r="O265" s="1228"/>
    </row>
    <row r="266" spans="1:15" ht="12.75" hidden="1" x14ac:dyDescent="0.2">
      <c r="A266" s="122"/>
      <c r="B266" s="201"/>
      <c r="C266" s="123"/>
      <c r="D266" s="123"/>
      <c r="E266" s="10"/>
      <c r="F266" s="10"/>
      <c r="G266" s="130"/>
      <c r="H266" s="10"/>
      <c r="I266" s="134"/>
      <c r="J266" s="34"/>
      <c r="K266" s="34"/>
      <c r="L266" s="34"/>
      <c r="M266" s="36"/>
      <c r="N266" s="36"/>
      <c r="O266" s="36"/>
    </row>
    <row r="267" spans="1:15" ht="12.75" hidden="1" x14ac:dyDescent="0.2">
      <c r="A267" s="1293"/>
      <c r="B267" s="1294"/>
      <c r="C267" s="1294"/>
      <c r="D267" s="1294"/>
      <c r="E267" s="1294"/>
      <c r="F267" s="1294"/>
      <c r="G267" s="1295"/>
      <c r="H267" s="10"/>
    </row>
    <row r="268" spans="1:15" ht="12.75" hidden="1" x14ac:dyDescent="0.2">
      <c r="A268" s="1226"/>
      <c r="B268" s="1227"/>
      <c r="C268" s="1227"/>
      <c r="D268" s="1227"/>
      <c r="E268" s="1227"/>
      <c r="F268" s="1227"/>
      <c r="G268" s="1228"/>
      <c r="H268" s="30"/>
      <c r="I268" s="333"/>
      <c r="J268" s="334"/>
      <c r="K268" s="334"/>
      <c r="L268" s="334"/>
      <c r="M268" s="334"/>
      <c r="N268" s="334"/>
      <c r="O268" s="335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30"/>
      <c r="I270" s="339"/>
      <c r="J270" s="336"/>
      <c r="K270" s="338"/>
      <c r="L270" s="337"/>
      <c r="M270" s="125"/>
      <c r="N270" s="125"/>
      <c r="O270" s="12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52"/>
      <c r="I271" s="339"/>
      <c r="J271" s="336"/>
      <c r="K271" s="338"/>
      <c r="L271" s="337"/>
      <c r="M271" s="264"/>
      <c r="N271" s="479"/>
      <c r="O271" s="47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8"/>
      <c r="I272" s="339"/>
      <c r="J272" s="336"/>
      <c r="K272" s="338"/>
      <c r="L272" s="337"/>
      <c r="M272" s="125"/>
      <c r="N272" s="125"/>
      <c r="O272" s="129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  <c r="I273" s="339"/>
      <c r="J273" s="34"/>
      <c r="K273" s="34"/>
      <c r="L273" s="34"/>
      <c r="M273" s="126"/>
      <c r="N273" s="126"/>
      <c r="O273" s="126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  <c r="I275" s="134"/>
      <c r="J275" s="33"/>
      <c r="K275" s="33"/>
      <c r="L275" s="33"/>
      <c r="M275" s="126"/>
      <c r="N275" s="126"/>
      <c r="O275" s="126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</row>
    <row r="279" spans="1:15" ht="12.75" hidden="1" x14ac:dyDescent="0.2">
      <c r="A279" s="121"/>
      <c r="B279" s="1229"/>
      <c r="C279" s="1230"/>
      <c r="D279" s="1231"/>
      <c r="E279" s="36"/>
      <c r="F279" s="36"/>
      <c r="G279" s="36"/>
      <c r="H279" s="52"/>
      <c r="I279" s="1235"/>
      <c r="J279" s="1236"/>
      <c r="K279" s="1236"/>
      <c r="L279" s="1236"/>
      <c r="M279" s="1236"/>
      <c r="N279" s="1236"/>
      <c r="O279" s="1237"/>
    </row>
    <row r="280" spans="1:15" ht="12.75" hidden="1" customHeight="1" x14ac:dyDescent="0.2">
      <c r="A280" s="268"/>
      <c r="B280" s="1229"/>
      <c r="C280" s="1230"/>
      <c r="D280" s="1231"/>
      <c r="E280" s="126"/>
      <c r="F280" s="126"/>
      <c r="G280" s="126"/>
      <c r="H280" s="52"/>
      <c r="I280" s="1238"/>
      <c r="J280" s="1239"/>
      <c r="K280" s="1239"/>
      <c r="L280" s="1239"/>
      <c r="M280" s="1239"/>
      <c r="N280" s="1239"/>
      <c r="O280" s="1240"/>
    </row>
    <row r="281" spans="1:15" ht="12.75" hidden="1" x14ac:dyDescent="0.2">
      <c r="A281" s="1226"/>
      <c r="B281" s="1227"/>
      <c r="C281" s="1227"/>
      <c r="D281" s="1227"/>
      <c r="E281" s="1227"/>
      <c r="F281" s="1227"/>
      <c r="G281" s="1228"/>
      <c r="H281" s="52"/>
      <c r="I281" s="17"/>
      <c r="J281" s="18"/>
      <c r="K281" s="18"/>
      <c r="L281" s="18"/>
      <c r="M281" s="18"/>
      <c r="N281" s="18"/>
      <c r="O281" s="18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  <c r="I282" s="52"/>
      <c r="J282" s="52"/>
      <c r="K282" s="52"/>
      <c r="L282" s="14"/>
      <c r="M282" s="53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39"/>
      <c r="J284" s="1297"/>
      <c r="K284" s="1298"/>
      <c r="L284" s="1299"/>
      <c r="M284" s="126"/>
      <c r="N284" s="126"/>
      <c r="O284" s="126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9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97"/>
      <c r="K287" s="1298"/>
      <c r="L287" s="1299"/>
      <c r="M287" s="125"/>
      <c r="N287" s="125"/>
      <c r="O287" s="129"/>
    </row>
    <row r="288" spans="1:15" ht="12.75" hidden="1" x14ac:dyDescent="0.2">
      <c r="A288" s="121"/>
      <c r="B288" s="1229"/>
      <c r="C288" s="1230"/>
      <c r="D288" s="1231"/>
      <c r="E288" s="36"/>
      <c r="F288" s="36"/>
      <c r="G288" s="36"/>
      <c r="H288" s="52"/>
      <c r="I288" s="276"/>
      <c r="J288" s="1286"/>
      <c r="K288" s="1286"/>
      <c r="L288" s="1286"/>
      <c r="M288" s="300" t="str">
        <f>IF(SUM(M285:M287)=M284,"OK","STOP")</f>
        <v>OK</v>
      </c>
      <c r="N288" s="300" t="str">
        <f>IF(SUM(N285:N287)=N284,"OK","STOP")</f>
        <v>OK</v>
      </c>
      <c r="O288" s="300" t="str">
        <f>IF(SUM(O285:O287)=O284,"OK","STOP")</f>
        <v>OK</v>
      </c>
    </row>
    <row r="289" spans="1:15" ht="12.75" hidden="1" x14ac:dyDescent="0.2">
      <c r="A289" s="121"/>
      <c r="B289" s="1229"/>
      <c r="C289" s="1230"/>
      <c r="D289" s="1231"/>
      <c r="E289" s="126"/>
      <c r="F289" s="126"/>
      <c r="G289" s="126"/>
      <c r="H289" s="52"/>
      <c r="I289" s="367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2.75" hidden="1" x14ac:dyDescent="0.2">
      <c r="A290" s="121"/>
      <c r="B290" s="1229"/>
      <c r="C290" s="1230"/>
      <c r="D290" s="1231"/>
      <c r="E290" s="36"/>
      <c r="F290" s="36"/>
      <c r="G290" s="36"/>
      <c r="H290" s="52"/>
      <c r="I290" s="365">
        <f>M263</f>
        <v>0</v>
      </c>
      <c r="J290" s="1271"/>
      <c r="K290" s="1272"/>
      <c r="L290" s="1272"/>
      <c r="M290" s="1272"/>
      <c r="N290" s="1272"/>
      <c r="O290" s="1273"/>
    </row>
    <row r="291" spans="1:15" ht="12.75" hidden="1" x14ac:dyDescent="0.2">
      <c r="A291" s="121"/>
      <c r="B291" s="1259"/>
      <c r="C291" s="1260"/>
      <c r="D291" s="1261"/>
      <c r="E291" s="36"/>
      <c r="F291" s="36"/>
      <c r="G291" s="36"/>
      <c r="H291" s="52"/>
      <c r="I291" s="366"/>
      <c r="J291" s="1274"/>
      <c r="K291" s="1275"/>
      <c r="L291" s="1275"/>
      <c r="M291" s="1275"/>
      <c r="N291" s="1275"/>
      <c r="O291" s="1276"/>
    </row>
    <row r="292" spans="1:15" ht="12.75" hidden="1" x14ac:dyDescent="0.2">
      <c r="A292" s="239"/>
      <c r="B292" s="1229"/>
      <c r="C292" s="1230"/>
      <c r="D292" s="273"/>
      <c r="E292" s="270"/>
      <c r="F292" s="270"/>
      <c r="G292" s="270"/>
      <c r="H292" s="52"/>
      <c r="I292" s="365">
        <f>N263</f>
        <v>0</v>
      </c>
      <c r="J292" s="1271"/>
      <c r="K292" s="1272"/>
      <c r="L292" s="1272"/>
      <c r="M292" s="1272"/>
      <c r="N292" s="1272"/>
      <c r="O292" s="1273"/>
    </row>
    <row r="293" spans="1:15" ht="12.75" hidden="1" x14ac:dyDescent="0.2">
      <c r="A293" s="121"/>
      <c r="B293" s="1262"/>
      <c r="C293" s="1263"/>
      <c r="D293" s="1264"/>
      <c r="E293" s="126"/>
      <c r="F293" s="126"/>
      <c r="G293" s="126"/>
      <c r="H293" s="52"/>
      <c r="I293" s="366"/>
      <c r="J293" s="1277"/>
      <c r="K293" s="1278"/>
      <c r="L293" s="1278"/>
      <c r="M293" s="1278"/>
      <c r="N293" s="1278"/>
      <c r="O293" s="1279"/>
    </row>
    <row r="294" spans="1:15" ht="12.75" hidden="1" x14ac:dyDescent="0.2">
      <c r="A294" s="122"/>
      <c r="B294" s="201"/>
      <c r="C294" s="123"/>
      <c r="D294" s="123"/>
      <c r="E294" s="10"/>
      <c r="F294" s="10"/>
      <c r="G294" s="130"/>
      <c r="H294" s="52"/>
      <c r="I294" s="365">
        <f>O263</f>
        <v>0</v>
      </c>
      <c r="J294" s="1271"/>
      <c r="K294" s="1272"/>
      <c r="L294" s="1272"/>
      <c r="M294" s="1272"/>
      <c r="N294" s="1272"/>
      <c r="O294" s="1273"/>
    </row>
    <row r="295" spans="1:15" ht="12.75" hidden="1" x14ac:dyDescent="0.2">
      <c r="A295" s="134"/>
      <c r="B295" s="33"/>
      <c r="C295" s="33"/>
      <c r="D295" s="33"/>
      <c r="E295" s="126"/>
      <c r="F295" s="126"/>
      <c r="G295" s="126"/>
      <c r="H295" s="52"/>
      <c r="I295" s="366"/>
      <c r="J295" s="1277"/>
      <c r="K295" s="1278"/>
      <c r="L295" s="1278"/>
      <c r="M295" s="1278"/>
      <c r="N295" s="1278"/>
      <c r="O295" s="1279"/>
    </row>
  </sheetData>
  <sheetProtection selectLockedCells="1"/>
  <mergeCells count="337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6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tabColor rgb="FFFF0000"/>
    <pageSetUpPr fitToPage="1"/>
  </sheetPr>
  <dimension ref="A1:O295"/>
  <sheetViews>
    <sheetView showGridLines="0" topLeftCell="A65" workbookViewId="0">
      <selection activeCell="N77" sqref="N77:O77"/>
    </sheetView>
  </sheetViews>
  <sheetFormatPr defaultColWidth="9.140625" defaultRowHeight="17.25" customHeight="1" x14ac:dyDescent="0.2"/>
  <cols>
    <col min="1" max="1" width="25.85546875" style="95" customWidth="1"/>
    <col min="2" max="2" width="10.5703125" style="95" customWidth="1"/>
    <col min="3" max="3" width="10.7109375" style="95" customWidth="1"/>
    <col min="4" max="4" width="10" style="95" customWidth="1"/>
    <col min="5" max="5" width="10.85546875" style="95" customWidth="1"/>
    <col min="6" max="6" width="9.85546875" style="95" customWidth="1"/>
    <col min="7" max="7" width="10.42578125" style="95" customWidth="1"/>
    <col min="8" max="8" width="2.7109375" style="95" customWidth="1"/>
    <col min="9" max="9" width="29.7109375" style="95" customWidth="1"/>
    <col min="10" max="10" width="10.5703125" style="95" customWidth="1"/>
    <col min="11" max="11" width="11.28515625" style="95" customWidth="1"/>
    <col min="12" max="12" width="10.7109375" style="95" customWidth="1"/>
    <col min="13" max="13" width="11.28515625" style="95" customWidth="1"/>
    <col min="14" max="14" width="10.140625" style="95" customWidth="1"/>
    <col min="15" max="15" width="11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Fjalori'!A85</f>
        <v>Nënfunksioni 22</v>
      </c>
      <c r="B2" s="1130" t="str">
        <f>+VLOOKUP($A2,'(B2) Struktura Organizative'!$A7:$E33,2,FALSE)</f>
        <v>092 Arsimi  parauniversitar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Funksionale'!A114</f>
        <v>Programi 22a</v>
      </c>
      <c r="B6" s="1203"/>
      <c r="C6" s="1204" t="str">
        <f>VLOOKUP($A6,'(B3) Struktura Funksionale'!$A$7:$E$146,3,FALSE)</f>
        <v>Arsimi i mesëm i përgjithshëm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Transferuar</v>
      </c>
      <c r="M6" s="1205"/>
      <c r="N6" s="1205"/>
      <c r="O6" s="1206"/>
    </row>
    <row r="7" spans="1:15" ht="13.5" hidden="1" customHeight="1" x14ac:dyDescent="0.2">
      <c r="A7" s="1202" t="str">
        <f>'(B3) Struktura Funksionale'!A115</f>
        <v>Programi 22b</v>
      </c>
      <c r="B7" s="1203"/>
      <c r="C7" s="1204" t="str">
        <f>VLOOKUP($A7,'(B3) Struktura Funksionale'!$A$7:$E$146,3,FALSE)</f>
        <v>Pagat e stafit mbështetës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Transferuar</v>
      </c>
      <c r="M7" s="1205"/>
      <c r="N7" s="1205"/>
      <c r="O7" s="1206"/>
    </row>
    <row r="8" spans="1:15" ht="13.5" customHeight="1" x14ac:dyDescent="0.2">
      <c r="A8" s="1202" t="str">
        <f>'(B3) Struktura Funksionale'!A116</f>
        <v>Programi 22c</v>
      </c>
      <c r="B8" s="1203"/>
      <c r="C8" s="1204" t="str">
        <f>VLOOKUP($A8,'(B3) Struktura Funksionale'!$A$7:$E$146,3,FALSE)</f>
        <v>Arsimi profesional</v>
      </c>
      <c r="D8" s="1205"/>
      <c r="E8" s="1205"/>
      <c r="F8" s="1205"/>
      <c r="G8" s="1205"/>
      <c r="H8" s="1206"/>
      <c r="I8" s="1204" t="str">
        <f>VLOOKUP($A8,'(B3) Struktura Funksionale'!$A$7:$E$146,4,FALSE)</f>
        <v>E detyrueshme</v>
      </c>
      <c r="J8" s="1205"/>
      <c r="K8" s="1206"/>
      <c r="L8" s="1204" t="str">
        <f>VLOOKUP($A8,'(B3) Struktura Funksionale'!$A$7:$E$146,5,FALSE)</f>
        <v>I deleguar</v>
      </c>
      <c r="M8" s="1205"/>
      <c r="N8" s="1205"/>
      <c r="O8" s="1206"/>
    </row>
    <row r="9" spans="1:15" ht="13.5" customHeight="1" x14ac:dyDescent="0.2">
      <c r="A9" s="1202" t="str">
        <f>'(B3) Struktura Funksionale'!A117</f>
        <v>Programi 22d</v>
      </c>
      <c r="B9" s="1203"/>
      <c r="C9" s="1204">
        <f>VLOOKUP($A9,'(B3) Struktura Funksionale'!$A$7:$E$146,3,FALSE)</f>
        <v>0</v>
      </c>
      <c r="D9" s="1205"/>
      <c r="E9" s="1205"/>
      <c r="F9" s="1205"/>
      <c r="G9" s="1205"/>
      <c r="H9" s="1206"/>
      <c r="I9" s="1204">
        <f>VLOOKUP($A9,'(B3) Struktura Funksionale'!$A$7:$E$146,4,FALSE)</f>
        <v>0</v>
      </c>
      <c r="J9" s="1205"/>
      <c r="K9" s="1206"/>
      <c r="L9" s="1204">
        <f>VLOOKUP($A9,'(B3) Struktura Funksionale'!$A$7:$E$146,5,FALSE)</f>
        <v>0</v>
      </c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377" t="str">
        <f>'(G1) Fjalori'!A359</f>
        <v>PËRMBLEDHJE E KËRKESËS BUXHETORE</v>
      </c>
      <c r="B13" s="1378"/>
      <c r="C13" s="1387"/>
      <c r="D13" s="1387"/>
      <c r="E13" s="1387"/>
      <c r="F13" s="1387"/>
      <c r="G13" s="1387"/>
      <c r="H13" s="1387"/>
      <c r="I13" s="1387"/>
      <c r="J13" s="1387"/>
      <c r="K13" s="1387"/>
      <c r="L13" s="1387"/>
      <c r="M13" s="1387"/>
      <c r="N13" s="1387"/>
      <c r="O13" s="1388"/>
    </row>
    <row r="14" spans="1:15" s="205" customFormat="1" ht="21" customHeight="1" x14ac:dyDescent="0.25">
      <c r="A14" s="919" t="str">
        <f>A2</f>
        <v>Nënfunksioni 22</v>
      </c>
      <c r="B14" s="1389" t="str">
        <f>B$2</f>
        <v>092 Arsimi  parauniversitar</v>
      </c>
      <c r="C14" s="1389"/>
      <c r="D14" s="1389"/>
      <c r="E14" s="1389"/>
      <c r="F14" s="1389"/>
      <c r="G14" s="1389"/>
      <c r="H14" s="1389"/>
      <c r="I14" s="1389"/>
      <c r="J14" s="1389"/>
      <c r="K14" s="1389"/>
      <c r="L14" s="1389"/>
      <c r="M14" s="1389"/>
      <c r="N14" s="1389"/>
      <c r="O14" s="1389"/>
    </row>
    <row r="15" spans="1:15" ht="21" customHeight="1" x14ac:dyDescent="0.2">
      <c r="A15" s="1377" t="str">
        <f>'(G1) Fjalori'!A384</f>
        <v>SHPENZIME TË PRITSHME</v>
      </c>
      <c r="B15" s="1378"/>
      <c r="C15" s="1378"/>
      <c r="D15" s="1378"/>
      <c r="E15" s="1378"/>
      <c r="F15" s="1378"/>
      <c r="G15" s="1379"/>
      <c r="H15" s="893"/>
      <c r="I15" s="1380" t="str">
        <f>I29</f>
        <v xml:space="preserve">TË ARDHURAT E PRITSHME </v>
      </c>
      <c r="J15" s="1378"/>
      <c r="K15" s="1378"/>
      <c r="L15" s="1378"/>
      <c r="M15" s="1378"/>
      <c r="N15" s="1378"/>
      <c r="O15" s="1379"/>
    </row>
    <row r="16" spans="1:15" s="118" customFormat="1" ht="20.25" customHeight="1" x14ac:dyDescent="0.25">
      <c r="A16" s="894"/>
      <c r="B16" s="920">
        <f>'(B1)Informacion i përgjithshëm '!B5</f>
        <v>2019</v>
      </c>
      <c r="C16" s="920">
        <f>'(B1)Informacion i përgjithshëm '!B6</f>
        <v>2020</v>
      </c>
      <c r="D16" s="920">
        <f>'(B1)Informacion i përgjithshëm '!B7</f>
        <v>2021</v>
      </c>
      <c r="E16" s="921">
        <f>'(B1)Informacion i përgjithshëm '!B8</f>
        <v>2022</v>
      </c>
      <c r="F16" s="921">
        <f>'(B1)Informacion i përgjithshëm '!B9</f>
        <v>2023</v>
      </c>
      <c r="G16" s="921">
        <f>'(B1)Informacion i përgjithshëm '!B10</f>
        <v>2024</v>
      </c>
      <c r="H16" s="895"/>
      <c r="I16" s="896"/>
      <c r="J16" s="920">
        <f t="shared" ref="J16:O16" si="0">B16</f>
        <v>2019</v>
      </c>
      <c r="K16" s="920">
        <f t="shared" si="0"/>
        <v>2020</v>
      </c>
      <c r="L16" s="920">
        <f t="shared" si="0"/>
        <v>2021</v>
      </c>
      <c r="M16" s="921">
        <f t="shared" si="0"/>
        <v>2022</v>
      </c>
      <c r="N16" s="921">
        <f t="shared" si="0"/>
        <v>2023</v>
      </c>
      <c r="O16" s="921">
        <f t="shared" si="0"/>
        <v>2024</v>
      </c>
    </row>
    <row r="17" spans="1:15" ht="12.75" x14ac:dyDescent="0.2">
      <c r="A17" s="1390"/>
      <c r="B17" s="1390"/>
      <c r="C17" s="1390"/>
      <c r="D17" s="1390"/>
      <c r="E17" s="1390"/>
      <c r="F17" s="1390"/>
      <c r="G17" s="1390"/>
      <c r="H17" s="893"/>
      <c r="I17" s="892"/>
      <c r="J17" s="892"/>
      <c r="K17" s="892"/>
      <c r="L17" s="892"/>
      <c r="M17" s="892"/>
      <c r="N17" s="892"/>
      <c r="O17" s="892"/>
    </row>
    <row r="18" spans="1:15" ht="12.75" x14ac:dyDescent="0.2">
      <c r="A18" s="910" t="str">
        <f>A15</f>
        <v>SHPENZIME TË PRITSHME</v>
      </c>
      <c r="B18" s="922">
        <f t="shared" ref="B18:G18" si="1">B72+B111+B150+B189+B227+B265</f>
        <v>28558839</v>
      </c>
      <c r="C18" s="922">
        <f t="shared" si="1"/>
        <v>41191090</v>
      </c>
      <c r="D18" s="922">
        <f t="shared" si="1"/>
        <v>23292569</v>
      </c>
      <c r="E18" s="922">
        <f t="shared" si="1"/>
        <v>9835000</v>
      </c>
      <c r="F18" s="922">
        <f t="shared" si="1"/>
        <v>10130000</v>
      </c>
      <c r="G18" s="922">
        <f t="shared" si="1"/>
        <v>10435000</v>
      </c>
      <c r="H18" s="893"/>
      <c r="I18" s="1381" t="str">
        <f>'(G1) Fjalori'!A385</f>
        <v>VLERËSIM I ARDHURAVE NGA TARIFAT</v>
      </c>
      <c r="J18" s="1382"/>
      <c r="K18" s="1382"/>
      <c r="L18" s="1382"/>
      <c r="M18" s="1382"/>
      <c r="N18" s="1382"/>
      <c r="O18" s="1383"/>
    </row>
    <row r="19" spans="1:15" ht="12.75" x14ac:dyDescent="0.2">
      <c r="A19" s="912"/>
      <c r="B19" s="913"/>
      <c r="C19" s="914"/>
      <c r="D19" s="914"/>
      <c r="E19" s="899"/>
      <c r="F19" s="899"/>
      <c r="G19" s="915"/>
      <c r="H19" s="899"/>
      <c r="I19" s="910" t="str">
        <f>'(G1) Fjalori'!A388</f>
        <v>VLERËSIM I ARDHURAVE NGA TARIFAT</v>
      </c>
      <c r="J19" s="923">
        <f t="shared" ref="J19:O19" si="2">J73+J112+J151+J190+J228+J266</f>
        <v>0</v>
      </c>
      <c r="K19" s="923">
        <f t="shared" si="2"/>
        <v>0</v>
      </c>
      <c r="L19" s="922">
        <f t="shared" si="2"/>
        <v>0</v>
      </c>
      <c r="M19" s="922">
        <f t="shared" si="2"/>
        <v>0</v>
      </c>
      <c r="N19" s="922">
        <f t="shared" si="2"/>
        <v>0</v>
      </c>
      <c r="O19" s="922">
        <f t="shared" si="2"/>
        <v>0</v>
      </c>
    </row>
    <row r="20" spans="1:15" ht="12.75" x14ac:dyDescent="0.2">
      <c r="A20" s="1384" t="str">
        <f>A15</f>
        <v>SHPENZIME TË PRITSHME</v>
      </c>
      <c r="B20" s="1385"/>
      <c r="C20" s="1385"/>
      <c r="D20" s="1385"/>
      <c r="E20" s="1385"/>
      <c r="F20" s="1385"/>
      <c r="G20" s="1386"/>
      <c r="H20" s="899"/>
      <c r="I20" s="892"/>
      <c r="J20" s="892"/>
      <c r="K20" s="892"/>
      <c r="L20" s="892"/>
      <c r="M20" s="892"/>
      <c r="N20" s="892"/>
      <c r="O20" s="892"/>
    </row>
    <row r="21" spans="1:15" ht="12.75" customHeight="1" x14ac:dyDescent="0.2">
      <c r="A21" s="1381" t="str">
        <f>'(G1) Fjalori'!A382</f>
        <v>KOSTO DIREKTE PËR PROJEKTET DHE SHPENZIMET KAPITALE</v>
      </c>
      <c r="B21" s="1382"/>
      <c r="C21" s="1382"/>
      <c r="D21" s="1382"/>
      <c r="E21" s="1382"/>
      <c r="F21" s="1382"/>
      <c r="G21" s="1383"/>
      <c r="H21" s="900"/>
      <c r="I21" s="892"/>
      <c r="J21" s="892"/>
      <c r="K21" s="892"/>
      <c r="L21" s="892"/>
      <c r="M21" s="892"/>
      <c r="N21" s="892"/>
      <c r="O21" s="892"/>
    </row>
    <row r="22" spans="1:15" ht="12.75" customHeight="1" x14ac:dyDescent="0.2">
      <c r="A22" s="897" t="str">
        <f>'(G1) Fjalori'!A360</f>
        <v>Pagat</v>
      </c>
      <c r="B22" s="1391">
        <f>'(G1) Fjalori'!C360</f>
        <v>600</v>
      </c>
      <c r="C22" s="1392"/>
      <c r="D22" s="1393"/>
      <c r="E22" s="924">
        <f t="shared" ref="E22:G33" si="3">E76+E115+E154+E193+E231+E269</f>
        <v>0</v>
      </c>
      <c r="F22" s="924">
        <f t="shared" si="3"/>
        <v>0</v>
      </c>
      <c r="G22" s="924">
        <f t="shared" si="3"/>
        <v>0</v>
      </c>
      <c r="H22" s="900"/>
      <c r="I22" s="1381" t="str">
        <f>'(G1) Fjalori'!A389</f>
        <v>VLERËSIMI I TË ARDHURAVE ME DESTINACION</v>
      </c>
      <c r="J22" s="1382"/>
      <c r="K22" s="1382"/>
      <c r="L22" s="1382"/>
      <c r="M22" s="1382"/>
      <c r="N22" s="1382"/>
      <c r="O22" s="1383"/>
    </row>
    <row r="23" spans="1:15" ht="12.75" customHeight="1" x14ac:dyDescent="0.2">
      <c r="A23" s="897" t="str">
        <f>'(G1) Fjalori'!A361</f>
        <v>Sigurimet Shoqërore</v>
      </c>
      <c r="B23" s="1391">
        <f>'(G1) Fjalori'!C361</f>
        <v>601</v>
      </c>
      <c r="C23" s="1392"/>
      <c r="D23" s="1393"/>
      <c r="E23" s="924">
        <f t="shared" si="3"/>
        <v>0</v>
      </c>
      <c r="F23" s="924">
        <f t="shared" si="3"/>
        <v>0</v>
      </c>
      <c r="G23" s="924">
        <f t="shared" si="3"/>
        <v>0</v>
      </c>
      <c r="H23" s="900"/>
      <c r="I23" s="901" t="str">
        <f>'(G1) Fjalori'!A390</f>
        <v>Transferta e kushtëzuar</v>
      </c>
      <c r="J23" s="1394"/>
      <c r="K23" s="1390"/>
      <c r="L23" s="1395"/>
      <c r="M23" s="924">
        <f t="shared" ref="M23:O27" si="4">M76+M115+M154+M193+M231+M269</f>
        <v>0</v>
      </c>
      <c r="N23" s="924">
        <f t="shared" si="4"/>
        <v>0</v>
      </c>
      <c r="O23" s="924">
        <f t="shared" si="4"/>
        <v>0</v>
      </c>
    </row>
    <row r="24" spans="1:15" ht="12.75" customHeight="1" x14ac:dyDescent="0.2">
      <c r="A24" s="897" t="str">
        <f>'(G1) Fjalori'!A362</f>
        <v>Mallra dhe shërbime</v>
      </c>
      <c r="B24" s="1391">
        <f>'(G1) Fjalori'!C362</f>
        <v>602</v>
      </c>
      <c r="C24" s="1392"/>
      <c r="D24" s="1393"/>
      <c r="E24" s="924">
        <f t="shared" si="3"/>
        <v>0</v>
      </c>
      <c r="F24" s="924">
        <f t="shared" si="3"/>
        <v>0</v>
      </c>
      <c r="G24" s="924">
        <f t="shared" si="3"/>
        <v>0</v>
      </c>
      <c r="H24" s="900"/>
      <c r="I24" s="901" t="str">
        <f>'(G1) Fjalori'!A391</f>
        <v>Trasferta Specifike</v>
      </c>
      <c r="J24" s="1396"/>
      <c r="K24" s="1397"/>
      <c r="L24" s="1398"/>
      <c r="M24" s="924">
        <f t="shared" si="4"/>
        <v>9548000</v>
      </c>
      <c r="N24" s="924">
        <f t="shared" si="4"/>
        <v>9548000</v>
      </c>
      <c r="O24" s="924">
        <f t="shared" si="4"/>
        <v>9548000</v>
      </c>
    </row>
    <row r="25" spans="1:15" ht="12.75" customHeight="1" x14ac:dyDescent="0.2">
      <c r="A25" s="897" t="str">
        <f>'(G1) Fjalori'!A363</f>
        <v>Subvencione</v>
      </c>
      <c r="B25" s="1391">
        <f>'(G1) Fjalori'!C363</f>
        <v>603</v>
      </c>
      <c r="C25" s="1392"/>
      <c r="D25" s="1393"/>
      <c r="E25" s="924">
        <f t="shared" si="3"/>
        <v>0</v>
      </c>
      <c r="F25" s="924">
        <f t="shared" si="3"/>
        <v>0</v>
      </c>
      <c r="G25" s="924">
        <f t="shared" si="3"/>
        <v>0</v>
      </c>
      <c r="H25" s="899"/>
      <c r="I25" s="901" t="str">
        <f>'(G1) Fjalori'!A392</f>
        <v>Trashëgimi me destinacion</v>
      </c>
      <c r="J25" s="1396"/>
      <c r="K25" s="1397"/>
      <c r="L25" s="1398"/>
      <c r="M25" s="925">
        <f t="shared" si="4"/>
        <v>0</v>
      </c>
      <c r="N25" s="911">
        <f t="shared" si="4"/>
        <v>0</v>
      </c>
      <c r="O25" s="911">
        <f t="shared" si="4"/>
        <v>0</v>
      </c>
    </row>
    <row r="26" spans="1:15" ht="12.75" x14ac:dyDescent="0.2">
      <c r="A26" s="897" t="str">
        <f>'(G1) Fjalori'!A364</f>
        <v>Të tjera transferta korrente të brendshme</v>
      </c>
      <c r="B26" s="1391">
        <f>'(G1) Fjalori'!C364</f>
        <v>604</v>
      </c>
      <c r="C26" s="1392"/>
      <c r="D26" s="1393"/>
      <c r="E26" s="924">
        <f t="shared" si="3"/>
        <v>0</v>
      </c>
      <c r="F26" s="924">
        <f t="shared" si="3"/>
        <v>0</v>
      </c>
      <c r="G26" s="924">
        <f t="shared" si="3"/>
        <v>0</v>
      </c>
      <c r="H26" s="900"/>
      <c r="I26" s="901" t="str">
        <f>'(G1) Fjalori'!A393</f>
        <v>Burime të tjera (përfshirë gjobat)</v>
      </c>
      <c r="J26" s="1399"/>
      <c r="K26" s="1400"/>
      <c r="L26" s="1401"/>
      <c r="M26" s="924">
        <f t="shared" si="4"/>
        <v>0</v>
      </c>
      <c r="N26" s="924">
        <f t="shared" si="4"/>
        <v>0</v>
      </c>
      <c r="O26" s="924">
        <f t="shared" si="4"/>
        <v>0</v>
      </c>
    </row>
    <row r="27" spans="1:15" ht="12.75" x14ac:dyDescent="0.2">
      <c r="A27" s="897" t="str">
        <f>'(G1) Fjalori'!A365</f>
        <v>Transferta korrente të huaja</v>
      </c>
      <c r="B27" s="1391">
        <f>'(G1) Fjalori'!C365</f>
        <v>605</v>
      </c>
      <c r="C27" s="1392"/>
      <c r="D27" s="1393"/>
      <c r="E27" s="924">
        <f t="shared" si="3"/>
        <v>0</v>
      </c>
      <c r="F27" s="924">
        <f t="shared" si="3"/>
        <v>0</v>
      </c>
      <c r="G27" s="924">
        <f t="shared" si="3"/>
        <v>0</v>
      </c>
      <c r="H27" s="900"/>
      <c r="I27" s="901" t="str">
        <f>'(G1) Fjalori'!A394</f>
        <v>VLERËSIMI I TË ARDHURAVE ME DESTINACION</v>
      </c>
      <c r="J27" s="922">
        <f>J80+J119+J158+J197+J235+J273</f>
        <v>9838045</v>
      </c>
      <c r="K27" s="922">
        <f>K80+K119+K158+K197+K235+K273</f>
        <v>10536439</v>
      </c>
      <c r="L27" s="922">
        <f>L80+L119+L158+L197+L235+L273</f>
        <v>9548000</v>
      </c>
      <c r="M27" s="922">
        <f t="shared" si="4"/>
        <v>9548000</v>
      </c>
      <c r="N27" s="922">
        <f t="shared" si="4"/>
        <v>9548000</v>
      </c>
      <c r="O27" s="922">
        <f t="shared" si="4"/>
        <v>9548000</v>
      </c>
    </row>
    <row r="28" spans="1:15" ht="12.75" x14ac:dyDescent="0.2">
      <c r="A28" s="897" t="str">
        <f>'(G1) Fjalori'!A366</f>
        <v>Transferta për Buxhetet Familiare dhe Individët</v>
      </c>
      <c r="B28" s="1391">
        <f>'(G1) Fjalori'!C366</f>
        <v>606</v>
      </c>
      <c r="C28" s="1392"/>
      <c r="D28" s="1393"/>
      <c r="E28" s="924">
        <f t="shared" si="3"/>
        <v>0</v>
      </c>
      <c r="F28" s="924">
        <f t="shared" si="3"/>
        <v>0</v>
      </c>
      <c r="G28" s="924">
        <f t="shared" si="3"/>
        <v>0</v>
      </c>
      <c r="H28" s="900"/>
      <c r="I28" s="892"/>
      <c r="J28" s="892"/>
      <c r="K28" s="892"/>
      <c r="L28" s="892"/>
      <c r="M28" s="892"/>
      <c r="N28" s="892"/>
      <c r="O28" s="892"/>
    </row>
    <row r="29" spans="1:15" ht="12.75" x14ac:dyDescent="0.2">
      <c r="A29" s="897" t="str">
        <f>'(G1) Fjalori'!A367</f>
        <v>Shpenzimet kapitale</v>
      </c>
      <c r="B29" s="1391" t="str">
        <f>'(G1) Fjalori'!C367</f>
        <v>230 / 231</v>
      </c>
      <c r="C29" s="1392"/>
      <c r="D29" s="1393"/>
      <c r="E29" s="924">
        <f t="shared" si="3"/>
        <v>0</v>
      </c>
      <c r="F29" s="924">
        <f t="shared" si="3"/>
        <v>0</v>
      </c>
      <c r="G29" s="924">
        <f t="shared" si="3"/>
        <v>0</v>
      </c>
      <c r="H29" s="900"/>
      <c r="I29" s="910" t="str">
        <f>'(G1) Fjalori'!A395</f>
        <v xml:space="preserve">TË ARDHURAT E PRITSHME </v>
      </c>
      <c r="J29" s="922">
        <f t="shared" ref="J29:O29" si="5">J82+J121+J160+J199+J237+J275</f>
        <v>9838045</v>
      </c>
      <c r="K29" s="922">
        <f t="shared" si="5"/>
        <v>10536439</v>
      </c>
      <c r="L29" s="922">
        <f t="shared" si="5"/>
        <v>9548000</v>
      </c>
      <c r="M29" s="922">
        <f t="shared" si="5"/>
        <v>9548000</v>
      </c>
      <c r="N29" s="922">
        <f t="shared" si="5"/>
        <v>9548000</v>
      </c>
      <c r="O29" s="922">
        <f t="shared" si="5"/>
        <v>9548000</v>
      </c>
    </row>
    <row r="30" spans="1:15" ht="12.75" x14ac:dyDescent="0.2">
      <c r="A30" s="897" t="str">
        <f>'(G1) Fjalori'!A368</f>
        <v>Rezerva</v>
      </c>
      <c r="B30" s="1391">
        <f>'(G1) Fjalori'!C368</f>
        <v>609</v>
      </c>
      <c r="C30" s="1392"/>
      <c r="D30" s="1393"/>
      <c r="E30" s="924">
        <f t="shared" si="3"/>
        <v>0</v>
      </c>
      <c r="F30" s="924">
        <f t="shared" si="3"/>
        <v>0</v>
      </c>
      <c r="G30" s="924">
        <f t="shared" si="3"/>
        <v>0</v>
      </c>
      <c r="H30" s="900"/>
      <c r="I30" s="892"/>
      <c r="J30" s="892"/>
      <c r="K30" s="892"/>
      <c r="L30" s="892"/>
      <c r="M30" s="892"/>
      <c r="N30" s="892"/>
      <c r="O30" s="892"/>
    </row>
    <row r="31" spans="1:15" ht="12.75" x14ac:dyDescent="0.2">
      <c r="A31" s="897" t="str">
        <f>'(G1) Fjalori'!A369</f>
        <v>Interesa per kredi direkte ose bono</v>
      </c>
      <c r="B31" s="1391">
        <f>'(G1) Fjalori'!C369</f>
        <v>650</v>
      </c>
      <c r="C31" s="1392"/>
      <c r="D31" s="1393"/>
      <c r="E31" s="924">
        <f t="shared" si="3"/>
        <v>0</v>
      </c>
      <c r="F31" s="924">
        <f t="shared" si="3"/>
        <v>0</v>
      </c>
      <c r="G31" s="924">
        <f t="shared" si="3"/>
        <v>0</v>
      </c>
      <c r="H31" s="900"/>
      <c r="I31" s="892"/>
      <c r="J31" s="892"/>
      <c r="K31" s="892"/>
      <c r="L31" s="892"/>
      <c r="M31" s="892"/>
      <c r="N31" s="892"/>
      <c r="O31" s="892"/>
    </row>
    <row r="32" spans="1:15" ht="12.75" customHeight="1" x14ac:dyDescent="0.2">
      <c r="A32" s="897" t="str">
        <f>'(G1) Fjalori'!A370</f>
        <v>Të tjera</v>
      </c>
      <c r="B32" s="1391" t="str">
        <f>'(G1) Fjalori'!C370</f>
        <v>69 / ?</v>
      </c>
      <c r="C32" s="1392"/>
      <c r="D32" s="1393"/>
      <c r="E32" s="924">
        <f t="shared" si="3"/>
        <v>0</v>
      </c>
      <c r="F32" s="924">
        <f t="shared" si="3"/>
        <v>0</v>
      </c>
      <c r="G32" s="924">
        <f t="shared" si="3"/>
        <v>0</v>
      </c>
      <c r="H32" s="900"/>
      <c r="I32" s="1402" t="str">
        <f>'(G1) Fjalori'!A415</f>
        <v>SHUMA E KËRKUAR NETO</v>
      </c>
      <c r="J32" s="1403"/>
      <c r="K32" s="1403"/>
      <c r="L32" s="1403"/>
      <c r="M32" s="1403"/>
      <c r="N32" s="1403"/>
      <c r="O32" s="1404"/>
    </row>
    <row r="33" spans="1:15" ht="12.75" customHeight="1" x14ac:dyDescent="0.2">
      <c r="A33" s="916" t="str">
        <f>A21</f>
        <v>KOSTO DIREKTE PËR PROJEKTET DHE SHPENZIMET KAPITALE</v>
      </c>
      <c r="B33" s="1391"/>
      <c r="C33" s="1392"/>
      <c r="D33" s="1393"/>
      <c r="E33" s="922">
        <f t="shared" si="3"/>
        <v>0</v>
      </c>
      <c r="F33" s="922">
        <f t="shared" si="3"/>
        <v>0</v>
      </c>
      <c r="G33" s="922">
        <f t="shared" si="3"/>
        <v>0</v>
      </c>
      <c r="H33" s="900"/>
      <c r="I33" s="1405"/>
      <c r="J33" s="1406"/>
      <c r="K33" s="1406"/>
      <c r="L33" s="1406"/>
      <c r="M33" s="1406"/>
      <c r="N33" s="1406"/>
      <c r="O33" s="1407"/>
    </row>
    <row r="34" spans="1:15" ht="12.75" x14ac:dyDescent="0.2">
      <c r="A34" s="1381" t="str">
        <f>'(G1) Fjalori'!A383</f>
        <v>SHPENZIME KORRENTE</v>
      </c>
      <c r="B34" s="1382"/>
      <c r="C34" s="1382"/>
      <c r="D34" s="1382"/>
      <c r="E34" s="1382"/>
      <c r="F34" s="1382"/>
      <c r="G34" s="1383"/>
      <c r="H34" s="900"/>
      <c r="I34" s="926" t="str">
        <f>I32</f>
        <v>SHUMA E KËRKUAR NETO</v>
      </c>
      <c r="J34" s="927">
        <f t="shared" ref="J34:O34" si="6">J88+J127+J166+J205+J243+J281</f>
        <v>18720794</v>
      </c>
      <c r="K34" s="927">
        <f t="shared" si="6"/>
        <v>30654651</v>
      </c>
      <c r="L34" s="927">
        <f t="shared" si="6"/>
        <v>13744569</v>
      </c>
      <c r="M34" s="927">
        <f t="shared" si="6"/>
        <v>287000</v>
      </c>
      <c r="N34" s="927">
        <f t="shared" si="6"/>
        <v>582000</v>
      </c>
      <c r="O34" s="927">
        <f t="shared" si="6"/>
        <v>887000</v>
      </c>
    </row>
    <row r="35" spans="1:15" ht="12.75" x14ac:dyDescent="0.2">
      <c r="A35" s="897" t="str">
        <f>A22</f>
        <v>Pagat</v>
      </c>
      <c r="B35" s="1391">
        <f>B22</f>
        <v>600</v>
      </c>
      <c r="C35" s="1392"/>
      <c r="D35" s="1393"/>
      <c r="E35" s="924">
        <f t="shared" ref="E35:G46" si="7">E89+E128+E167+E206+E244+E282</f>
        <v>8192555</v>
      </c>
      <c r="F35" s="924">
        <f t="shared" si="7"/>
        <v>8438290</v>
      </c>
      <c r="G35" s="924">
        <f t="shared" si="7"/>
        <v>8692355</v>
      </c>
      <c r="H35" s="900"/>
      <c r="I35" s="900"/>
      <c r="J35" s="900"/>
      <c r="K35" s="900"/>
      <c r="L35" s="902"/>
      <c r="M35" s="903"/>
      <c r="N35" s="892"/>
      <c r="O35" s="892"/>
    </row>
    <row r="36" spans="1:15" ht="12.75" customHeight="1" x14ac:dyDescent="0.2">
      <c r="A36" s="897" t="str">
        <f t="shared" ref="A36:A45" si="8">A23</f>
        <v>Sigurimet Shoqërore</v>
      </c>
      <c r="B36" s="1391">
        <f t="shared" ref="B36:B45" si="9">B23</f>
        <v>601</v>
      </c>
      <c r="C36" s="1392"/>
      <c r="D36" s="1393"/>
      <c r="E36" s="924">
        <f t="shared" si="7"/>
        <v>1642444.9999999998</v>
      </c>
      <c r="F36" s="924">
        <f t="shared" si="7"/>
        <v>1691709.9999999998</v>
      </c>
      <c r="G36" s="924">
        <f t="shared" si="7"/>
        <v>1742644.9999999998</v>
      </c>
      <c r="H36" s="900"/>
      <c r="I36" s="892"/>
      <c r="J36" s="892"/>
      <c r="K36" s="892"/>
      <c r="L36" s="892"/>
      <c r="M36" s="892"/>
      <c r="N36" s="892"/>
      <c r="O36" s="892"/>
    </row>
    <row r="37" spans="1:15" ht="12.75" x14ac:dyDescent="0.2">
      <c r="A37" s="897" t="str">
        <f t="shared" si="8"/>
        <v>Mallra dhe shërbime</v>
      </c>
      <c r="B37" s="1391">
        <f t="shared" si="9"/>
        <v>602</v>
      </c>
      <c r="C37" s="1392"/>
      <c r="D37" s="1393"/>
      <c r="E37" s="924">
        <f t="shared" si="7"/>
        <v>0</v>
      </c>
      <c r="F37" s="924">
        <f t="shared" si="7"/>
        <v>0</v>
      </c>
      <c r="G37" s="924">
        <f t="shared" si="7"/>
        <v>0</v>
      </c>
      <c r="H37" s="900"/>
      <c r="I37" s="897" t="str">
        <f>'(G1) Fjalori'!A413</f>
        <v>Angazhimet</v>
      </c>
      <c r="J37" s="1408" t="str">
        <f>'(G1) Fjalori'!A454</f>
        <v>Vlera Totale për Aktivitet</v>
      </c>
      <c r="K37" s="1409"/>
      <c r="L37" s="1410"/>
      <c r="M37" s="922">
        <f t="shared" ref="M37:O40" si="10">M91+M130+M169+M208+M246+M284</f>
        <v>0</v>
      </c>
      <c r="N37" s="922">
        <f t="shared" si="10"/>
        <v>0</v>
      </c>
      <c r="O37" s="922">
        <f t="shared" si="10"/>
        <v>0</v>
      </c>
    </row>
    <row r="38" spans="1:15" ht="12.75" x14ac:dyDescent="0.2">
      <c r="A38" s="897" t="str">
        <f t="shared" si="8"/>
        <v>Subvencione</v>
      </c>
      <c r="B38" s="1391">
        <f t="shared" si="9"/>
        <v>603</v>
      </c>
      <c r="C38" s="1392"/>
      <c r="D38" s="1393"/>
      <c r="E38" s="924">
        <f t="shared" si="7"/>
        <v>0</v>
      </c>
      <c r="F38" s="924">
        <f t="shared" si="7"/>
        <v>0</v>
      </c>
      <c r="G38" s="924">
        <f t="shared" si="7"/>
        <v>0</v>
      </c>
      <c r="H38" s="900"/>
      <c r="I38" s="904" t="str">
        <f>'(G1) Fjalori'!A456</f>
        <v>Qëllime</v>
      </c>
      <c r="J38" s="905" t="str">
        <f>A29</f>
        <v>Shpenzimet kapitale</v>
      </c>
      <c r="K38" s="906"/>
      <c r="L38" s="907"/>
      <c r="M38" s="922">
        <f t="shared" si="10"/>
        <v>0</v>
      </c>
      <c r="N38" s="922">
        <f t="shared" si="10"/>
        <v>0</v>
      </c>
      <c r="O38" s="922">
        <f t="shared" si="10"/>
        <v>0</v>
      </c>
    </row>
    <row r="39" spans="1:15" ht="12.75" x14ac:dyDescent="0.2">
      <c r="A39" s="897" t="str">
        <f t="shared" si="8"/>
        <v>Të tjera transferta korrente të brendshme</v>
      </c>
      <c r="B39" s="1391">
        <f t="shared" si="9"/>
        <v>604</v>
      </c>
      <c r="C39" s="1392"/>
      <c r="D39" s="1393"/>
      <c r="E39" s="924">
        <f t="shared" si="7"/>
        <v>0</v>
      </c>
      <c r="F39" s="924">
        <f t="shared" si="7"/>
        <v>0</v>
      </c>
      <c r="G39" s="924">
        <f t="shared" si="7"/>
        <v>0</v>
      </c>
      <c r="H39" s="900"/>
      <c r="I39" s="898"/>
      <c r="J39" s="905" t="str">
        <f>A24</f>
        <v>Mallra dhe shërbime</v>
      </c>
      <c r="K39" s="906"/>
      <c r="L39" s="907"/>
      <c r="M39" s="922">
        <f t="shared" si="10"/>
        <v>0</v>
      </c>
      <c r="N39" s="922">
        <f t="shared" si="10"/>
        <v>0</v>
      </c>
      <c r="O39" s="922">
        <f t="shared" si="10"/>
        <v>0</v>
      </c>
    </row>
    <row r="40" spans="1:15" ht="12.75" x14ac:dyDescent="0.2">
      <c r="A40" s="897" t="str">
        <f t="shared" si="8"/>
        <v>Transferta korrente të huaja</v>
      </c>
      <c r="B40" s="1391">
        <f t="shared" si="9"/>
        <v>605</v>
      </c>
      <c r="C40" s="1392"/>
      <c r="D40" s="1393"/>
      <c r="E40" s="924">
        <f t="shared" si="7"/>
        <v>0</v>
      </c>
      <c r="F40" s="924">
        <f t="shared" si="7"/>
        <v>0</v>
      </c>
      <c r="G40" s="924">
        <f t="shared" si="7"/>
        <v>0</v>
      </c>
      <c r="H40" s="900"/>
      <c r="I40" s="898"/>
      <c r="J40" s="905" t="str">
        <f>'(G1) Fjalori'!A455</f>
        <v>Qëllime të mëtejshme</v>
      </c>
      <c r="K40" s="906"/>
      <c r="L40" s="907"/>
      <c r="M40" s="922">
        <f t="shared" si="10"/>
        <v>0</v>
      </c>
      <c r="N40" s="922">
        <f t="shared" si="10"/>
        <v>0</v>
      </c>
      <c r="O40" s="922">
        <f t="shared" si="10"/>
        <v>0</v>
      </c>
    </row>
    <row r="41" spans="1:15" ht="12.75" x14ac:dyDescent="0.2">
      <c r="A41" s="897" t="str">
        <f t="shared" si="8"/>
        <v>Transferta për Buxhetet Familiare dhe Individët</v>
      </c>
      <c r="B41" s="1391">
        <f t="shared" si="9"/>
        <v>606</v>
      </c>
      <c r="C41" s="1392"/>
      <c r="D41" s="1393"/>
      <c r="E41" s="924">
        <f t="shared" si="7"/>
        <v>0</v>
      </c>
      <c r="F41" s="924">
        <f t="shared" si="7"/>
        <v>0</v>
      </c>
      <c r="G41" s="924">
        <f t="shared" si="7"/>
        <v>0</v>
      </c>
      <c r="H41" s="900"/>
      <c r="I41" s="898"/>
      <c r="J41" s="1429"/>
      <c r="K41" s="1429"/>
      <c r="L41" s="1429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908" t="str">
        <f t="shared" si="8"/>
        <v>Shpenzimet kapitale</v>
      </c>
      <c r="B42" s="1411" t="str">
        <f t="shared" si="9"/>
        <v>230 / 231</v>
      </c>
      <c r="C42" s="1412"/>
      <c r="D42" s="1413"/>
      <c r="E42" s="924">
        <f t="shared" si="7"/>
        <v>0</v>
      </c>
      <c r="F42" s="924">
        <f t="shared" si="7"/>
        <v>0</v>
      </c>
      <c r="G42" s="924">
        <f t="shared" si="7"/>
        <v>0</v>
      </c>
      <c r="H42" s="900"/>
      <c r="I42" s="892"/>
      <c r="J42" s="892"/>
      <c r="K42" s="892"/>
      <c r="L42" s="892"/>
      <c r="M42" s="892"/>
      <c r="N42" s="892"/>
      <c r="O42" s="892"/>
    </row>
    <row r="43" spans="1:15" ht="12.75" x14ac:dyDescent="0.2">
      <c r="A43" s="897" t="str">
        <f t="shared" si="8"/>
        <v>Rezerva</v>
      </c>
      <c r="B43" s="1391">
        <f t="shared" si="9"/>
        <v>609</v>
      </c>
      <c r="C43" s="1392"/>
      <c r="D43" s="1393"/>
      <c r="E43" s="924">
        <f t="shared" si="7"/>
        <v>0</v>
      </c>
      <c r="F43" s="924">
        <f t="shared" si="7"/>
        <v>0</v>
      </c>
      <c r="G43" s="924">
        <f t="shared" si="7"/>
        <v>0</v>
      </c>
      <c r="H43" s="900"/>
      <c r="I43" s="909" t="str">
        <f>'(G1) Fjalori'!A416</f>
        <v>Shpjegimet teknike</v>
      </c>
      <c r="J43" s="1420"/>
      <c r="K43" s="1421"/>
      <c r="L43" s="1421"/>
      <c r="M43" s="1421"/>
      <c r="N43" s="1421"/>
      <c r="O43" s="1422"/>
    </row>
    <row r="44" spans="1:15" ht="12.75" x14ac:dyDescent="0.2">
      <c r="A44" s="897" t="str">
        <f t="shared" si="8"/>
        <v>Interesa per kredi direkte ose bono</v>
      </c>
      <c r="B44" s="1414">
        <f t="shared" si="9"/>
        <v>650</v>
      </c>
      <c r="C44" s="1415"/>
      <c r="D44" s="1416"/>
      <c r="E44" s="924">
        <f t="shared" si="7"/>
        <v>0</v>
      </c>
      <c r="F44" s="924">
        <f t="shared" si="7"/>
        <v>0</v>
      </c>
      <c r="G44" s="924">
        <f t="shared" si="7"/>
        <v>0</v>
      </c>
      <c r="H44" s="900"/>
      <c r="I44" s="892"/>
      <c r="J44" s="1423"/>
      <c r="K44" s="1424"/>
      <c r="L44" s="1424"/>
      <c r="M44" s="1424"/>
      <c r="N44" s="1424"/>
      <c r="O44" s="1425"/>
    </row>
    <row r="45" spans="1:15" ht="12.75" customHeight="1" x14ac:dyDescent="0.2">
      <c r="A45" s="901" t="str">
        <f t="shared" si="8"/>
        <v>Të tjera</v>
      </c>
      <c r="B45" s="1391" t="str">
        <f t="shared" si="9"/>
        <v>69 / ?</v>
      </c>
      <c r="C45" s="1392"/>
      <c r="D45" s="928" t="str">
        <f>IF(OR(E45&lt;0,F45&lt;0,G45&lt;0),"STOP","OK!")</f>
        <v>OK!</v>
      </c>
      <c r="E45" s="918">
        <f t="shared" si="7"/>
        <v>0</v>
      </c>
      <c r="F45" s="917">
        <f t="shared" si="7"/>
        <v>0</v>
      </c>
      <c r="G45" s="917">
        <f t="shared" si="7"/>
        <v>0</v>
      </c>
      <c r="H45" s="900"/>
      <c r="I45" s="892"/>
      <c r="J45" s="1423"/>
      <c r="K45" s="1424"/>
      <c r="L45" s="1424"/>
      <c r="M45" s="1424"/>
      <c r="N45" s="1424"/>
      <c r="O45" s="1425"/>
    </row>
    <row r="46" spans="1:15" ht="12.75" customHeight="1" x14ac:dyDescent="0.2">
      <c r="A46" s="897" t="str">
        <f>A34</f>
        <v>SHPENZIME KORRENTE</v>
      </c>
      <c r="B46" s="1417"/>
      <c r="C46" s="1418"/>
      <c r="D46" s="1419"/>
      <c r="E46" s="922">
        <f t="shared" si="7"/>
        <v>9835000</v>
      </c>
      <c r="F46" s="922">
        <f t="shared" si="7"/>
        <v>10130000</v>
      </c>
      <c r="G46" s="922">
        <f t="shared" si="7"/>
        <v>10435000</v>
      </c>
      <c r="H46" s="900"/>
      <c r="I46" s="892"/>
      <c r="J46" s="1423"/>
      <c r="K46" s="1424"/>
      <c r="L46" s="1424"/>
      <c r="M46" s="1424"/>
      <c r="N46" s="1424"/>
      <c r="O46" s="1425"/>
    </row>
    <row r="47" spans="1:15" ht="12.75" customHeight="1" x14ac:dyDescent="0.2">
      <c r="A47" s="912"/>
      <c r="B47" s="913"/>
      <c r="C47" s="914"/>
      <c r="D47" s="914"/>
      <c r="E47" s="899"/>
      <c r="F47" s="899"/>
      <c r="G47" s="915"/>
      <c r="H47" s="900"/>
      <c r="I47" s="892"/>
      <c r="J47" s="1423"/>
      <c r="K47" s="1424"/>
      <c r="L47" s="1424"/>
      <c r="M47" s="1424"/>
      <c r="N47" s="1424"/>
      <c r="O47" s="1425"/>
    </row>
    <row r="48" spans="1:15" ht="12.75" customHeight="1" x14ac:dyDescent="0.2">
      <c r="A48" s="910" t="str">
        <f>A18</f>
        <v>SHPENZIME TË PRITSHME</v>
      </c>
      <c r="B48" s="922">
        <f t="shared" ref="B48:G48" si="11">B102+B141+B180+B219+B257+B295</f>
        <v>28558839</v>
      </c>
      <c r="C48" s="922">
        <f t="shared" si="11"/>
        <v>41191090</v>
      </c>
      <c r="D48" s="922">
        <f t="shared" si="11"/>
        <v>23292569</v>
      </c>
      <c r="E48" s="922">
        <f t="shared" si="11"/>
        <v>9835000</v>
      </c>
      <c r="F48" s="922">
        <f t="shared" si="11"/>
        <v>10130000</v>
      </c>
      <c r="G48" s="922">
        <f t="shared" si="11"/>
        <v>10435000</v>
      </c>
      <c r="H48" s="900"/>
      <c r="I48" s="892"/>
      <c r="J48" s="1426"/>
      <c r="K48" s="1427"/>
      <c r="L48" s="1427"/>
      <c r="M48" s="1427"/>
      <c r="N48" s="1427"/>
      <c r="O48" s="1428"/>
    </row>
    <row r="49" spans="1:15" ht="12.75" x14ac:dyDescent="0.2">
      <c r="A49" s="892"/>
      <c r="B49" s="892"/>
      <c r="C49" s="892"/>
      <c r="D49" s="892"/>
      <c r="E49" s="892"/>
      <c r="F49" s="892"/>
      <c r="G49" s="892"/>
      <c r="H49" s="900"/>
      <c r="I49" s="892"/>
      <c r="J49" s="892"/>
      <c r="K49" s="892"/>
      <c r="L49" s="892"/>
      <c r="M49" s="892"/>
      <c r="N49" s="892"/>
      <c r="O49" s="89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9835000</v>
      </c>
      <c r="N52" s="135">
        <f>VLOOKUP($A14,'(D1) Tavanet buxhetore'!$A$7:$R$473,8,FALSE)</f>
        <v>10130000</v>
      </c>
      <c r="O52" s="587">
        <f>VLOOKUP($A14,'(D1) Tavanet buxhetore'!$A$7:$R$473,9,FALSE)</f>
        <v>10435000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9835000</v>
      </c>
      <c r="N53" s="136">
        <f>F18</f>
        <v>10130000</v>
      </c>
      <c r="O53" s="588">
        <f>G18</f>
        <v>10435000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9835000</v>
      </c>
      <c r="N55" s="135">
        <f>VLOOKUP($A14,'(D1) Tavanet buxhetore'!$A$7:$R$473,11,FALSE)</f>
        <v>10130000</v>
      </c>
      <c r="O55" s="587">
        <f>VLOOKUP($A14,'(D1) Tavanet buxhetore'!$A$7:$R$473,12,FALSE)</f>
        <v>10435000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9835000</v>
      </c>
      <c r="N56" s="136">
        <f>F22+F35+F23+F36</f>
        <v>10130000</v>
      </c>
      <c r="O56" s="588">
        <f>G22+G35+G23+G36</f>
        <v>10435000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22</v>
      </c>
      <c r="B66" s="1225" t="str">
        <f t="shared" si="12"/>
        <v>092 Arsimi  parauniversitar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22a</v>
      </c>
      <c r="B67" s="1225" t="str">
        <f>C6</f>
        <v>Arsimi i mesëm i përgjithshëm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Funksionale'!B114</f>
        <v>09230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28558839</v>
      </c>
      <c r="C72" s="769">
        <f>VLOOKUP(A67,'(C1) Shpenzimet vitet e kaluara'!A$9:O$177,9,FALSE)</f>
        <v>41191090</v>
      </c>
      <c r="D72" s="769">
        <f>VLOOKUP(A67,'(C1) Shpenzimet vitet e kaluara'!A$9:O$177,13,FALSE)</f>
        <v>23292569</v>
      </c>
      <c r="E72" s="362">
        <f>E89+E90</f>
        <v>9835000</v>
      </c>
      <c r="F72" s="362">
        <f>F89+F90</f>
        <v>10130000</v>
      </c>
      <c r="G72" s="362">
        <f>G89+G90</f>
        <v>10435000</v>
      </c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>
        <v>9548000</v>
      </c>
      <c r="N77" s="125">
        <v>9548000</v>
      </c>
      <c r="O77" s="125">
        <v>9548000</v>
      </c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9838045</v>
      </c>
      <c r="K80" s="34">
        <f>VLOOKUP($A67,'(C1) Shpenzimet vitet e kaluara'!$A$9:$O$177,11,FALSE)</f>
        <v>10536439</v>
      </c>
      <c r="L80" s="34">
        <f>VLOOKUP($A67,'(C1) Shpenzimet vitet e kaluara'!$A$9:$O$177,15,FALSE)</f>
        <v>9548000</v>
      </c>
      <c r="M80" s="126">
        <f>SUM(M76:M79)</f>
        <v>9548000</v>
      </c>
      <c r="N80" s="126">
        <f>SUM(N76:N79)</f>
        <v>9548000</v>
      </c>
      <c r="O80" s="126">
        <f>SUM(O76:O79)</f>
        <v>9548000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9838045</v>
      </c>
      <c r="K82" s="33">
        <f>K73+K80</f>
        <v>10536439</v>
      </c>
      <c r="L82" s="33">
        <f>L73+L80</f>
        <v>9548000</v>
      </c>
      <c r="M82" s="126">
        <f>M80+M73</f>
        <v>9548000</v>
      </c>
      <c r="N82" s="126">
        <f>N80+N73</f>
        <v>9548000</v>
      </c>
      <c r="O82" s="126">
        <f>O80+O73</f>
        <v>9548000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18720794</v>
      </c>
      <c r="K88" s="780">
        <f t="shared" si="21"/>
        <v>30654651</v>
      </c>
      <c r="L88" s="780">
        <f t="shared" si="21"/>
        <v>13744569</v>
      </c>
      <c r="M88" s="780">
        <f t="shared" si="21"/>
        <v>287000</v>
      </c>
      <c r="N88" s="780">
        <f t="shared" si="21"/>
        <v>582000</v>
      </c>
      <c r="O88" s="780">
        <f t="shared" si="21"/>
        <v>887000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708">
        <v>8192555</v>
      </c>
      <c r="F89" s="708">
        <v>8438290</v>
      </c>
      <c r="G89" s="708">
        <v>8692355</v>
      </c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708">
        <v>1642444.9999999998</v>
      </c>
      <c r="F90" s="708">
        <v>1691709.9999999998</v>
      </c>
      <c r="G90" s="708">
        <v>1742644.9999999998</v>
      </c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708"/>
      <c r="F91" s="708"/>
      <c r="G91" s="708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708"/>
      <c r="F92" s="708"/>
      <c r="G92" s="708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708"/>
      <c r="F93" s="708"/>
      <c r="G93" s="708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708"/>
      <c r="F94" s="708"/>
      <c r="G94" s="708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708"/>
      <c r="F95" s="708"/>
      <c r="G95" s="708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713"/>
      <c r="F96" s="713"/>
      <c r="G96" s="713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708"/>
      <c r="F97" s="708"/>
      <c r="G97" s="708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708"/>
      <c r="F98" s="708"/>
      <c r="G98" s="708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716">
        <f>-E87+E72-(SUM(E89:E98))</f>
        <v>0</v>
      </c>
      <c r="F99" s="717">
        <f>-F87+F72-(SUM(F89:F98))</f>
        <v>0</v>
      </c>
      <c r="G99" s="717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713">
        <f>SUM(E89:E99)</f>
        <v>9835000</v>
      </c>
      <c r="F100" s="713">
        <f>SUM(F89:F99)</f>
        <v>10130000</v>
      </c>
      <c r="G100" s="713">
        <f>SUM(G89:G99)</f>
        <v>10435000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276"/>
      <c r="F101" s="276"/>
      <c r="G101" s="712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28558839</v>
      </c>
      <c r="C102" s="33">
        <f>C72</f>
        <v>41191090</v>
      </c>
      <c r="D102" s="33">
        <f>D72</f>
        <v>23292569</v>
      </c>
      <c r="E102" s="713">
        <f>E87+E100</f>
        <v>9835000</v>
      </c>
      <c r="F102" s="713">
        <f>F87+F100</f>
        <v>10130000</v>
      </c>
      <c r="G102" s="713">
        <f>G87+G100</f>
        <v>10435000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hidden="1" customHeight="1" x14ac:dyDescent="0.2">
      <c r="A105" s="204" t="str">
        <f t="shared" ref="A105:O105" si="22">A66</f>
        <v>Nënfunksioni 22</v>
      </c>
      <c r="B105" s="1225" t="str">
        <f t="shared" si="22"/>
        <v>092 Arsimi  parauniversitar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hidden="1" customHeight="1" x14ac:dyDescent="0.2">
      <c r="A106" s="262" t="str">
        <f>A7</f>
        <v>Programi 22b</v>
      </c>
      <c r="B106" s="1225" t="str">
        <f>C7</f>
        <v>Pagat e stafit mbështetës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hidden="1" customHeight="1" x14ac:dyDescent="0.2">
      <c r="A107" s="562" t="str">
        <f>'(B3) Struktura Funksionale'!B115</f>
        <v>09232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hidden="1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hidden="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hidden="1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hidden="1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333" t="str">
        <f t="shared" ref="I111:O111" si="27">I72</f>
        <v>VLERËSIM I ARDHURAVE NGA TARIFAT</v>
      </c>
      <c r="J111" s="334">
        <f t="shared" si="27"/>
        <v>0</v>
      </c>
      <c r="K111" s="334">
        <f t="shared" si="27"/>
        <v>0</v>
      </c>
      <c r="L111" s="334">
        <f t="shared" si="27"/>
        <v>0</v>
      </c>
      <c r="M111" s="334">
        <f t="shared" si="27"/>
        <v>0</v>
      </c>
      <c r="N111" s="334">
        <f t="shared" si="27"/>
        <v>0</v>
      </c>
      <c r="O111" s="335">
        <f t="shared" si="27"/>
        <v>0</v>
      </c>
    </row>
    <row r="112" spans="1:15" ht="12.75" hidden="1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hidden="1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hidden="1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hidden="1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36"/>
      <c r="F115" s="36"/>
      <c r="G115" s="3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hidden="1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36"/>
      <c r="F116" s="36"/>
      <c r="G116" s="3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hidden="1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36"/>
      <c r="F117" s="36"/>
      <c r="G117" s="3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hidden="1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36"/>
      <c r="F118" s="36"/>
      <c r="G118" s="3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hidden="1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36"/>
      <c r="F119" s="36"/>
      <c r="G119" s="3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hidden="1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36"/>
      <c r="F120" s="36"/>
      <c r="G120" s="36"/>
      <c r="H120" s="52"/>
    </row>
    <row r="121" spans="1:15" ht="12.75" hidden="1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36"/>
      <c r="F121" s="36"/>
      <c r="G121" s="3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hidden="1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hidden="1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36"/>
      <c r="F123" s="36"/>
      <c r="G123" s="36"/>
      <c r="H123" s="52"/>
    </row>
    <row r="124" spans="1:15" ht="12.75" hidden="1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36"/>
      <c r="F124" s="36"/>
      <c r="G124" s="36"/>
      <c r="H124" s="52"/>
    </row>
    <row r="125" spans="1:15" ht="12.75" hidden="1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36"/>
      <c r="F125" s="36"/>
      <c r="G125" s="3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hidden="1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hidden="1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hidden="1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hidden="1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hidden="1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hidden="1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hidden="1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hidden="1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hidden="1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hidden="1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hidden="1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hidden="1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hidden="1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hidden="1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hidden="1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hidden="1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2" spans="1:15" ht="17.25" hidden="1" customHeight="1" x14ac:dyDescent="0.2"/>
    <row r="143" spans="1:15" ht="17.25" hidden="1" customHeight="1" x14ac:dyDescent="0.2"/>
    <row r="144" spans="1:15" ht="17.25" customHeight="1" x14ac:dyDescent="0.2">
      <c r="A144" s="204" t="str">
        <f t="shared" ref="A144:O144" si="33">A66</f>
        <v>Nënfunksioni 22</v>
      </c>
      <c r="B144" s="1225" t="str">
        <f t="shared" si="33"/>
        <v>092 Arsimi  parauniversitar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22c</v>
      </c>
      <c r="B145" s="1225" t="str">
        <f>C8</f>
        <v>Arsimi profesional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 t="str">
        <f>'(B3) Struktura Funksionale'!B116</f>
        <v>09240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780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785"/>
      <c r="N170" s="785"/>
      <c r="O170" s="786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785"/>
      <c r="N171" s="785"/>
      <c r="O171" s="786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x14ac:dyDescent="0.2">
      <c r="A183" s="204" t="str">
        <f t="shared" ref="A183:O183" si="44">A66</f>
        <v>Nënfunksioni 22</v>
      </c>
      <c r="B183" s="1225" t="str">
        <f t="shared" si="44"/>
        <v>092 Arsimi  parauniversitar</v>
      </c>
      <c r="C183" s="1225">
        <f t="shared" si="44"/>
        <v>0</v>
      </c>
      <c r="D183" s="1225">
        <f t="shared" si="44"/>
        <v>0</v>
      </c>
      <c r="E183" s="1225">
        <f t="shared" si="44"/>
        <v>0</v>
      </c>
      <c r="F183" s="1225">
        <f t="shared" si="44"/>
        <v>0</v>
      </c>
      <c r="G183" s="1225">
        <f t="shared" si="44"/>
        <v>0</v>
      </c>
      <c r="H183" s="1225">
        <f t="shared" si="44"/>
        <v>0</v>
      </c>
      <c r="I183" s="1225">
        <f t="shared" si="44"/>
        <v>0</v>
      </c>
      <c r="J183" s="1225">
        <f t="shared" si="44"/>
        <v>0</v>
      </c>
      <c r="K183" s="1225">
        <f t="shared" si="44"/>
        <v>0</v>
      </c>
      <c r="L183" s="1225">
        <f t="shared" si="44"/>
        <v>0</v>
      </c>
      <c r="M183" s="1225">
        <f t="shared" si="44"/>
        <v>0</v>
      </c>
      <c r="N183" s="1225">
        <f t="shared" si="44"/>
        <v>0</v>
      </c>
      <c r="O183" s="1225">
        <f t="shared" si="44"/>
        <v>0</v>
      </c>
    </row>
    <row r="184" spans="1:15" ht="18.75" x14ac:dyDescent="0.2">
      <c r="A184" s="262" t="str">
        <f>A9</f>
        <v>Programi 22d</v>
      </c>
      <c r="B184" s="1225">
        <f>C9</f>
        <v>0</v>
      </c>
      <c r="C184" s="1225" t="e">
        <f>#REF!</f>
        <v>#REF!</v>
      </c>
      <c r="D184" s="1225" t="e">
        <f>#REF!</f>
        <v>#REF!</v>
      </c>
      <c r="E184" s="1225" t="e">
        <f>#REF!</f>
        <v>#REF!</v>
      </c>
      <c r="F184" s="1225" t="e">
        <f>#REF!</f>
        <v>#REF!</v>
      </c>
      <c r="G184" s="1225" t="e">
        <f>#REF!</f>
        <v>#REF!</v>
      </c>
      <c r="H184" s="1225" t="e">
        <f>#REF!</f>
        <v>#REF!</v>
      </c>
      <c r="I184" s="1225" t="e">
        <f>#REF!</f>
        <v>#REF!</v>
      </c>
      <c r="J184" s="1225" t="e">
        <f>#REF!</f>
        <v>#REF!</v>
      </c>
      <c r="K184" s="1225" t="e">
        <f>#REF!</f>
        <v>#REF!</v>
      </c>
      <c r="L184" s="1225" t="e">
        <f>#REF!</f>
        <v>#REF!</v>
      </c>
      <c r="M184" s="1225" t="e">
        <f>#REF!</f>
        <v>#REF!</v>
      </c>
      <c r="N184" s="1225" t="e">
        <f>#REF!</f>
        <v>#REF!</v>
      </c>
      <c r="O184" s="1225" t="e">
        <f>#REF!</f>
        <v>#REF!</v>
      </c>
    </row>
    <row r="185" spans="1:15" ht="18.75" x14ac:dyDescent="0.2">
      <c r="A185" s="562">
        <f>'(B3) Struktura Funksionale'!B117</f>
        <v>0</v>
      </c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6"/>
    </row>
    <row r="186" spans="1:15" ht="22.5" customHeight="1" x14ac:dyDescent="0.2">
      <c r="A186" s="1252" t="str">
        <f t="shared" ref="A186:G186" si="45">A69</f>
        <v>SHPENZIME TË PRITSHME</v>
      </c>
      <c r="B186" s="1253">
        <f t="shared" si="45"/>
        <v>0</v>
      </c>
      <c r="C186" s="1253">
        <f t="shared" si="45"/>
        <v>0</v>
      </c>
      <c r="D186" s="1253">
        <f t="shared" si="45"/>
        <v>0</v>
      </c>
      <c r="E186" s="1253">
        <f t="shared" si="45"/>
        <v>0</v>
      </c>
      <c r="F186" s="1253">
        <f t="shared" si="45"/>
        <v>0</v>
      </c>
      <c r="G186" s="1254">
        <f t="shared" si="45"/>
        <v>0</v>
      </c>
      <c r="H186" s="128"/>
      <c r="I186" s="1255" t="str">
        <f t="shared" ref="I186:O186" si="46">I69</f>
        <v xml:space="preserve">TË ARDHURAT E PRITSHME </v>
      </c>
      <c r="J186" s="1253">
        <f t="shared" si="46"/>
        <v>0</v>
      </c>
      <c r="K186" s="1253">
        <f t="shared" si="46"/>
        <v>0</v>
      </c>
      <c r="L186" s="1253">
        <f t="shared" si="46"/>
        <v>0</v>
      </c>
      <c r="M186" s="1253">
        <f t="shared" si="46"/>
        <v>0</v>
      </c>
      <c r="N186" s="1253">
        <f t="shared" si="46"/>
        <v>0</v>
      </c>
      <c r="O186" s="1254">
        <f t="shared" si="46"/>
        <v>0</v>
      </c>
    </row>
    <row r="187" spans="1:15" ht="21.75" customHeight="1" x14ac:dyDescent="0.2">
      <c r="A187" s="202"/>
      <c r="B187" s="363">
        <f t="shared" ref="B187:G187" si="47">B70</f>
        <v>2019</v>
      </c>
      <c r="C187" s="363">
        <f t="shared" si="47"/>
        <v>2020</v>
      </c>
      <c r="D187" s="363">
        <f t="shared" si="47"/>
        <v>2021</v>
      </c>
      <c r="E187" s="238">
        <f t="shared" si="47"/>
        <v>2022</v>
      </c>
      <c r="F187" s="238">
        <f t="shared" si="47"/>
        <v>2023</v>
      </c>
      <c r="G187" s="238">
        <f t="shared" si="47"/>
        <v>2024</v>
      </c>
      <c r="H187" s="203"/>
      <c r="I187" s="360"/>
      <c r="J187" s="363">
        <f t="shared" ref="J187:O187" si="48">J70</f>
        <v>2019</v>
      </c>
      <c r="K187" s="363">
        <f t="shared" si="48"/>
        <v>2020</v>
      </c>
      <c r="L187" s="363">
        <f t="shared" si="48"/>
        <v>2021</v>
      </c>
      <c r="M187" s="238">
        <f t="shared" si="48"/>
        <v>2022</v>
      </c>
      <c r="N187" s="238">
        <f t="shared" si="48"/>
        <v>2023</v>
      </c>
      <c r="O187" s="238">
        <f t="shared" si="48"/>
        <v>2024</v>
      </c>
    </row>
    <row r="188" spans="1:15" ht="12.75" x14ac:dyDescent="0.2">
      <c r="A188" s="377"/>
      <c r="B188" s="370"/>
      <c r="C188" s="303"/>
      <c r="D188" s="304"/>
      <c r="E188" s="378"/>
      <c r="F188" s="378"/>
      <c r="G188" s="379"/>
      <c r="H188" s="128"/>
      <c r="I188" s="302"/>
      <c r="J188" s="1250"/>
      <c r="K188" s="1250"/>
      <c r="L188" s="375"/>
      <c r="M188" s="375"/>
      <c r="N188" s="375"/>
      <c r="O188" s="376"/>
    </row>
    <row r="189" spans="1:15" ht="12.75" x14ac:dyDescent="0.2">
      <c r="A189" s="134" t="str">
        <f>A72</f>
        <v>SHPENZIME TË PRITSHME</v>
      </c>
      <c r="B189" s="33">
        <f>VLOOKUP(A184,'(C1) Shpenzimet vitet e kaluara'!A$9:O$177,5,FALSE)</f>
        <v>0</v>
      </c>
      <c r="C189" s="33">
        <f>VLOOKUP(A184,'(C1) Shpenzimet vitet e kaluara'!A$9:O$177,9,FALSE)</f>
        <v>0</v>
      </c>
      <c r="D189" s="33">
        <f>VLOOKUP(A184,'(C1) Shpenzimet vitet e kaluara'!A$9:O$177,13,FALSE)</f>
        <v>0</v>
      </c>
      <c r="E189" s="36"/>
      <c r="F189" s="36"/>
      <c r="G189" s="36"/>
      <c r="H189" s="128"/>
      <c r="I189" s="1226" t="str">
        <f t="shared" ref="I189:O189" si="49">I72</f>
        <v>VLERËSIM I ARDHURAVE NGA TARIFAT</v>
      </c>
      <c r="J189" s="1227">
        <f t="shared" si="49"/>
        <v>0</v>
      </c>
      <c r="K189" s="1227">
        <f t="shared" si="49"/>
        <v>0</v>
      </c>
      <c r="L189" s="1227">
        <f t="shared" si="49"/>
        <v>0</v>
      </c>
      <c r="M189" s="1227">
        <f t="shared" si="49"/>
        <v>0</v>
      </c>
      <c r="N189" s="1227">
        <f t="shared" si="49"/>
        <v>0</v>
      </c>
      <c r="O189" s="1228">
        <f t="shared" si="49"/>
        <v>0</v>
      </c>
    </row>
    <row r="190" spans="1:15" ht="12.75" x14ac:dyDescent="0.2">
      <c r="A190" s="122"/>
      <c r="B190" s="201"/>
      <c r="C190" s="123"/>
      <c r="D190" s="123"/>
      <c r="E190" s="10"/>
      <c r="F190" s="10"/>
      <c r="G190" s="130"/>
      <c r="H190" s="10"/>
      <c r="I190" s="134" t="str">
        <f>I73</f>
        <v>VLERËSIM I ARDHURAVE NGA TARIFAT</v>
      </c>
      <c r="J190" s="34">
        <f>VLOOKUP($A184,'(C1) Shpenzimet vitet e kaluara'!$A$9:$O$177,6,FALSE)</f>
        <v>0</v>
      </c>
      <c r="K190" s="34">
        <f>VLOOKUP($A184,'(C1) Shpenzimet vitet e kaluara'!$A$9:$O$177,10,FALSE)</f>
        <v>0</v>
      </c>
      <c r="L190" s="34">
        <f>VLOOKUP($A184,'(C1) Shpenzimet vitet e kaluara'!$A$9:$O$177,14,FALSE)</f>
        <v>0</v>
      </c>
      <c r="M190" s="36"/>
      <c r="N190" s="36"/>
      <c r="O190" s="36"/>
    </row>
    <row r="191" spans="1:15" ht="12.75" x14ac:dyDescent="0.2">
      <c r="A191" s="1232" t="str">
        <f t="shared" ref="A191:G192" si="50">A74</f>
        <v>SHPENZIME TË PRITSHME</v>
      </c>
      <c r="B191" s="1233">
        <f t="shared" si="50"/>
        <v>0</v>
      </c>
      <c r="C191" s="1233">
        <f t="shared" si="50"/>
        <v>0</v>
      </c>
      <c r="D191" s="1233">
        <f t="shared" si="50"/>
        <v>0</v>
      </c>
      <c r="E191" s="1233">
        <f t="shared" si="50"/>
        <v>0</v>
      </c>
      <c r="F191" s="1233">
        <f t="shared" si="50"/>
        <v>0</v>
      </c>
      <c r="G191" s="1234">
        <f t="shared" si="50"/>
        <v>0</v>
      </c>
      <c r="H191" s="10"/>
    </row>
    <row r="192" spans="1:15" ht="12.75" x14ac:dyDescent="0.2">
      <c r="A192" s="1226" t="str">
        <f t="shared" si="50"/>
        <v>KOSTO DIREKTE PËR PROJEKTET DHE SHPENZIMET KAPITALE</v>
      </c>
      <c r="B192" s="1227">
        <f t="shared" si="50"/>
        <v>0</v>
      </c>
      <c r="C192" s="1227">
        <f t="shared" si="50"/>
        <v>0</v>
      </c>
      <c r="D192" s="1227">
        <f t="shared" si="50"/>
        <v>0</v>
      </c>
      <c r="E192" s="1227">
        <f t="shared" si="50"/>
        <v>0</v>
      </c>
      <c r="F192" s="1227">
        <f t="shared" si="50"/>
        <v>0</v>
      </c>
      <c r="G192" s="1228">
        <f t="shared" si="50"/>
        <v>0</v>
      </c>
      <c r="H192" s="30"/>
      <c r="I192" s="1226" t="str">
        <f t="shared" ref="I192:I197" si="51">I75</f>
        <v>VLERËSIMI I TË ARDHURAVE ME DESTINACION</v>
      </c>
      <c r="J192" s="1227"/>
      <c r="K192" s="1227"/>
      <c r="L192" s="1227"/>
      <c r="M192" s="1227"/>
      <c r="N192" s="1227"/>
      <c r="O192" s="1228"/>
    </row>
    <row r="193" spans="1:15" ht="12.75" x14ac:dyDescent="0.2">
      <c r="A193" s="121" t="str">
        <f t="shared" ref="A193:D215" si="52">A76</f>
        <v>Pagat</v>
      </c>
      <c r="B193" s="1229">
        <f t="shared" si="52"/>
        <v>600</v>
      </c>
      <c r="C193" s="1230">
        <f t="shared" si="52"/>
        <v>0</v>
      </c>
      <c r="D193" s="1231">
        <f t="shared" si="52"/>
        <v>0</v>
      </c>
      <c r="E193" s="126"/>
      <c r="F193" s="126"/>
      <c r="G193" s="126"/>
      <c r="H193" s="30"/>
      <c r="I193" s="339" t="str">
        <f t="shared" si="51"/>
        <v>Transferta e kushtëzuar</v>
      </c>
      <c r="J193" s="336"/>
      <c r="K193" s="338"/>
      <c r="L193" s="337"/>
      <c r="M193" s="125"/>
      <c r="N193" s="125"/>
      <c r="O193" s="129"/>
    </row>
    <row r="194" spans="1:15" ht="12.75" x14ac:dyDescent="0.2">
      <c r="A194" s="121" t="str">
        <f t="shared" si="52"/>
        <v>Sigurimet Shoqërore</v>
      </c>
      <c r="B194" s="1229">
        <f t="shared" si="52"/>
        <v>601</v>
      </c>
      <c r="C194" s="1230">
        <f t="shared" si="52"/>
        <v>0</v>
      </c>
      <c r="D194" s="1231">
        <f t="shared" si="52"/>
        <v>0</v>
      </c>
      <c r="E194" s="126"/>
      <c r="F194" s="126"/>
      <c r="G194" s="126"/>
      <c r="H194" s="30"/>
      <c r="I194" s="339" t="str">
        <f t="shared" si="51"/>
        <v>Trasferta Specifike</v>
      </c>
      <c r="J194" s="336"/>
      <c r="K194" s="338"/>
      <c r="L194" s="337"/>
      <c r="M194" s="125"/>
      <c r="N194" s="125"/>
      <c r="O194" s="129"/>
    </row>
    <row r="195" spans="1:15" ht="12.75" x14ac:dyDescent="0.2">
      <c r="A195" s="121" t="str">
        <f t="shared" si="52"/>
        <v>Mallra dhe shërbime</v>
      </c>
      <c r="B195" s="1229">
        <f t="shared" si="52"/>
        <v>602</v>
      </c>
      <c r="C195" s="1230">
        <f t="shared" si="52"/>
        <v>0</v>
      </c>
      <c r="D195" s="1231">
        <f t="shared" si="52"/>
        <v>0</v>
      </c>
      <c r="E195" s="126"/>
      <c r="F195" s="126"/>
      <c r="G195" s="126"/>
      <c r="H195" s="52"/>
      <c r="I195" s="339" t="str">
        <f t="shared" si="51"/>
        <v>Trashëgimi me destinacion</v>
      </c>
      <c r="J195" s="336"/>
      <c r="K195" s="338"/>
      <c r="L195" s="337"/>
      <c r="M195" s="264">
        <f>VLOOKUP($A184,'(C4) Trashëgimi me destinacion'!$A$8:$F$168,4,FALSE)</f>
        <v>0</v>
      </c>
      <c r="N195" s="479">
        <f>VLOOKUP($A184,'(C4) Trashëgimi me destinacion'!$A$8:$F$168,5,FALSE)</f>
        <v>0</v>
      </c>
      <c r="O195" s="479">
        <f>VLOOKUP($A184,'(C4) Trashëgimi me destinacion'!$A$8:$F$168,6,FALSE)</f>
        <v>0</v>
      </c>
    </row>
    <row r="196" spans="1:15" ht="12.75" x14ac:dyDescent="0.2">
      <c r="A196" s="121" t="str">
        <f t="shared" si="52"/>
        <v>Subvencione</v>
      </c>
      <c r="B196" s="1229">
        <f t="shared" si="52"/>
        <v>603</v>
      </c>
      <c r="C196" s="1230">
        <f t="shared" si="52"/>
        <v>0</v>
      </c>
      <c r="D196" s="1231">
        <f t="shared" si="52"/>
        <v>0</v>
      </c>
      <c r="E196" s="126"/>
      <c r="F196" s="126"/>
      <c r="G196" s="126"/>
      <c r="H196" s="8"/>
      <c r="I196" s="339" t="str">
        <f t="shared" si="51"/>
        <v>Burime të tjera (përfshirë gjobat)</v>
      </c>
      <c r="J196" s="336"/>
      <c r="K196" s="338"/>
      <c r="L196" s="337"/>
      <c r="M196" s="125"/>
      <c r="N196" s="125"/>
      <c r="O196" s="129"/>
    </row>
    <row r="197" spans="1:15" ht="12.75" x14ac:dyDescent="0.2">
      <c r="A197" s="121" t="str">
        <f t="shared" si="52"/>
        <v>Të tjera transferta korrente të brendshme</v>
      </c>
      <c r="B197" s="1229">
        <f t="shared" si="52"/>
        <v>604</v>
      </c>
      <c r="C197" s="1230">
        <f t="shared" si="52"/>
        <v>0</v>
      </c>
      <c r="D197" s="1231">
        <f t="shared" si="52"/>
        <v>0</v>
      </c>
      <c r="E197" s="126"/>
      <c r="F197" s="126"/>
      <c r="G197" s="126"/>
      <c r="H197" s="52"/>
      <c r="I197" s="339" t="str">
        <f t="shared" si="51"/>
        <v>VLERËSIMI I TË ARDHURAVE ME DESTINACION</v>
      </c>
      <c r="J197" s="34">
        <f>VLOOKUP($A184,'(C1) Shpenzimet vitet e kaluara'!$A$9:$O$177,7,FALSE)</f>
        <v>0</v>
      </c>
      <c r="K197" s="34">
        <f>VLOOKUP($A184,'(C1) Shpenzimet vitet e kaluara'!$A$9:$O$177,11,FALSE)</f>
        <v>0</v>
      </c>
      <c r="L197" s="34">
        <f>VLOOKUP($A184,'(C1) Shpenzimet vitet e kaluara'!$A$9:$O$177,15,FALSE)</f>
        <v>0</v>
      </c>
      <c r="M197" s="126">
        <f>SUM(M193:M196)</f>
        <v>0</v>
      </c>
      <c r="N197" s="126">
        <f>SUM(N193:N196)</f>
        <v>0</v>
      </c>
      <c r="O197" s="126">
        <f>SUM(O193:O196)</f>
        <v>0</v>
      </c>
    </row>
    <row r="198" spans="1:15" ht="12.75" x14ac:dyDescent="0.2">
      <c r="A198" s="121" t="str">
        <f t="shared" si="52"/>
        <v>Transferta korrente të huaja</v>
      </c>
      <c r="B198" s="1229">
        <f t="shared" si="52"/>
        <v>605</v>
      </c>
      <c r="C198" s="1230">
        <f t="shared" si="52"/>
        <v>0</v>
      </c>
      <c r="D198" s="1231">
        <f t="shared" si="52"/>
        <v>0</v>
      </c>
      <c r="E198" s="126"/>
      <c r="F198" s="126"/>
      <c r="G198" s="126"/>
      <c r="H198" s="52"/>
    </row>
    <row r="199" spans="1:15" ht="12.75" x14ac:dyDescent="0.2">
      <c r="A199" s="121" t="str">
        <f t="shared" si="52"/>
        <v>Transferta për Buxhetet Familiare dhe Individët</v>
      </c>
      <c r="B199" s="1229">
        <f t="shared" si="52"/>
        <v>606</v>
      </c>
      <c r="C199" s="1230">
        <f t="shared" si="52"/>
        <v>0</v>
      </c>
      <c r="D199" s="1231">
        <f t="shared" si="52"/>
        <v>0</v>
      </c>
      <c r="E199" s="126"/>
      <c r="F199" s="126"/>
      <c r="G199" s="126"/>
      <c r="H199" s="52"/>
      <c r="I199" s="134" t="str">
        <f>I82</f>
        <v xml:space="preserve">TË ARDHURAT E PRITSHME </v>
      </c>
      <c r="J199" s="33">
        <f>J190+J197</f>
        <v>0</v>
      </c>
      <c r="K199" s="33">
        <f>K190+K197</f>
        <v>0</v>
      </c>
      <c r="L199" s="33">
        <f>L190+L197</f>
        <v>0</v>
      </c>
      <c r="M199" s="126">
        <f>M197+M190</f>
        <v>0</v>
      </c>
      <c r="N199" s="126">
        <f>N197+N190</f>
        <v>0</v>
      </c>
      <c r="O199" s="126">
        <f>O197+O190</f>
        <v>0</v>
      </c>
    </row>
    <row r="200" spans="1:15" ht="12.75" x14ac:dyDescent="0.2">
      <c r="A200" s="121" t="str">
        <f t="shared" si="52"/>
        <v>Shpenzimet kapitale</v>
      </c>
      <c r="B200" s="1229" t="str">
        <f t="shared" si="52"/>
        <v>230 / 231</v>
      </c>
      <c r="C200" s="1230">
        <f t="shared" si="52"/>
        <v>0</v>
      </c>
      <c r="D200" s="1231">
        <f t="shared" si="52"/>
        <v>0</v>
      </c>
      <c r="E200" s="36"/>
      <c r="F200" s="36"/>
      <c r="G200" s="36"/>
      <c r="H200" s="52"/>
    </row>
    <row r="201" spans="1:15" ht="12.75" x14ac:dyDescent="0.2">
      <c r="A201" s="121" t="str">
        <f t="shared" si="52"/>
        <v>Rezerva</v>
      </c>
      <c r="B201" s="1229">
        <f t="shared" si="52"/>
        <v>609</v>
      </c>
      <c r="C201" s="1230">
        <f t="shared" si="52"/>
        <v>0</v>
      </c>
      <c r="D201" s="1231">
        <f t="shared" si="52"/>
        <v>0</v>
      </c>
      <c r="E201" s="126"/>
      <c r="F201" s="126"/>
      <c r="G201" s="126"/>
      <c r="H201" s="52"/>
    </row>
    <row r="202" spans="1:15" ht="12.75" x14ac:dyDescent="0.2">
      <c r="A202" s="121" t="str">
        <f t="shared" si="52"/>
        <v>Interesa per kredi direkte ose bono</v>
      </c>
      <c r="B202" s="1229">
        <f t="shared" si="52"/>
        <v>650</v>
      </c>
      <c r="C202" s="1230">
        <f t="shared" si="52"/>
        <v>0</v>
      </c>
      <c r="D202" s="1231">
        <f t="shared" si="52"/>
        <v>0</v>
      </c>
      <c r="E202" s="126"/>
      <c r="F202" s="126"/>
      <c r="G202" s="126"/>
      <c r="H202" s="52"/>
    </row>
    <row r="203" spans="1:15" ht="12.75" x14ac:dyDescent="0.2">
      <c r="A203" s="121" t="str">
        <f t="shared" si="52"/>
        <v>Të tjera</v>
      </c>
      <c r="B203" s="1229" t="str">
        <f t="shared" si="52"/>
        <v>69 / ?</v>
      </c>
      <c r="C203" s="1230">
        <f t="shared" si="52"/>
        <v>0</v>
      </c>
      <c r="D203" s="1231">
        <f t="shared" si="52"/>
        <v>0</v>
      </c>
      <c r="E203" s="126"/>
      <c r="F203" s="126"/>
      <c r="G203" s="126"/>
      <c r="H203" s="52"/>
      <c r="I203" s="1235" t="str">
        <f t="shared" ref="I203:O204" si="53">I86</f>
        <v>SHUMA E KËRKUAR NETO</v>
      </c>
      <c r="J203" s="1236">
        <f t="shared" si="53"/>
        <v>0</v>
      </c>
      <c r="K203" s="1236">
        <f t="shared" si="53"/>
        <v>0</v>
      </c>
      <c r="L203" s="1236">
        <f t="shared" si="53"/>
        <v>0</v>
      </c>
      <c r="M203" s="1236">
        <f t="shared" si="53"/>
        <v>0</v>
      </c>
      <c r="N203" s="1236">
        <f t="shared" si="53"/>
        <v>0</v>
      </c>
      <c r="O203" s="1237">
        <f t="shared" si="53"/>
        <v>0</v>
      </c>
    </row>
    <row r="204" spans="1:15" ht="12.75" customHeight="1" x14ac:dyDescent="0.2">
      <c r="A204" s="268" t="str">
        <f t="shared" si="52"/>
        <v>KOSTO DIREKTE PËR PROJEKTET DHE SHPENZIMET KAPITALE</v>
      </c>
      <c r="B204" s="1229">
        <f t="shared" si="52"/>
        <v>0</v>
      </c>
      <c r="C204" s="1230">
        <f t="shared" si="52"/>
        <v>0</v>
      </c>
      <c r="D204" s="1231">
        <f t="shared" si="52"/>
        <v>0</v>
      </c>
      <c r="E204" s="126">
        <f>SUM(E193:E203)</f>
        <v>0</v>
      </c>
      <c r="F204" s="126">
        <f>SUM(F193:F203)</f>
        <v>0</v>
      </c>
      <c r="G204" s="126">
        <f>SUM(G193:G203)</f>
        <v>0</v>
      </c>
      <c r="H204" s="52"/>
      <c r="I204" s="1238">
        <f t="shared" si="53"/>
        <v>0</v>
      </c>
      <c r="J204" s="1239">
        <f t="shared" si="53"/>
        <v>0</v>
      </c>
      <c r="K204" s="1239">
        <f t="shared" si="53"/>
        <v>0</v>
      </c>
      <c r="L204" s="1239">
        <f t="shared" si="53"/>
        <v>0</v>
      </c>
      <c r="M204" s="1239">
        <f t="shared" si="53"/>
        <v>0</v>
      </c>
      <c r="N204" s="1239">
        <f t="shared" si="53"/>
        <v>0</v>
      </c>
      <c r="O204" s="1240">
        <f t="shared" si="53"/>
        <v>0</v>
      </c>
    </row>
    <row r="205" spans="1:15" ht="12.75" x14ac:dyDescent="0.2">
      <c r="A205" s="1226" t="str">
        <f t="shared" si="52"/>
        <v>SHPENZIME KORRENTE</v>
      </c>
      <c r="B205" s="1227">
        <f t="shared" si="52"/>
        <v>0</v>
      </c>
      <c r="C205" s="1227">
        <f t="shared" si="52"/>
        <v>0</v>
      </c>
      <c r="D205" s="1227">
        <f t="shared" si="52"/>
        <v>0</v>
      </c>
      <c r="E205" s="1227">
        <f>E88</f>
        <v>0</v>
      </c>
      <c r="F205" s="1227">
        <f>F88</f>
        <v>0</v>
      </c>
      <c r="G205" s="1228">
        <f>G88</f>
        <v>0</v>
      </c>
      <c r="H205" s="52"/>
      <c r="I205" s="17" t="str">
        <f>I88</f>
        <v>SHUMA E KËRKUAR NETO</v>
      </c>
      <c r="J205" s="18">
        <f t="shared" ref="J205:O205" si="54">B189-J199</f>
        <v>0</v>
      </c>
      <c r="K205" s="18">
        <f t="shared" si="54"/>
        <v>0</v>
      </c>
      <c r="L205" s="18">
        <f t="shared" si="54"/>
        <v>0</v>
      </c>
      <c r="M205" s="18">
        <f t="shared" si="54"/>
        <v>0</v>
      </c>
      <c r="N205" s="18">
        <f t="shared" si="54"/>
        <v>0</v>
      </c>
      <c r="O205" s="18">
        <f t="shared" si="54"/>
        <v>0</v>
      </c>
    </row>
    <row r="206" spans="1:15" ht="12.75" x14ac:dyDescent="0.2">
      <c r="A206" s="121" t="str">
        <f t="shared" si="52"/>
        <v>Pagat</v>
      </c>
      <c r="B206" s="1229">
        <f t="shared" si="52"/>
        <v>600</v>
      </c>
      <c r="C206" s="1230">
        <f t="shared" si="52"/>
        <v>0</v>
      </c>
      <c r="D206" s="1231">
        <f t="shared" si="52"/>
        <v>0</v>
      </c>
      <c r="E206" s="36"/>
      <c r="F206" s="36"/>
      <c r="G206" s="36"/>
      <c r="H206" s="52"/>
      <c r="I206" s="52"/>
      <c r="J206" s="52"/>
      <c r="K206" s="52"/>
      <c r="L206" s="14"/>
      <c r="M206" s="53"/>
    </row>
    <row r="207" spans="1:15" ht="12.75" x14ac:dyDescent="0.2">
      <c r="A207" s="121" t="str">
        <f t="shared" si="52"/>
        <v>Sigurimet Shoqërore</v>
      </c>
      <c r="B207" s="1229">
        <f t="shared" si="52"/>
        <v>601</v>
      </c>
      <c r="C207" s="1230">
        <f t="shared" si="52"/>
        <v>0</v>
      </c>
      <c r="D207" s="1231">
        <f t="shared" si="52"/>
        <v>0</v>
      </c>
      <c r="E207" s="36"/>
      <c r="F207" s="36"/>
      <c r="G207" s="36"/>
      <c r="H207" s="52"/>
    </row>
    <row r="208" spans="1:15" ht="12.75" x14ac:dyDescent="0.2">
      <c r="A208" s="121" t="str">
        <f t="shared" si="52"/>
        <v>Mallra dhe shërbime</v>
      </c>
      <c r="B208" s="1229">
        <f t="shared" si="52"/>
        <v>602</v>
      </c>
      <c r="C208" s="1230">
        <f t="shared" si="52"/>
        <v>0</v>
      </c>
      <c r="D208" s="1231">
        <f t="shared" si="52"/>
        <v>0</v>
      </c>
      <c r="E208" s="36"/>
      <c r="F208" s="36"/>
      <c r="G208" s="36"/>
      <c r="H208" s="52"/>
      <c r="I208" s="239" t="str">
        <f>I169</f>
        <v>Angazhimet</v>
      </c>
      <c r="J208" s="1290" t="str">
        <f>J169</f>
        <v>Vlera Totale për Aktivitet</v>
      </c>
      <c r="K208" s="1291"/>
      <c r="L208" s="1292"/>
      <c r="M208" s="126">
        <f>VLOOKUP($A184,'(C5) Angazhimet'!$A$8:$F$168,4,FALSE)</f>
        <v>0</v>
      </c>
      <c r="N208" s="126">
        <f>VLOOKUP($A184,'(C5) Angazhimet'!$A$8:$F$168,5,FALSE)</f>
        <v>0</v>
      </c>
      <c r="O208" s="126">
        <f>VLOOKUP($A184,'(C5) Angazhimet'!$A$8:$F$168,6,FALSE)</f>
        <v>0</v>
      </c>
    </row>
    <row r="209" spans="1:15" ht="12.75" x14ac:dyDescent="0.2">
      <c r="A209" s="121" t="str">
        <f t="shared" si="52"/>
        <v>Subvencione</v>
      </c>
      <c r="B209" s="1229">
        <f t="shared" si="52"/>
        <v>603</v>
      </c>
      <c r="C209" s="1230">
        <f t="shared" si="52"/>
        <v>0</v>
      </c>
      <c r="D209" s="1231">
        <f t="shared" si="52"/>
        <v>0</v>
      </c>
      <c r="E209" s="36"/>
      <c r="F209" s="36"/>
      <c r="G209" s="36"/>
      <c r="H209" s="52"/>
      <c r="I209" s="279" t="str">
        <f>I170</f>
        <v>Qëllime</v>
      </c>
      <c r="J209" s="1290" t="str">
        <f>J170</f>
        <v>Shpenzimet kapitale</v>
      </c>
      <c r="K209" s="1291"/>
      <c r="L209" s="1292"/>
      <c r="M209" s="125"/>
      <c r="N209" s="125"/>
      <c r="O209" s="129"/>
    </row>
    <row r="210" spans="1:15" ht="12.75" x14ac:dyDescent="0.2">
      <c r="A210" s="121" t="str">
        <f t="shared" si="52"/>
        <v>Të tjera transferta korrente të brendshme</v>
      </c>
      <c r="B210" s="1229">
        <f t="shared" si="52"/>
        <v>604</v>
      </c>
      <c r="C210" s="1230">
        <f t="shared" si="52"/>
        <v>0</v>
      </c>
      <c r="D210" s="1231">
        <f t="shared" si="52"/>
        <v>0</v>
      </c>
      <c r="E210" s="36"/>
      <c r="F210" s="36"/>
      <c r="G210" s="36"/>
      <c r="H210" s="52"/>
      <c r="I210" s="276"/>
      <c r="J210" s="1290" t="str">
        <f>J171</f>
        <v>Mallra dhe shërbime</v>
      </c>
      <c r="K210" s="1291"/>
      <c r="L210" s="1292"/>
      <c r="M210" s="125"/>
      <c r="N210" s="125"/>
      <c r="O210" s="129"/>
    </row>
    <row r="211" spans="1:15" ht="12.75" x14ac:dyDescent="0.2">
      <c r="A211" s="121" t="str">
        <f t="shared" si="52"/>
        <v>Transferta korrente të huaja</v>
      </c>
      <c r="B211" s="1229">
        <f t="shared" si="52"/>
        <v>605</v>
      </c>
      <c r="C211" s="1230">
        <f t="shared" si="52"/>
        <v>0</v>
      </c>
      <c r="D211" s="1231">
        <f t="shared" si="52"/>
        <v>0</v>
      </c>
      <c r="E211" s="36"/>
      <c r="F211" s="36"/>
      <c r="G211" s="36"/>
      <c r="H211" s="52"/>
      <c r="I211" s="276"/>
      <c r="J211" s="1290" t="str">
        <f>J172</f>
        <v>Qëllime të mëtejshme</v>
      </c>
      <c r="K211" s="1291"/>
      <c r="L211" s="1292"/>
      <c r="M211" s="125"/>
      <c r="N211" s="125"/>
      <c r="O211" s="129"/>
    </row>
    <row r="212" spans="1:15" ht="12.75" x14ac:dyDescent="0.2">
      <c r="A212" s="121" t="str">
        <f t="shared" si="52"/>
        <v>Transferta për Buxhetet Familiare dhe Individët</v>
      </c>
      <c r="B212" s="1229">
        <f t="shared" si="52"/>
        <v>606</v>
      </c>
      <c r="C212" s="1230">
        <f t="shared" si="52"/>
        <v>0</v>
      </c>
      <c r="D212" s="1231">
        <f t="shared" si="52"/>
        <v>0</v>
      </c>
      <c r="E212" s="36"/>
      <c r="F212" s="36"/>
      <c r="G212" s="36"/>
      <c r="H212" s="52"/>
      <c r="I212" s="276"/>
      <c r="J212" s="1286"/>
      <c r="K212" s="1286"/>
      <c r="L212" s="1286"/>
      <c r="M212" s="300" t="str">
        <f>IF(SUM(M209:M211)=M208,"OK","STOP")</f>
        <v>OK</v>
      </c>
      <c r="N212" s="300" t="str">
        <f>IF(SUM(N209:N211)=N208,"OK","STOP")</f>
        <v>OK</v>
      </c>
      <c r="O212" s="300" t="str">
        <f>IF(SUM(O209:O211)=O208,"OK","STOP")</f>
        <v>OK</v>
      </c>
    </row>
    <row r="213" spans="1:15" ht="12.75" x14ac:dyDescent="0.2">
      <c r="A213" s="564" t="str">
        <f t="shared" si="52"/>
        <v>Shpenzimet kapitale</v>
      </c>
      <c r="B213" s="1256" t="str">
        <f t="shared" si="52"/>
        <v>230 / 231</v>
      </c>
      <c r="C213" s="1257">
        <f t="shared" si="52"/>
        <v>0</v>
      </c>
      <c r="D213" s="1258">
        <f t="shared" si="52"/>
        <v>0</v>
      </c>
      <c r="E213" s="126"/>
      <c r="F213" s="126"/>
      <c r="G213" s="126"/>
      <c r="H213" s="52"/>
      <c r="I213" s="367" t="str">
        <f>I96</f>
        <v>Shpjegimet teknike</v>
      </c>
      <c r="J213" s="10"/>
      <c r="K213" s="10"/>
      <c r="L213" s="10"/>
      <c r="M213" s="10"/>
      <c r="N213" s="10"/>
      <c r="O213" s="10"/>
    </row>
    <row r="214" spans="1:15" ht="12.75" x14ac:dyDescent="0.2">
      <c r="A214" s="121" t="str">
        <f t="shared" si="52"/>
        <v>Rezerva</v>
      </c>
      <c r="B214" s="1229">
        <f t="shared" si="52"/>
        <v>609</v>
      </c>
      <c r="C214" s="1230">
        <f t="shared" si="52"/>
        <v>0</v>
      </c>
      <c r="D214" s="1231">
        <f t="shared" si="52"/>
        <v>0</v>
      </c>
      <c r="E214" s="36"/>
      <c r="F214" s="36"/>
      <c r="G214" s="36"/>
      <c r="H214" s="52"/>
      <c r="I214" s="365">
        <f>M187</f>
        <v>2022</v>
      </c>
      <c r="J214" s="1271"/>
      <c r="K214" s="1272"/>
      <c r="L214" s="1272"/>
      <c r="M214" s="1272"/>
      <c r="N214" s="1272"/>
      <c r="O214" s="1273"/>
    </row>
    <row r="215" spans="1:15" ht="12.75" x14ac:dyDescent="0.2">
      <c r="A215" s="121" t="str">
        <f t="shared" si="52"/>
        <v>Interesa per kredi direkte ose bono</v>
      </c>
      <c r="B215" s="1259">
        <f t="shared" si="52"/>
        <v>650</v>
      </c>
      <c r="C215" s="1260">
        <f t="shared" si="52"/>
        <v>0</v>
      </c>
      <c r="D215" s="1261">
        <f t="shared" si="52"/>
        <v>0</v>
      </c>
      <c r="E215" s="36"/>
      <c r="F215" s="36"/>
      <c r="G215" s="36"/>
      <c r="H215" s="52"/>
      <c r="I215" s="366"/>
      <c r="J215" s="1274"/>
      <c r="K215" s="1275"/>
      <c r="L215" s="1275"/>
      <c r="M215" s="1275"/>
      <c r="N215" s="1275"/>
      <c r="O215" s="1276"/>
    </row>
    <row r="216" spans="1:15" ht="12.75" x14ac:dyDescent="0.2">
      <c r="A216" s="239" t="str">
        <f>A99</f>
        <v>Të tjera</v>
      </c>
      <c r="B216" s="1229" t="str">
        <f>B99</f>
        <v>69 / ?</v>
      </c>
      <c r="C216" s="1230">
        <f>C99</f>
        <v>0</v>
      </c>
      <c r="D216" s="273" t="str">
        <f>IF(OR(E216&lt;0,F216&lt;0,G216&lt;0),"STOP","OK!")</f>
        <v>OK!</v>
      </c>
      <c r="E216" s="127">
        <f>-E204+E189-(SUM(E206:E215))</f>
        <v>0</v>
      </c>
      <c r="F216" s="270">
        <f>-F204+F189-(SUM(F206:F215))</f>
        <v>0</v>
      </c>
      <c r="G216" s="270">
        <f>-G204+G189-(SUM(G206:G215))</f>
        <v>0</v>
      </c>
      <c r="H216" s="52"/>
      <c r="I216" s="365">
        <f>N187</f>
        <v>2023</v>
      </c>
      <c r="J216" s="1271"/>
      <c r="K216" s="1272"/>
      <c r="L216" s="1272"/>
      <c r="M216" s="1272"/>
      <c r="N216" s="1272"/>
      <c r="O216" s="1273"/>
    </row>
    <row r="217" spans="1:15" ht="12.75" x14ac:dyDescent="0.2">
      <c r="A217" s="121" t="str">
        <f>A100</f>
        <v>SHPENZIME KORRENTE</v>
      </c>
      <c r="B217" s="1262"/>
      <c r="C217" s="1263"/>
      <c r="D217" s="1264"/>
      <c r="E217" s="126">
        <f>SUM(E206:E216)</f>
        <v>0</v>
      </c>
      <c r="F217" s="126">
        <f>SUM(F206:F216)</f>
        <v>0</v>
      </c>
      <c r="G217" s="126">
        <f>SUM(G206:G216)</f>
        <v>0</v>
      </c>
      <c r="H217" s="52"/>
      <c r="I217" s="366"/>
      <c r="J217" s="1277"/>
      <c r="K217" s="1278"/>
      <c r="L217" s="1278"/>
      <c r="M217" s="1278"/>
      <c r="N217" s="1278"/>
      <c r="O217" s="1279"/>
    </row>
    <row r="218" spans="1:15" ht="12.75" x14ac:dyDescent="0.2">
      <c r="A218" s="122"/>
      <c r="B218" s="201"/>
      <c r="C218" s="123"/>
      <c r="D218" s="123"/>
      <c r="E218" s="10"/>
      <c r="F218" s="10"/>
      <c r="G218" s="130"/>
      <c r="H218" s="52"/>
      <c r="I218" s="365">
        <f>O187</f>
        <v>2024</v>
      </c>
      <c r="J218" s="1271"/>
      <c r="K218" s="1272"/>
      <c r="L218" s="1272"/>
      <c r="M218" s="1272"/>
      <c r="N218" s="1272"/>
      <c r="O218" s="1273"/>
    </row>
    <row r="219" spans="1:15" ht="12.75" x14ac:dyDescent="0.2">
      <c r="A219" s="134" t="str">
        <f>A102</f>
        <v>SHPENZIME TË PRITSHME</v>
      </c>
      <c r="B219" s="33">
        <f>B189</f>
        <v>0</v>
      </c>
      <c r="C219" s="33">
        <f>C189</f>
        <v>0</v>
      </c>
      <c r="D219" s="33">
        <f>D189</f>
        <v>0</v>
      </c>
      <c r="E219" s="126">
        <f>E204+E217</f>
        <v>0</v>
      </c>
      <c r="F219" s="126">
        <f>F204+F217</f>
        <v>0</v>
      </c>
      <c r="G219" s="126">
        <f>G204+G217</f>
        <v>0</v>
      </c>
      <c r="H219" s="52"/>
      <c r="I219" s="366"/>
      <c r="J219" s="1277"/>
      <c r="K219" s="1278"/>
      <c r="L219" s="1278"/>
      <c r="M219" s="1278"/>
      <c r="N219" s="1278"/>
      <c r="O219" s="1279"/>
    </row>
    <row r="222" spans="1:15" ht="17.25" hidden="1" customHeight="1" x14ac:dyDescent="0.2">
      <c r="A222" s="204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17.25" hidden="1" customHeight="1" x14ac:dyDescent="0.2">
      <c r="A223" s="262"/>
      <c r="B223" s="1225"/>
      <c r="C223" s="1225"/>
      <c r="D223" s="1225"/>
      <c r="E223" s="1225"/>
      <c r="F223" s="1225"/>
      <c r="G223" s="1225"/>
      <c r="H223" s="1225"/>
      <c r="I223" s="1225"/>
      <c r="J223" s="1225"/>
      <c r="K223" s="1225"/>
      <c r="L223" s="1225"/>
      <c r="M223" s="1225"/>
      <c r="N223" s="1225"/>
      <c r="O223" s="1225"/>
    </row>
    <row r="224" spans="1:15" ht="21.75" hidden="1" customHeight="1" x14ac:dyDescent="0.2">
      <c r="A224" s="1221"/>
      <c r="B224" s="1222"/>
      <c r="C224" s="1222"/>
      <c r="D224" s="1222"/>
      <c r="E224" s="1222"/>
      <c r="F224" s="1222"/>
      <c r="G224" s="1242"/>
      <c r="H224" s="128"/>
      <c r="I224" s="1243"/>
      <c r="J224" s="1222"/>
      <c r="K224" s="1222"/>
      <c r="L224" s="1222"/>
      <c r="M224" s="1222"/>
      <c r="N224" s="1222"/>
      <c r="O224" s="1242"/>
    </row>
    <row r="225" spans="1:15" ht="18.75" hidden="1" customHeight="1" x14ac:dyDescent="0.2">
      <c r="A225" s="202"/>
      <c r="B225" s="363"/>
      <c r="C225" s="363"/>
      <c r="D225" s="363"/>
      <c r="E225" s="238"/>
      <c r="F225" s="238"/>
      <c r="G225" s="238"/>
      <c r="H225" s="203"/>
      <c r="I225" s="360"/>
      <c r="J225" s="363"/>
      <c r="K225" s="363"/>
      <c r="L225" s="363"/>
      <c r="M225" s="238"/>
      <c r="N225" s="238"/>
      <c r="O225" s="238"/>
    </row>
    <row r="226" spans="1:15" ht="12.75" hidden="1" x14ac:dyDescent="0.2">
      <c r="A226" s="380"/>
      <c r="B226" s="200"/>
      <c r="C226" s="368"/>
      <c r="D226" s="281"/>
      <c r="E226" s="8"/>
      <c r="F226" s="8"/>
      <c r="G226" s="381"/>
      <c r="H226" s="128"/>
      <c r="I226" s="369"/>
      <c r="J226" s="305"/>
      <c r="K226" s="305"/>
      <c r="L226" s="305"/>
      <c r="M226" s="305"/>
      <c r="N226" s="305"/>
      <c r="O226" s="306"/>
    </row>
    <row r="227" spans="1:15" ht="12.75" hidden="1" x14ac:dyDescent="0.2">
      <c r="A227" s="134"/>
      <c r="B227" s="33"/>
      <c r="C227" s="33"/>
      <c r="D227" s="33"/>
      <c r="E227" s="36"/>
      <c r="F227" s="36"/>
      <c r="G227" s="36"/>
      <c r="H227" s="128"/>
      <c r="I227" s="1226"/>
      <c r="J227" s="1227"/>
      <c r="K227" s="1227"/>
      <c r="L227" s="1227"/>
      <c r="M227" s="1227"/>
      <c r="N227" s="1227"/>
      <c r="O227" s="1228"/>
    </row>
    <row r="228" spans="1:15" ht="12.75" hidden="1" x14ac:dyDescent="0.2">
      <c r="A228" s="122"/>
      <c r="B228" s="201"/>
      <c r="C228" s="123"/>
      <c r="D228" s="123"/>
      <c r="E228" s="10"/>
      <c r="F228" s="10"/>
      <c r="G228" s="130"/>
      <c r="H228" s="10"/>
      <c r="I228" s="134"/>
      <c r="J228" s="34"/>
      <c r="K228" s="34"/>
      <c r="L228" s="34"/>
      <c r="M228" s="36"/>
      <c r="N228" s="36"/>
      <c r="O228" s="36"/>
    </row>
    <row r="229" spans="1:15" ht="12.75" hidden="1" x14ac:dyDescent="0.2">
      <c r="A229" s="1232"/>
      <c r="B229" s="1233"/>
      <c r="C229" s="1233"/>
      <c r="D229" s="1233"/>
      <c r="E229" s="1233"/>
      <c r="F229" s="1233"/>
      <c r="G229" s="1234"/>
      <c r="H229" s="10"/>
    </row>
    <row r="230" spans="1:15" ht="12.75" hidden="1" x14ac:dyDescent="0.2">
      <c r="A230" s="1226"/>
      <c r="B230" s="1227"/>
      <c r="C230" s="1227"/>
      <c r="D230" s="1227"/>
      <c r="E230" s="1227"/>
      <c r="F230" s="1227"/>
      <c r="G230" s="1228"/>
      <c r="H230" s="30"/>
      <c r="I230" s="1226"/>
      <c r="J230" s="1227"/>
      <c r="K230" s="1227"/>
      <c r="L230" s="1227"/>
      <c r="M230" s="1227"/>
      <c r="N230" s="1227"/>
      <c r="O230" s="1228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30"/>
      <c r="I232" s="339"/>
      <c r="J232" s="336"/>
      <c r="K232" s="338"/>
      <c r="L232" s="337"/>
      <c r="M232" s="125"/>
      <c r="N232" s="125"/>
      <c r="O232" s="129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52"/>
      <c r="I233" s="339"/>
      <c r="J233" s="336"/>
      <c r="K233" s="338"/>
      <c r="L233" s="337"/>
      <c r="M233" s="264"/>
      <c r="N233" s="479"/>
      <c r="O233" s="481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8"/>
      <c r="I234" s="339"/>
      <c r="J234" s="336"/>
      <c r="K234" s="338"/>
      <c r="L234" s="337"/>
      <c r="M234" s="125"/>
      <c r="N234" s="125"/>
      <c r="O234" s="129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  <c r="I235" s="339"/>
      <c r="J235" s="34"/>
      <c r="K235" s="34"/>
      <c r="L235" s="34"/>
      <c r="M235" s="126"/>
      <c r="N235" s="126"/>
      <c r="O235" s="126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  <c r="I237" s="134"/>
      <c r="J237" s="33"/>
      <c r="K237" s="33"/>
      <c r="L237" s="33"/>
      <c r="M237" s="126"/>
      <c r="N237" s="126"/>
      <c r="O237" s="126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</row>
    <row r="241" spans="1:15" ht="12.75" hidden="1" x14ac:dyDescent="0.2">
      <c r="A241" s="121"/>
      <c r="B241" s="1229"/>
      <c r="C241" s="1230"/>
      <c r="D241" s="1231"/>
      <c r="E241" s="36"/>
      <c r="F241" s="36"/>
      <c r="G241" s="36"/>
      <c r="H241" s="52"/>
      <c r="I241" s="1235"/>
      <c r="J241" s="1236"/>
      <c r="K241" s="1236"/>
      <c r="L241" s="1236"/>
      <c r="M241" s="1236"/>
      <c r="N241" s="1236"/>
      <c r="O241" s="1237"/>
    </row>
    <row r="242" spans="1:15" ht="12.75" hidden="1" customHeight="1" x14ac:dyDescent="0.2">
      <c r="A242" s="268"/>
      <c r="B242" s="1229"/>
      <c r="C242" s="1230"/>
      <c r="D242" s="1231"/>
      <c r="E242" s="126"/>
      <c r="F242" s="126"/>
      <c r="G242" s="126"/>
      <c r="H242" s="52"/>
      <c r="I242" s="1238"/>
      <c r="J242" s="1239"/>
      <c r="K242" s="1239"/>
      <c r="L242" s="1239"/>
      <c r="M242" s="1239"/>
      <c r="N242" s="1239"/>
      <c r="O242" s="1240"/>
    </row>
    <row r="243" spans="1:15" ht="12.75" hidden="1" x14ac:dyDescent="0.2">
      <c r="A243" s="1226"/>
      <c r="B243" s="1227"/>
      <c r="C243" s="1227"/>
      <c r="D243" s="1227"/>
      <c r="E243" s="1227"/>
      <c r="F243" s="1227"/>
      <c r="G243" s="1228"/>
      <c r="H243" s="52"/>
      <c r="I243" s="17"/>
      <c r="J243" s="18"/>
      <c r="K243" s="18"/>
      <c r="L243" s="18"/>
      <c r="M243" s="18"/>
      <c r="N243" s="18"/>
      <c r="O243" s="18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  <c r="I244" s="52"/>
      <c r="J244" s="52"/>
      <c r="K244" s="52"/>
      <c r="L244" s="14"/>
      <c r="M244" s="53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39"/>
      <c r="J246" s="1290"/>
      <c r="K246" s="1291"/>
      <c r="L246" s="1292"/>
      <c r="M246" s="126"/>
      <c r="N246" s="126"/>
      <c r="O246" s="126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9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90"/>
      <c r="K249" s="1291"/>
      <c r="L249" s="1292"/>
      <c r="M249" s="125"/>
      <c r="N249" s="125"/>
      <c r="O249" s="129"/>
    </row>
    <row r="250" spans="1:15" ht="12.75" hidden="1" x14ac:dyDescent="0.2">
      <c r="A250" s="121"/>
      <c r="B250" s="1229"/>
      <c r="C250" s="1230"/>
      <c r="D250" s="1231"/>
      <c r="E250" s="36"/>
      <c r="F250" s="36"/>
      <c r="G250" s="36"/>
      <c r="H250" s="52"/>
      <c r="I250" s="276"/>
      <c r="J250" s="1286"/>
      <c r="K250" s="1286"/>
      <c r="L250" s="1286"/>
      <c r="M250" s="300" t="str">
        <f>IF(SUM(M247:M249)=M246,"OK","STOP")</f>
        <v>OK</v>
      </c>
      <c r="N250" s="300" t="str">
        <f>IF(SUM(N247:N249)=N246,"OK","STOP")</f>
        <v>OK</v>
      </c>
      <c r="O250" s="300" t="str">
        <f>IF(SUM(O247:O249)=O246,"OK","STOP")</f>
        <v>OK</v>
      </c>
    </row>
    <row r="251" spans="1:15" ht="12.75" hidden="1" x14ac:dyDescent="0.2">
      <c r="A251" s="121"/>
      <c r="B251" s="1229"/>
      <c r="C251" s="1230"/>
      <c r="D251" s="1231"/>
      <c r="E251" s="126"/>
      <c r="F251" s="126"/>
      <c r="G251" s="126"/>
      <c r="H251" s="52"/>
      <c r="I251" s="367" t="str">
        <f>I213</f>
        <v>Shpjegimet teknike</v>
      </c>
      <c r="J251" s="10"/>
      <c r="K251" s="10"/>
      <c r="L251" s="10"/>
      <c r="M251" s="10"/>
      <c r="N251" s="10"/>
      <c r="O251" s="10"/>
    </row>
    <row r="252" spans="1:15" ht="12.75" hidden="1" x14ac:dyDescent="0.2">
      <c r="A252" s="121"/>
      <c r="B252" s="1229"/>
      <c r="C252" s="1230"/>
      <c r="D252" s="1231"/>
      <c r="E252" s="36"/>
      <c r="F252" s="36"/>
      <c r="G252" s="36"/>
      <c r="H252" s="52"/>
      <c r="I252" s="365">
        <f>M225</f>
        <v>0</v>
      </c>
      <c r="J252" s="1271"/>
      <c r="K252" s="1272"/>
      <c r="L252" s="1272"/>
      <c r="M252" s="1272"/>
      <c r="N252" s="1272"/>
      <c r="O252" s="1273"/>
    </row>
    <row r="253" spans="1:15" ht="12.75" hidden="1" x14ac:dyDescent="0.2">
      <c r="A253" s="121"/>
      <c r="B253" s="1259"/>
      <c r="C253" s="1260"/>
      <c r="D253" s="1261"/>
      <c r="E253" s="36"/>
      <c r="F253" s="36"/>
      <c r="G253" s="36"/>
      <c r="H253" s="52"/>
      <c r="I253" s="366"/>
      <c r="J253" s="1274"/>
      <c r="K253" s="1275"/>
      <c r="L253" s="1275"/>
      <c r="M253" s="1275"/>
      <c r="N253" s="1275"/>
      <c r="O253" s="1276"/>
    </row>
    <row r="254" spans="1:15" ht="12.75" hidden="1" x14ac:dyDescent="0.2">
      <c r="A254" s="239"/>
      <c r="B254" s="1229"/>
      <c r="C254" s="1230"/>
      <c r="D254" s="273"/>
      <c r="E254" s="270"/>
      <c r="F254" s="270"/>
      <c r="G254" s="270"/>
      <c r="H254" s="52"/>
      <c r="I254" s="365">
        <f>N225</f>
        <v>0</v>
      </c>
      <c r="J254" s="1271"/>
      <c r="K254" s="1272"/>
      <c r="L254" s="1272"/>
      <c r="M254" s="1272"/>
      <c r="N254" s="1272"/>
      <c r="O254" s="1273"/>
    </row>
    <row r="255" spans="1:15" ht="12.75" hidden="1" x14ac:dyDescent="0.2">
      <c r="A255" s="121"/>
      <c r="B255" s="1262"/>
      <c r="C255" s="1263"/>
      <c r="D255" s="1264"/>
      <c r="E255" s="126"/>
      <c r="F255" s="126"/>
      <c r="G255" s="126"/>
      <c r="H255" s="52"/>
      <c r="I255" s="366"/>
      <c r="J255" s="1277"/>
      <c r="K255" s="1278"/>
      <c r="L255" s="1278"/>
      <c r="M255" s="1278"/>
      <c r="N255" s="1278"/>
      <c r="O255" s="1279"/>
    </row>
    <row r="256" spans="1:15" ht="12.75" hidden="1" x14ac:dyDescent="0.2">
      <c r="A256" s="122"/>
      <c r="B256" s="201"/>
      <c r="C256" s="123"/>
      <c r="D256" s="123"/>
      <c r="E256" s="10"/>
      <c r="F256" s="10"/>
      <c r="G256" s="130"/>
      <c r="H256" s="52"/>
      <c r="I256" s="365">
        <f>O225</f>
        <v>0</v>
      </c>
      <c r="J256" s="1271"/>
      <c r="K256" s="1272"/>
      <c r="L256" s="1272"/>
      <c r="M256" s="1272"/>
      <c r="N256" s="1272"/>
      <c r="O256" s="1273"/>
    </row>
    <row r="257" spans="1:15" ht="12.75" hidden="1" x14ac:dyDescent="0.2">
      <c r="A257" s="134"/>
      <c r="B257" s="33"/>
      <c r="C257" s="33"/>
      <c r="D257" s="33"/>
      <c r="E257" s="126"/>
      <c r="F257" s="126"/>
      <c r="G257" s="126"/>
      <c r="H257" s="52"/>
      <c r="I257" s="366"/>
      <c r="J257" s="1277"/>
      <c r="K257" s="1278"/>
      <c r="L257" s="1278"/>
      <c r="M257" s="1278"/>
      <c r="N257" s="1278"/>
      <c r="O257" s="1279"/>
    </row>
    <row r="258" spans="1:15" ht="17.25" hidden="1" customHeight="1" x14ac:dyDescent="0.2"/>
    <row r="259" spans="1:15" ht="17.25" hidden="1" customHeight="1" x14ac:dyDescent="0.2"/>
    <row r="260" spans="1:15" ht="17.25" hidden="1" customHeight="1" x14ac:dyDescent="0.2">
      <c r="A260" s="204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17.25" hidden="1" customHeight="1" x14ac:dyDescent="0.2">
      <c r="A261" s="262"/>
      <c r="B261" s="1225"/>
      <c r="C261" s="1225"/>
      <c r="D261" s="1225"/>
      <c r="E261" s="1225"/>
      <c r="F261" s="1225"/>
      <c r="G261" s="1225"/>
      <c r="H261" s="1225"/>
      <c r="I261" s="1225"/>
      <c r="J261" s="1225"/>
      <c r="K261" s="1225"/>
      <c r="L261" s="1225"/>
      <c r="M261" s="1225"/>
      <c r="N261" s="1225"/>
      <c r="O261" s="1225"/>
    </row>
    <row r="262" spans="1:15" ht="22.5" hidden="1" customHeight="1" x14ac:dyDescent="0.2">
      <c r="A262" s="1221"/>
      <c r="B262" s="1222"/>
      <c r="C262" s="1222"/>
      <c r="D262" s="1222"/>
      <c r="E262" s="1222"/>
      <c r="F262" s="1222"/>
      <c r="G262" s="1242"/>
      <c r="H262" s="128"/>
      <c r="I262" s="1243"/>
      <c r="J262" s="1222"/>
      <c r="K262" s="1222"/>
      <c r="L262" s="1222"/>
      <c r="M262" s="1222"/>
      <c r="N262" s="1222"/>
      <c r="O262" s="1242"/>
    </row>
    <row r="263" spans="1:15" ht="20.25" hidden="1" customHeight="1" x14ac:dyDescent="0.2">
      <c r="A263" s="202"/>
      <c r="B263" s="236"/>
      <c r="C263" s="236"/>
      <c r="D263" s="236"/>
      <c r="E263" s="237"/>
      <c r="F263" s="237"/>
      <c r="G263" s="237"/>
      <c r="H263" s="203"/>
      <c r="I263" s="269"/>
      <c r="J263" s="236"/>
      <c r="K263" s="236"/>
      <c r="L263" s="236"/>
      <c r="M263" s="237"/>
      <c r="N263" s="237"/>
      <c r="O263" s="237"/>
    </row>
    <row r="264" spans="1:15" ht="12.75" hidden="1" x14ac:dyDescent="0.2">
      <c r="A264" s="122"/>
      <c r="B264" s="201"/>
      <c r="C264" s="123"/>
      <c r="D264" s="123"/>
      <c r="E264" s="10"/>
      <c r="F264" s="10"/>
      <c r="G264" s="130"/>
      <c r="H264" s="128"/>
    </row>
    <row r="265" spans="1:15" ht="12.75" hidden="1" x14ac:dyDescent="0.2">
      <c r="A265" s="134"/>
      <c r="B265" s="33"/>
      <c r="C265" s="33"/>
      <c r="D265" s="33"/>
      <c r="E265" s="36"/>
      <c r="F265" s="36"/>
      <c r="G265" s="36"/>
      <c r="H265" s="128"/>
      <c r="I265" s="1226"/>
      <c r="J265" s="1227"/>
      <c r="K265" s="1227"/>
      <c r="L265" s="1227"/>
      <c r="M265" s="1227"/>
      <c r="N265" s="1227"/>
      <c r="O265" s="1228"/>
    </row>
    <row r="266" spans="1:15" ht="12.75" hidden="1" x14ac:dyDescent="0.2">
      <c r="A266" s="122"/>
      <c r="B266" s="201"/>
      <c r="C266" s="123"/>
      <c r="D266" s="123"/>
      <c r="E266" s="10"/>
      <c r="F266" s="10"/>
      <c r="G266" s="130"/>
      <c r="H266" s="10"/>
      <c r="I266" s="134"/>
      <c r="J266" s="34"/>
      <c r="K266" s="34"/>
      <c r="L266" s="34"/>
      <c r="M266" s="36"/>
      <c r="N266" s="36"/>
      <c r="O266" s="36"/>
    </row>
    <row r="267" spans="1:15" ht="12.75" hidden="1" x14ac:dyDescent="0.2">
      <c r="A267" s="1293"/>
      <c r="B267" s="1294"/>
      <c r="C267" s="1294"/>
      <c r="D267" s="1294"/>
      <c r="E267" s="1294"/>
      <c r="F267" s="1294"/>
      <c r="G267" s="1295"/>
      <c r="H267" s="10"/>
    </row>
    <row r="268" spans="1:15" ht="12.75" hidden="1" x14ac:dyDescent="0.2">
      <c r="A268" s="1226"/>
      <c r="B268" s="1227"/>
      <c r="C268" s="1227"/>
      <c r="D268" s="1227"/>
      <c r="E268" s="1227"/>
      <c r="F268" s="1227"/>
      <c r="G268" s="1228"/>
      <c r="H268" s="30"/>
      <c r="I268" s="333"/>
      <c r="J268" s="334"/>
      <c r="K268" s="334"/>
      <c r="L268" s="334"/>
      <c r="M268" s="334"/>
      <c r="N268" s="334"/>
      <c r="O268" s="335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30"/>
      <c r="I270" s="339"/>
      <c r="J270" s="336"/>
      <c r="K270" s="338"/>
      <c r="L270" s="337"/>
      <c r="M270" s="125"/>
      <c r="N270" s="125"/>
      <c r="O270" s="12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52"/>
      <c r="I271" s="339"/>
      <c r="J271" s="336"/>
      <c r="K271" s="338"/>
      <c r="L271" s="337"/>
      <c r="M271" s="264"/>
      <c r="N271" s="479"/>
      <c r="O271" s="47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8"/>
      <c r="I272" s="339"/>
      <c r="J272" s="336"/>
      <c r="K272" s="338"/>
      <c r="L272" s="337"/>
      <c r="M272" s="125"/>
      <c r="N272" s="125"/>
      <c r="O272" s="129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  <c r="I273" s="339"/>
      <c r="J273" s="34"/>
      <c r="K273" s="34"/>
      <c r="L273" s="34"/>
      <c r="M273" s="126"/>
      <c r="N273" s="126"/>
      <c r="O273" s="126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  <c r="I275" s="134"/>
      <c r="J275" s="33"/>
      <c r="K275" s="33"/>
      <c r="L275" s="33"/>
      <c r="M275" s="126"/>
      <c r="N275" s="126"/>
      <c r="O275" s="126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</row>
    <row r="279" spans="1:15" ht="12.75" hidden="1" x14ac:dyDescent="0.2">
      <c r="A279" s="121"/>
      <c r="B279" s="1229"/>
      <c r="C279" s="1230"/>
      <c r="D279" s="1231"/>
      <c r="E279" s="36"/>
      <c r="F279" s="36"/>
      <c r="G279" s="36"/>
      <c r="H279" s="52"/>
      <c r="I279" s="1235"/>
      <c r="J279" s="1236"/>
      <c r="K279" s="1236"/>
      <c r="L279" s="1236"/>
      <c r="M279" s="1236"/>
      <c r="N279" s="1236"/>
      <c r="O279" s="1237"/>
    </row>
    <row r="280" spans="1:15" ht="12.75" hidden="1" customHeight="1" x14ac:dyDescent="0.2">
      <c r="A280" s="268"/>
      <c r="B280" s="1229"/>
      <c r="C280" s="1230"/>
      <c r="D280" s="1231"/>
      <c r="E280" s="126"/>
      <c r="F280" s="126"/>
      <c r="G280" s="126"/>
      <c r="H280" s="52"/>
      <c r="I280" s="1238"/>
      <c r="J280" s="1239"/>
      <c r="K280" s="1239"/>
      <c r="L280" s="1239"/>
      <c r="M280" s="1239"/>
      <c r="N280" s="1239"/>
      <c r="O280" s="1240"/>
    </row>
    <row r="281" spans="1:15" ht="12.75" hidden="1" x14ac:dyDescent="0.2">
      <c r="A281" s="1226"/>
      <c r="B281" s="1227"/>
      <c r="C281" s="1227"/>
      <c r="D281" s="1227"/>
      <c r="E281" s="1227"/>
      <c r="F281" s="1227"/>
      <c r="G281" s="1228"/>
      <c r="H281" s="52"/>
      <c r="I281" s="17"/>
      <c r="J281" s="18"/>
      <c r="K281" s="18"/>
      <c r="L281" s="18"/>
      <c r="M281" s="18"/>
      <c r="N281" s="18"/>
      <c r="O281" s="18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  <c r="I282" s="52"/>
      <c r="J282" s="52"/>
      <c r="K282" s="52"/>
      <c r="L282" s="14"/>
      <c r="M282" s="53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39"/>
      <c r="J284" s="1297"/>
      <c r="K284" s="1298"/>
      <c r="L284" s="1299"/>
      <c r="M284" s="126"/>
      <c r="N284" s="126"/>
      <c r="O284" s="126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9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97"/>
      <c r="K287" s="1298"/>
      <c r="L287" s="1299"/>
      <c r="M287" s="125"/>
      <c r="N287" s="125"/>
      <c r="O287" s="129"/>
    </row>
    <row r="288" spans="1:15" ht="12.75" hidden="1" x14ac:dyDescent="0.2">
      <c r="A288" s="121"/>
      <c r="B288" s="1229"/>
      <c r="C288" s="1230"/>
      <c r="D288" s="1231"/>
      <c r="E288" s="36"/>
      <c r="F288" s="36"/>
      <c r="G288" s="36"/>
      <c r="H288" s="52"/>
      <c r="I288" s="276"/>
      <c r="J288" s="1286"/>
      <c r="K288" s="1286"/>
      <c r="L288" s="1286"/>
      <c r="M288" s="300" t="str">
        <f>IF(SUM(M285:M287)=M284,"OK","STOP")</f>
        <v>OK</v>
      </c>
      <c r="N288" s="300" t="str">
        <f>IF(SUM(N285:N287)=N284,"OK","STOP")</f>
        <v>OK</v>
      </c>
      <c r="O288" s="300" t="str">
        <f>IF(SUM(O285:O287)=O284,"OK","STOP")</f>
        <v>OK</v>
      </c>
    </row>
    <row r="289" spans="1:15" ht="12.75" hidden="1" x14ac:dyDescent="0.2">
      <c r="A289" s="121"/>
      <c r="B289" s="1229"/>
      <c r="C289" s="1230"/>
      <c r="D289" s="1231"/>
      <c r="E289" s="126"/>
      <c r="F289" s="126"/>
      <c r="G289" s="126"/>
      <c r="H289" s="52"/>
      <c r="I289" s="367" t="str">
        <f>I251</f>
        <v>Shpjegimet teknike</v>
      </c>
      <c r="J289" s="10"/>
      <c r="K289" s="10"/>
      <c r="L289" s="10"/>
      <c r="M289" s="10"/>
      <c r="N289" s="10"/>
      <c r="O289" s="10"/>
    </row>
    <row r="290" spans="1:15" ht="12.75" hidden="1" x14ac:dyDescent="0.2">
      <c r="A290" s="121"/>
      <c r="B290" s="1229"/>
      <c r="C290" s="1230"/>
      <c r="D290" s="1231"/>
      <c r="E290" s="36"/>
      <c r="F290" s="36"/>
      <c r="G290" s="36"/>
      <c r="H290" s="52"/>
      <c r="I290" s="365">
        <f>M263</f>
        <v>0</v>
      </c>
      <c r="J290" s="1271"/>
      <c r="K290" s="1272"/>
      <c r="L290" s="1272"/>
      <c r="M290" s="1272"/>
      <c r="N290" s="1272"/>
      <c r="O290" s="1273"/>
    </row>
    <row r="291" spans="1:15" ht="12.75" hidden="1" x14ac:dyDescent="0.2">
      <c r="A291" s="121"/>
      <c r="B291" s="1259"/>
      <c r="C291" s="1260"/>
      <c r="D291" s="1261"/>
      <c r="E291" s="36"/>
      <c r="F291" s="36"/>
      <c r="G291" s="36"/>
      <c r="H291" s="52"/>
      <c r="I291" s="366"/>
      <c r="J291" s="1274"/>
      <c r="K291" s="1275"/>
      <c r="L291" s="1275"/>
      <c r="M291" s="1275"/>
      <c r="N291" s="1275"/>
      <c r="O291" s="1276"/>
    </row>
    <row r="292" spans="1:15" ht="12.75" hidden="1" x14ac:dyDescent="0.2">
      <c r="A292" s="239"/>
      <c r="B292" s="1229"/>
      <c r="C292" s="1230"/>
      <c r="D292" s="273"/>
      <c r="E292" s="270"/>
      <c r="F292" s="270"/>
      <c r="G292" s="270"/>
      <c r="H292" s="52"/>
      <c r="I292" s="365">
        <f>N263</f>
        <v>0</v>
      </c>
      <c r="J292" s="1271"/>
      <c r="K292" s="1272"/>
      <c r="L292" s="1272"/>
      <c r="M292" s="1272"/>
      <c r="N292" s="1272"/>
      <c r="O292" s="1273"/>
    </row>
    <row r="293" spans="1:15" ht="12.75" hidden="1" x14ac:dyDescent="0.2">
      <c r="A293" s="121"/>
      <c r="B293" s="1262"/>
      <c r="C293" s="1263"/>
      <c r="D293" s="1264"/>
      <c r="E293" s="126"/>
      <c r="F293" s="126"/>
      <c r="G293" s="126"/>
      <c r="H293" s="52"/>
      <c r="I293" s="366"/>
      <c r="J293" s="1277"/>
      <c r="K293" s="1278"/>
      <c r="L293" s="1278"/>
      <c r="M293" s="1278"/>
      <c r="N293" s="1278"/>
      <c r="O293" s="1279"/>
    </row>
    <row r="294" spans="1:15" ht="12.75" hidden="1" x14ac:dyDescent="0.2">
      <c r="A294" s="122"/>
      <c r="B294" s="201"/>
      <c r="C294" s="123"/>
      <c r="D294" s="123"/>
      <c r="E294" s="10"/>
      <c r="F294" s="10"/>
      <c r="G294" s="130"/>
      <c r="H294" s="52"/>
      <c r="I294" s="365">
        <f>O263</f>
        <v>0</v>
      </c>
      <c r="J294" s="1271"/>
      <c r="K294" s="1272"/>
      <c r="L294" s="1272"/>
      <c r="M294" s="1272"/>
      <c r="N294" s="1272"/>
      <c r="O294" s="1273"/>
    </row>
    <row r="295" spans="1:15" ht="12.75" hidden="1" x14ac:dyDescent="0.2">
      <c r="A295" s="134"/>
      <c r="B295" s="33"/>
      <c r="C295" s="33"/>
      <c r="D295" s="33"/>
      <c r="E295" s="126"/>
      <c r="F295" s="126"/>
      <c r="G295" s="126"/>
      <c r="H295" s="52"/>
      <c r="I295" s="366"/>
      <c r="J295" s="1277"/>
      <c r="K295" s="1278"/>
      <c r="L295" s="1278"/>
      <c r="M295" s="1278"/>
      <c r="N295" s="1278"/>
      <c r="O295" s="1279"/>
    </row>
  </sheetData>
  <sheetProtection selectLockedCells="1"/>
  <mergeCells count="337">
    <mergeCell ref="J294:O295"/>
    <mergeCell ref="I153:O153"/>
    <mergeCell ref="I192:O192"/>
    <mergeCell ref="I230:O230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4:O215"/>
    <mergeCell ref="J133:L133"/>
    <mergeCell ref="J212:L212"/>
    <mergeCell ref="J246:L246"/>
    <mergeCell ref="J247:L247"/>
    <mergeCell ref="J248:L248"/>
    <mergeCell ref="J249:L249"/>
    <mergeCell ref="J250:L250"/>
    <mergeCell ref="J252:O253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9:O189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6:G186"/>
    <mergeCell ref="I186:O186"/>
    <mergeCell ref="I164:O165"/>
    <mergeCell ref="B165:D165"/>
    <mergeCell ref="B163:D163"/>
    <mergeCell ref="B164:D164"/>
    <mergeCell ref="J169:L169"/>
    <mergeCell ref="J170:L170"/>
    <mergeCell ref="J171:L171"/>
    <mergeCell ref="B288:D288"/>
    <mergeCell ref="B289:D289"/>
    <mergeCell ref="B274:D274"/>
    <mergeCell ref="B275:D275"/>
    <mergeCell ref="B276:D276"/>
    <mergeCell ref="B277:D277"/>
    <mergeCell ref="B278:D278"/>
    <mergeCell ref="B271:D271"/>
    <mergeCell ref="B272:D272"/>
    <mergeCell ref="B273:D273"/>
    <mergeCell ref="A267:G267"/>
    <mergeCell ref="A268:G268"/>
    <mergeCell ref="B269:D269"/>
    <mergeCell ref="B270:D270"/>
    <mergeCell ref="I265:O265"/>
    <mergeCell ref="B254:C254"/>
    <mergeCell ref="B255:D255"/>
    <mergeCell ref="B290:D290"/>
    <mergeCell ref="B291:D291"/>
    <mergeCell ref="B292:C292"/>
    <mergeCell ref="B293:D293"/>
    <mergeCell ref="I279:O280"/>
    <mergeCell ref="B280:D280"/>
    <mergeCell ref="A281:G281"/>
    <mergeCell ref="B282:D282"/>
    <mergeCell ref="B283:D283"/>
    <mergeCell ref="B284:D284"/>
    <mergeCell ref="B285:D285"/>
    <mergeCell ref="B286:D286"/>
    <mergeCell ref="B287:D287"/>
    <mergeCell ref="J284:L284"/>
    <mergeCell ref="J285:L285"/>
    <mergeCell ref="J286:L286"/>
    <mergeCell ref="J287:L287"/>
    <mergeCell ref="J288:L288"/>
    <mergeCell ref="J290:O291"/>
    <mergeCell ref="J292:O293"/>
    <mergeCell ref="B279:D279"/>
    <mergeCell ref="B260:O260"/>
    <mergeCell ref="B261:O261"/>
    <mergeCell ref="A262:G262"/>
    <mergeCell ref="I262:O262"/>
    <mergeCell ref="J254:O255"/>
    <mergeCell ref="J256:O257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53:D253"/>
    <mergeCell ref="B240:D240"/>
    <mergeCell ref="B241:D241"/>
    <mergeCell ref="I241:O242"/>
    <mergeCell ref="B242:D242"/>
    <mergeCell ref="A243:G243"/>
    <mergeCell ref="B244:D244"/>
    <mergeCell ref="B235:D235"/>
    <mergeCell ref="B236:D236"/>
    <mergeCell ref="B237:D237"/>
    <mergeCell ref="B238:D238"/>
    <mergeCell ref="B239:D239"/>
    <mergeCell ref="B232:D232"/>
    <mergeCell ref="B233:D233"/>
    <mergeCell ref="B234:D234"/>
    <mergeCell ref="A229:G229"/>
    <mergeCell ref="A230:G230"/>
    <mergeCell ref="B231:D231"/>
    <mergeCell ref="A224:G224"/>
    <mergeCell ref="I224:O224"/>
    <mergeCell ref="I227:O227"/>
    <mergeCell ref="B214:D214"/>
    <mergeCell ref="B215:D215"/>
    <mergeCell ref="B216:C216"/>
    <mergeCell ref="B217:D217"/>
    <mergeCell ref="B222:O222"/>
    <mergeCell ref="B223:O223"/>
    <mergeCell ref="J216:O217"/>
    <mergeCell ref="J218:O219"/>
    <mergeCell ref="A205:G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J208:L208"/>
    <mergeCell ref="J209:L209"/>
    <mergeCell ref="J210:L210"/>
    <mergeCell ref="J211:L211"/>
    <mergeCell ref="B201:D201"/>
    <mergeCell ref="B202:D202"/>
    <mergeCell ref="B203:D203"/>
    <mergeCell ref="I203:O204"/>
    <mergeCell ref="B204:D204"/>
    <mergeCell ref="B196:D196"/>
    <mergeCell ref="B197:D197"/>
    <mergeCell ref="B198:D198"/>
    <mergeCell ref="B199:D199"/>
    <mergeCell ref="B195:D195"/>
    <mergeCell ref="J188:K188"/>
    <mergeCell ref="A191:G191"/>
    <mergeCell ref="A192:G192"/>
    <mergeCell ref="B200:D200"/>
    <mergeCell ref="B133:D133"/>
    <mergeCell ref="B134:D134"/>
    <mergeCell ref="B135:D135"/>
    <mergeCell ref="B136:D136"/>
    <mergeCell ref="B137:D137"/>
    <mergeCell ref="B193:D193"/>
    <mergeCell ref="B194:D194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0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1" max="16383" man="1"/>
    <brk id="25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tabColor rgb="FFFF0000"/>
    <pageSetUpPr fitToPage="1"/>
  </sheetPr>
  <dimension ref="A1:O294"/>
  <sheetViews>
    <sheetView showGridLines="0" workbookViewId="0">
      <selection activeCell="E89" sqref="E89:G93"/>
    </sheetView>
  </sheetViews>
  <sheetFormatPr defaultColWidth="9.140625" defaultRowHeight="17.25" customHeight="1" x14ac:dyDescent="0.2"/>
  <cols>
    <col min="1" max="1" width="25.85546875" style="95" customWidth="1"/>
    <col min="2" max="4" width="9" style="95" customWidth="1"/>
    <col min="5" max="5" width="9.85546875" style="95" customWidth="1"/>
    <col min="6" max="7" width="10" style="95" customWidth="1"/>
    <col min="8" max="8" width="2.7109375" style="95" customWidth="1"/>
    <col min="9" max="9" width="29.7109375" style="95" customWidth="1"/>
    <col min="10" max="12" width="9" style="95" customWidth="1"/>
    <col min="13" max="13" width="10.140625" style="95" customWidth="1"/>
    <col min="14" max="14" width="9.85546875" style="95" customWidth="1"/>
    <col min="15" max="15" width="10.7109375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Fjalori'!A87</f>
        <v>Nënfunksioni 23</v>
      </c>
      <c r="B2" s="1130" t="str">
        <f>+VLOOKUP($A2,'(B2) Struktura Organizative'!$A7:$E33,2,FALSE)</f>
        <v>101 Sëmundje dhe paaftësi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Funksionale'!A124</f>
        <v>Programi 24a</v>
      </c>
      <c r="B6" s="1203"/>
      <c r="C6" s="1204" t="str">
        <f>VLOOKUP($A6,'(B3) Struktura Funksionale'!$A$7:$E$146,3,FALSE)</f>
        <v>Kujdesi social për personat e sëmurë dhe me aftësi të kufizuara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Funksionale'!A125</f>
        <v>Programi 24b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Funksionale'!A126</f>
        <v>Programi 24c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23</v>
      </c>
      <c r="B14" s="1225" t="str">
        <f>B$2</f>
        <v>101 Sëmundje dhe paaftësi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777">
        <f t="shared" si="7"/>
        <v>0</v>
      </c>
      <c r="F39" s="777">
        <f t="shared" si="7"/>
        <v>0</v>
      </c>
      <c r="G39" s="777">
        <f t="shared" si="7"/>
        <v>0</v>
      </c>
      <c r="H39" s="746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777">
        <f t="shared" si="7"/>
        <v>0</v>
      </c>
      <c r="F40" s="777">
        <f t="shared" si="7"/>
        <v>0</v>
      </c>
      <c r="G40" s="777">
        <f t="shared" si="7"/>
        <v>0</v>
      </c>
      <c r="H40" s="746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777">
        <f t="shared" si="7"/>
        <v>0</v>
      </c>
      <c r="F41" s="777">
        <f t="shared" si="7"/>
        <v>0</v>
      </c>
      <c r="G41" s="777">
        <f t="shared" si="7"/>
        <v>0</v>
      </c>
      <c r="H41" s="746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777">
        <f t="shared" si="7"/>
        <v>0</v>
      </c>
      <c r="F42" s="777">
        <f t="shared" si="7"/>
        <v>0</v>
      </c>
      <c r="G42" s="777">
        <f t="shared" si="7"/>
        <v>0</v>
      </c>
      <c r="H42" s="746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777">
        <f t="shared" si="7"/>
        <v>0</v>
      </c>
      <c r="F43" s="777">
        <f t="shared" si="7"/>
        <v>0</v>
      </c>
      <c r="G43" s="777">
        <f t="shared" si="7"/>
        <v>0</v>
      </c>
      <c r="H43" s="746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777">
        <f t="shared" si="7"/>
        <v>0</v>
      </c>
      <c r="F44" s="777">
        <f t="shared" si="7"/>
        <v>0</v>
      </c>
      <c r="G44" s="777">
        <f t="shared" si="7"/>
        <v>0</v>
      </c>
      <c r="H44" s="746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717">
        <f t="shared" si="7"/>
        <v>0</v>
      </c>
      <c r="F45" s="716">
        <f t="shared" si="7"/>
        <v>0</v>
      </c>
      <c r="G45" s="716">
        <f t="shared" si="7"/>
        <v>0</v>
      </c>
      <c r="H45" s="746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713">
        <f t="shared" si="7"/>
        <v>0</v>
      </c>
      <c r="F46" s="713">
        <f t="shared" si="7"/>
        <v>0</v>
      </c>
      <c r="G46" s="713">
        <f t="shared" si="7"/>
        <v>0</v>
      </c>
      <c r="H46" s="746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276"/>
      <c r="F47" s="276"/>
      <c r="G47" s="712"/>
      <c r="H47" s="746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713">
        <f t="shared" si="11"/>
        <v>0</v>
      </c>
      <c r="F48" s="713">
        <f t="shared" si="11"/>
        <v>0</v>
      </c>
      <c r="G48" s="713">
        <f t="shared" si="11"/>
        <v>0</v>
      </c>
      <c r="H48" s="746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23</v>
      </c>
      <c r="B66" s="1225" t="str">
        <f t="shared" si="12"/>
        <v>101 Sëmundje dhe paaftësi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24a</v>
      </c>
      <c r="B67" s="1225" t="str">
        <f>C6</f>
        <v>Kujdesi social për personat e sëmurë dhe me aftësi të kufizuara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Funksionale'!B124</f>
        <v>10140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770">
        <f>E89+E90+E91+E93</f>
        <v>0</v>
      </c>
      <c r="F72" s="770">
        <f>F89+F90+F91+F93</f>
        <v>0</v>
      </c>
      <c r="G72" s="770">
        <f>G89+G90+G91+G93</f>
        <v>0</v>
      </c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780">
        <f t="shared" si="21"/>
        <v>0</v>
      </c>
      <c r="N88" s="780">
        <f t="shared" si="21"/>
        <v>0</v>
      </c>
      <c r="O88" s="780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708"/>
      <c r="F93" s="708"/>
      <c r="G93" s="708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708"/>
      <c r="F94" s="708"/>
      <c r="G94" s="708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708"/>
      <c r="F95" s="708"/>
      <c r="G95" s="708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713"/>
      <c r="F96" s="713"/>
      <c r="G96" s="713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708"/>
      <c r="F97" s="708"/>
      <c r="G97" s="708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708"/>
      <c r="F98" s="708"/>
      <c r="G98" s="708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716">
        <f>-E87+E72-(SUM(E89:E98))</f>
        <v>0</v>
      </c>
      <c r="F99" s="717">
        <f>-F87+F72-(SUM(F89:F98))</f>
        <v>0</v>
      </c>
      <c r="G99" s="717">
        <f>-G87+G72-(SUM(G89:G98))</f>
        <v>0</v>
      </c>
      <c r="H99" s="746"/>
      <c r="I99" s="788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713">
        <f>SUM(E89:E99)</f>
        <v>0</v>
      </c>
      <c r="F100" s="713">
        <f>SUM(F89:F99)</f>
        <v>0</v>
      </c>
      <c r="G100" s="713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23</v>
      </c>
      <c r="B105" s="1225" t="str">
        <f t="shared" si="22"/>
        <v>101 Sëmundje dhe paaftësi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24b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Funksionale'!B125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333" t="str">
        <f t="shared" ref="I111:O111" si="27">I72</f>
        <v>VLERËSIM I ARDHURAVE NGA TARIFAT</v>
      </c>
      <c r="J111" s="334">
        <f t="shared" si="27"/>
        <v>0</v>
      </c>
      <c r="K111" s="334">
        <f t="shared" si="27"/>
        <v>0</v>
      </c>
      <c r="L111" s="334">
        <f t="shared" si="27"/>
        <v>0</v>
      </c>
      <c r="M111" s="334">
        <f t="shared" si="27"/>
        <v>0</v>
      </c>
      <c r="N111" s="334">
        <f t="shared" si="27"/>
        <v>0</v>
      </c>
      <c r="O111" s="335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23</v>
      </c>
      <c r="B144" s="1225" t="str">
        <f t="shared" si="33"/>
        <v>101 Sëmundje dhe paaftësi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24c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Funksionale'!B126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electLockedCells="1"/>
  <mergeCells count="337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5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tabColor rgb="FFFF0000"/>
    <pageSetUpPr fitToPage="1"/>
  </sheetPr>
  <dimension ref="A1:O294"/>
  <sheetViews>
    <sheetView showGridLines="0" topLeftCell="A4" workbookViewId="0">
      <selection activeCell="M92" sqref="M92:O93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30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Fjalori'!A88</f>
        <v>Nënfunksioni 24</v>
      </c>
      <c r="B2" s="1130" t="str">
        <f>+VLOOKUP($A2,'(B2) Struktura Organizative'!$A7:$E33,2,FALSE)</f>
        <v>102 Të moshuarit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Funksionale'!A128</f>
        <v>Programi 25a</v>
      </c>
      <c r="B6" s="1203"/>
      <c r="C6" s="1204" t="str">
        <f>VLOOKUP($A6,'(B3) Struktura Funksionale'!$A$7:$E$146,3,FALSE)</f>
        <v>Sigurimi shoqëror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Funksionale'!A129</f>
        <v>Programi 25b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Funksionale'!A130</f>
        <v>Programi 25c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24</v>
      </c>
      <c r="B14" s="1225" t="str">
        <f>B$2</f>
        <v>102 Të moshuarit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24</v>
      </c>
      <c r="B66" s="1225" t="str">
        <f t="shared" si="12"/>
        <v>102 Të moshuarit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25a</v>
      </c>
      <c r="B67" s="1225" t="str">
        <f>C6</f>
        <v>Sigurimi shoqëror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Funksionale'!B128</f>
        <v>10220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24</v>
      </c>
      <c r="B105" s="1225" t="str">
        <f t="shared" si="22"/>
        <v>102 Të moshuarit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25b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Funksionale'!B129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333" t="str">
        <f t="shared" ref="I111:O111" si="27">I72</f>
        <v>VLERËSIM I ARDHURAVE NGA TARIFAT</v>
      </c>
      <c r="J111" s="334">
        <f t="shared" si="27"/>
        <v>0</v>
      </c>
      <c r="K111" s="334">
        <f t="shared" si="27"/>
        <v>0</v>
      </c>
      <c r="L111" s="334">
        <f t="shared" si="27"/>
        <v>0</v>
      </c>
      <c r="M111" s="334">
        <f t="shared" si="27"/>
        <v>0</v>
      </c>
      <c r="N111" s="334">
        <f t="shared" si="27"/>
        <v>0</v>
      </c>
      <c r="O111" s="335">
        <f t="shared" si="27"/>
        <v>0</v>
      </c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3">A66</f>
        <v>Nënfunksioni 24</v>
      </c>
      <c r="B144" s="1225" t="str">
        <f t="shared" si="33"/>
        <v>102 Të moshuarit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25c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Funksionale'!B130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7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tabColor rgb="FFFF0000"/>
    <pageSetUpPr fitToPage="1"/>
  </sheetPr>
  <dimension ref="A1:O294"/>
  <sheetViews>
    <sheetView showGridLines="0" topLeftCell="A66" zoomScale="90" zoomScaleNormal="90" workbookViewId="0">
      <selection activeCell="N76" sqref="N76:O76"/>
    </sheetView>
  </sheetViews>
  <sheetFormatPr defaultColWidth="9.140625" defaultRowHeight="17.25" customHeight="1" x14ac:dyDescent="0.2"/>
  <cols>
    <col min="1" max="1" width="25.85546875" style="95" customWidth="1"/>
    <col min="2" max="2" width="11.28515625" style="95" customWidth="1"/>
    <col min="3" max="3" width="12.42578125" style="95" customWidth="1"/>
    <col min="4" max="4" width="11.140625" style="95" customWidth="1"/>
    <col min="5" max="5" width="12.5703125" style="95" customWidth="1"/>
    <col min="6" max="6" width="11.42578125" style="95" customWidth="1"/>
    <col min="7" max="7" width="12" style="95" customWidth="1"/>
    <col min="8" max="8" width="2.7109375" style="95" customWidth="1"/>
    <col min="9" max="9" width="30" style="95" customWidth="1"/>
    <col min="10" max="10" width="12" style="95" customWidth="1"/>
    <col min="11" max="11" width="11.28515625" style="95" customWidth="1"/>
    <col min="12" max="12" width="12.140625" style="95" customWidth="1"/>
    <col min="13" max="13" width="10.7109375" style="95" customWidth="1"/>
    <col min="14" max="14" width="11.28515625" style="95" customWidth="1"/>
    <col min="15" max="15" width="11.5703125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Fjalori'!A89</f>
        <v>Nënfunksioni 25</v>
      </c>
      <c r="B2" s="1130" t="str">
        <f>+VLOOKUP($A2,'(B2) Struktura Organizative'!$A7:$E33,2,FALSE)</f>
        <v>104 Familje dhe fëmijë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 t="str">
        <f>+VLOOKUP($A2,'(B2) Struktura Organizative'!$A7:$E33,4,FALSE)</f>
        <v>Lindita Bice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Funksionale'!A132</f>
        <v>Programi 26a</v>
      </c>
      <c r="B6" s="1203"/>
      <c r="C6" s="1204" t="str">
        <f>VLOOKUP($A6,'(B3) Struktura Funksionale'!$A$7:$E$146,3,FALSE)</f>
        <v>Kujdesi social për familjet dhe fëmijët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deleguar</v>
      </c>
      <c r="M6" s="1205"/>
      <c r="N6" s="1205"/>
      <c r="O6" s="1206"/>
    </row>
    <row r="7" spans="1:15" ht="13.5" customHeight="1" x14ac:dyDescent="0.2">
      <c r="A7" s="1202" t="str">
        <f>'(B3) Struktura Funksionale'!A133</f>
        <v>Programi 26b</v>
      </c>
      <c r="B7" s="1203"/>
      <c r="C7" s="1204" t="str">
        <f>VLOOKUP($A7,'(B3) Struktura Funksionale'!$A$7:$E$146,3,FALSE)</f>
        <v>Përfshirja sociale</v>
      </c>
      <c r="D7" s="1205"/>
      <c r="E7" s="1205"/>
      <c r="F7" s="1205"/>
      <c r="G7" s="1205"/>
      <c r="H7" s="1206"/>
      <c r="I7" s="1204" t="str">
        <f>VLOOKUP($A7,'(B3) Struktura Funksionale'!$A$7:$E$146,4,FALSE)</f>
        <v>E detyrueshme</v>
      </c>
      <c r="J7" s="1205"/>
      <c r="K7" s="1206"/>
      <c r="L7" s="1204" t="str">
        <f>VLOOKUP($A7,'(B3) Struktura Funksionale'!$A$7:$E$146,5,FALSE)</f>
        <v>I veti</v>
      </c>
      <c r="M7" s="1205"/>
      <c r="N7" s="1205"/>
      <c r="O7" s="1206"/>
    </row>
    <row r="8" spans="1:15" ht="13.5" customHeight="1" x14ac:dyDescent="0.2">
      <c r="A8" s="1202" t="str">
        <f>'(B3) Struktura Funksionale'!A134</f>
        <v>Programi 26c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25</v>
      </c>
      <c r="B14" s="1225" t="str">
        <f>B$2</f>
        <v>104 Familje dhe fëmijë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774">
        <f t="shared" ref="B18:G18" si="1">B72+B111+B150+B188+B226+B264</f>
        <v>754931278</v>
      </c>
      <c r="C18" s="774">
        <f t="shared" si="1"/>
        <v>937920190</v>
      </c>
      <c r="D18" s="774">
        <f t="shared" si="1"/>
        <v>940463352</v>
      </c>
      <c r="E18" s="713">
        <f t="shared" si="1"/>
        <v>957789000</v>
      </c>
      <c r="F18" s="713">
        <f t="shared" si="1"/>
        <v>957789000</v>
      </c>
      <c r="G18" s="713">
        <f t="shared" si="1"/>
        <v>957789000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1366276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944008000</v>
      </c>
      <c r="N23" s="267">
        <f t="shared" si="4"/>
        <v>944008000</v>
      </c>
      <c r="O23" s="267">
        <f t="shared" si="4"/>
        <v>944008000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774">
        <f>J80+J119+J158+J196+J234+J272</f>
        <v>750300000</v>
      </c>
      <c r="K27" s="774">
        <f>K80+K119+K158+K196+K234+K272</f>
        <v>931944018</v>
      </c>
      <c r="L27" s="774">
        <f>L80+L119+L158+L196+L234+L272</f>
        <v>934462425</v>
      </c>
      <c r="M27" s="126">
        <f t="shared" si="4"/>
        <v>944008000</v>
      </c>
      <c r="N27" s="126">
        <f t="shared" si="4"/>
        <v>944008000</v>
      </c>
      <c r="O27" s="126">
        <f t="shared" si="4"/>
        <v>944008000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  <c r="J28" s="776"/>
      <c r="K28" s="776"/>
      <c r="L28" s="776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774">
        <f t="shared" ref="J29:O29" si="5">J82+J121+J160+J198+J236+J274</f>
        <v>751666276</v>
      </c>
      <c r="K29" s="774">
        <f t="shared" si="5"/>
        <v>931944018</v>
      </c>
      <c r="L29" s="774">
        <f t="shared" si="5"/>
        <v>934462425</v>
      </c>
      <c r="M29" s="126">
        <f t="shared" si="5"/>
        <v>944008000</v>
      </c>
      <c r="N29" s="126">
        <f t="shared" si="5"/>
        <v>944008000</v>
      </c>
      <c r="O29" s="126">
        <f t="shared" si="5"/>
        <v>944008000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3265002</v>
      </c>
      <c r="K34" s="18">
        <f t="shared" si="6"/>
        <v>5976172</v>
      </c>
      <c r="L34" s="18">
        <f t="shared" si="6"/>
        <v>6000927</v>
      </c>
      <c r="M34" s="780">
        <f t="shared" si="6"/>
        <v>13781000</v>
      </c>
      <c r="N34" s="780">
        <f t="shared" si="6"/>
        <v>13781000</v>
      </c>
      <c r="O34" s="780">
        <f t="shared" si="6"/>
        <v>13781000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5438470</v>
      </c>
      <c r="F35" s="267">
        <f t="shared" si="7"/>
        <v>5287051</v>
      </c>
      <c r="G35" s="267">
        <f t="shared" si="7"/>
        <v>5383406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908530</v>
      </c>
      <c r="F36" s="267">
        <f t="shared" si="7"/>
        <v>1059949</v>
      </c>
      <c r="G36" s="267">
        <f t="shared" si="7"/>
        <v>963594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19948000</v>
      </c>
      <c r="F37" s="267">
        <f t="shared" si="7"/>
        <v>19948000</v>
      </c>
      <c r="G37" s="267">
        <f t="shared" si="7"/>
        <v>19948000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777">
        <f t="shared" si="7"/>
        <v>0</v>
      </c>
      <c r="G39" s="77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777">
        <f t="shared" si="7"/>
        <v>0</v>
      </c>
      <c r="G40" s="77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931494000</v>
      </c>
      <c r="F41" s="777">
        <f t="shared" si="7"/>
        <v>931494000</v>
      </c>
      <c r="G41" s="777">
        <f t="shared" si="7"/>
        <v>931494000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777">
        <f t="shared" si="7"/>
        <v>0</v>
      </c>
      <c r="G42" s="77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777">
        <f t="shared" si="7"/>
        <v>0</v>
      </c>
      <c r="G43" s="77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777">
        <f t="shared" si="7"/>
        <v>0</v>
      </c>
      <c r="G44" s="77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716">
        <f t="shared" si="7"/>
        <v>0</v>
      </c>
      <c r="G45" s="716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957789000</v>
      </c>
      <c r="F46" s="713">
        <f t="shared" si="7"/>
        <v>957789000</v>
      </c>
      <c r="G46" s="713">
        <f t="shared" si="7"/>
        <v>957789000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754931278</v>
      </c>
      <c r="C48" s="33">
        <f t="shared" si="11"/>
        <v>937920190</v>
      </c>
      <c r="D48" s="33">
        <f t="shared" si="11"/>
        <v>940463352</v>
      </c>
      <c r="E48" s="126">
        <f t="shared" si="11"/>
        <v>957789000</v>
      </c>
      <c r="F48" s="713">
        <f t="shared" si="11"/>
        <v>957789000</v>
      </c>
      <c r="G48" s="713">
        <f t="shared" si="11"/>
        <v>957789000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957789000</v>
      </c>
      <c r="N52" s="135">
        <f>VLOOKUP($A14,'(D1) Tavanet buxhetore'!$A$7:$R$473,8,FALSE)</f>
        <v>957789000</v>
      </c>
      <c r="O52" s="587">
        <f>VLOOKUP($A14,'(D1) Tavanet buxhetore'!$A$7:$R$473,9,FALSE)</f>
        <v>957789000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957789000</v>
      </c>
      <c r="N53" s="136">
        <f>F18</f>
        <v>957789000</v>
      </c>
      <c r="O53" s="588">
        <f>G18</f>
        <v>957789000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6347000</v>
      </c>
      <c r="N55" s="135">
        <f>VLOOKUP($A14,'(D1) Tavanet buxhetore'!$A$7:$R$473,11,FALSE)</f>
        <v>6347000</v>
      </c>
      <c r="O55" s="587">
        <f>VLOOKUP($A14,'(D1) Tavanet buxhetore'!$A$7:$R$473,12,FALSE)</f>
        <v>6347000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6347000</v>
      </c>
      <c r="N56" s="136">
        <f>F22+F35+F23+F36</f>
        <v>6347000</v>
      </c>
      <c r="O56" s="588">
        <f>G22+G35+G23+G36</f>
        <v>6347000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951442000</v>
      </c>
      <c r="N58" s="135">
        <f>VLOOKUP($A14,'(D1) Tavanet buxhetore'!$A$7:$R$473,14,FALSE)</f>
        <v>951442000</v>
      </c>
      <c r="O58" s="587">
        <f>VLOOKUP($A14,'(D1) Tavanet buxhetore'!$A$7:$R$473,15,FALSE)</f>
        <v>951442000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951442000</v>
      </c>
      <c r="N59" s="136">
        <f>N53-N56-N62</f>
        <v>951442000</v>
      </c>
      <c r="O59" s="588">
        <f>O53-O56-O62</f>
        <v>951442000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25</v>
      </c>
      <c r="B66" s="1225" t="str">
        <f t="shared" si="12"/>
        <v>104 Familje dhe fëmijë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26a</v>
      </c>
      <c r="B67" s="1225" t="str">
        <f>C6</f>
        <v>Kujdesi social për familjet dhe fëmijët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Funksionale'!B132</f>
        <v>10430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754931278</v>
      </c>
      <c r="C72" s="301">
        <f>VLOOKUP(A67,'(C1) Shpenzimet vitet e kaluara'!A$9:O$177,9,FALSE)</f>
        <v>937920190</v>
      </c>
      <c r="D72" s="301">
        <f>VLOOKUP(A67,'(C1) Shpenzimet vitet e kaluara'!A$9:O$177,13,FALSE)</f>
        <v>940463352</v>
      </c>
      <c r="E72" s="362">
        <f>E89+E90+E91+E95</f>
        <v>957789000</v>
      </c>
      <c r="F72" s="362">
        <f t="shared" ref="F72:G72" si="17">F89+F90+F91+F95</f>
        <v>957789000</v>
      </c>
      <c r="G72" s="362">
        <f t="shared" si="17"/>
        <v>957789000</v>
      </c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1366276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8">A20</f>
        <v>SHPENZIME TË PRITSHME</v>
      </c>
      <c r="B74" s="1233">
        <f t="shared" si="18"/>
        <v>0</v>
      </c>
      <c r="C74" s="1233">
        <f t="shared" si="18"/>
        <v>0</v>
      </c>
      <c r="D74" s="1233">
        <f t="shared" si="18"/>
        <v>0</v>
      </c>
      <c r="E74" s="1233">
        <f t="shared" si="18"/>
        <v>0</v>
      </c>
      <c r="F74" s="1233">
        <f t="shared" si="18"/>
        <v>0</v>
      </c>
      <c r="G74" s="1234">
        <f t="shared" si="18"/>
        <v>0</v>
      </c>
      <c r="H74" s="10"/>
    </row>
    <row r="75" spans="1:15" ht="12.75" x14ac:dyDescent="0.2">
      <c r="A75" s="1226" t="str">
        <f t="shared" si="18"/>
        <v>KOSTO DIREKTE PËR PROJEKTET DHE SHPENZIMET KAPITALE</v>
      </c>
      <c r="B75" s="1227">
        <f t="shared" si="18"/>
        <v>0</v>
      </c>
      <c r="C75" s="1227">
        <f t="shared" si="18"/>
        <v>0</v>
      </c>
      <c r="D75" s="1227">
        <f t="shared" si="18"/>
        <v>0</v>
      </c>
      <c r="E75" s="1227">
        <f t="shared" si="18"/>
        <v>0</v>
      </c>
      <c r="F75" s="1227">
        <f t="shared" si="18"/>
        <v>0</v>
      </c>
      <c r="G75" s="1228">
        <f t="shared" si="18"/>
        <v>0</v>
      </c>
      <c r="H75" s="30"/>
      <c r="I75" s="1226" t="str">
        <f t="shared" ref="I75:I80" si="19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20">A22</f>
        <v>Pagat</v>
      </c>
      <c r="B76" s="1229">
        <f t="shared" si="20"/>
        <v>600</v>
      </c>
      <c r="C76" s="1230">
        <f t="shared" si="20"/>
        <v>0</v>
      </c>
      <c r="D76" s="1231">
        <f t="shared" si="20"/>
        <v>0</v>
      </c>
      <c r="E76" s="126"/>
      <c r="F76" s="126"/>
      <c r="G76" s="126"/>
      <c r="H76" s="30"/>
      <c r="I76" s="339" t="str">
        <f t="shared" si="19"/>
        <v>Transferta e kushtëzuar</v>
      </c>
      <c r="J76" s="336"/>
      <c r="K76" s="338"/>
      <c r="L76" s="337"/>
      <c r="M76" s="708">
        <v>944008000</v>
      </c>
      <c r="N76" s="708">
        <v>944008000</v>
      </c>
      <c r="O76" s="708">
        <v>944008000</v>
      </c>
    </row>
    <row r="77" spans="1:15" ht="12.75" x14ac:dyDescent="0.2">
      <c r="A77" s="121" t="str">
        <f t="shared" si="20"/>
        <v>Sigurimet Shoqërore</v>
      </c>
      <c r="B77" s="1229">
        <f t="shared" si="20"/>
        <v>601</v>
      </c>
      <c r="C77" s="1230">
        <f t="shared" si="20"/>
        <v>0</v>
      </c>
      <c r="D77" s="1231">
        <f t="shared" si="20"/>
        <v>0</v>
      </c>
      <c r="E77" s="126"/>
      <c r="F77" s="126"/>
      <c r="G77" s="126"/>
      <c r="H77" s="30"/>
      <c r="I77" s="339" t="str">
        <f t="shared" si="19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20"/>
        <v>Mallra dhe shërbime</v>
      </c>
      <c r="B78" s="1229">
        <f t="shared" si="20"/>
        <v>602</v>
      </c>
      <c r="C78" s="1230">
        <f t="shared" si="20"/>
        <v>0</v>
      </c>
      <c r="D78" s="1231">
        <f t="shared" si="20"/>
        <v>0</v>
      </c>
      <c r="E78" s="126"/>
      <c r="F78" s="126"/>
      <c r="G78" s="126"/>
      <c r="H78" s="52"/>
      <c r="I78" s="339" t="str">
        <f t="shared" si="19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20"/>
        <v>Subvencione</v>
      </c>
      <c r="B79" s="1229">
        <f t="shared" si="20"/>
        <v>603</v>
      </c>
      <c r="C79" s="1230">
        <f t="shared" si="20"/>
        <v>0</v>
      </c>
      <c r="D79" s="1231">
        <f t="shared" si="20"/>
        <v>0</v>
      </c>
      <c r="E79" s="126"/>
      <c r="F79" s="126"/>
      <c r="G79" s="126"/>
      <c r="H79" s="8"/>
      <c r="I79" s="339" t="str">
        <f t="shared" si="19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20"/>
        <v>Të tjera transferta korrente të brendshme</v>
      </c>
      <c r="B80" s="1229">
        <f t="shared" si="20"/>
        <v>604</v>
      </c>
      <c r="C80" s="1230">
        <f t="shared" si="20"/>
        <v>0</v>
      </c>
      <c r="D80" s="1231">
        <f t="shared" si="20"/>
        <v>0</v>
      </c>
      <c r="E80" s="126"/>
      <c r="F80" s="126"/>
      <c r="G80" s="126"/>
      <c r="H80" s="52"/>
      <c r="I80" s="355" t="str">
        <f t="shared" si="19"/>
        <v>VLERËSIMI I TË ARDHURAVE ME DESTINACION</v>
      </c>
      <c r="J80" s="775">
        <f>VLOOKUP($A67,'(C1) Shpenzimet vitet e kaluara'!$A$9:$O$177,7,FALSE)</f>
        <v>750300000</v>
      </c>
      <c r="K80" s="775">
        <f>VLOOKUP($A67,'(C1) Shpenzimet vitet e kaluara'!$A$9:$O$177,11,FALSE)</f>
        <v>931944018</v>
      </c>
      <c r="L80" s="775">
        <f>VLOOKUP($A67,'(C1) Shpenzimet vitet e kaluara'!$A$9:$O$177,15,FALSE)</f>
        <v>934462425</v>
      </c>
      <c r="M80" s="126">
        <f>SUM(M76:M79)</f>
        <v>944008000</v>
      </c>
      <c r="N80" s="126">
        <f>SUM(N76:N79)</f>
        <v>944008000</v>
      </c>
      <c r="O80" s="126">
        <f>SUM(O76:O79)</f>
        <v>944008000</v>
      </c>
    </row>
    <row r="81" spans="1:15" ht="12.75" x14ac:dyDescent="0.2">
      <c r="A81" s="121" t="str">
        <f t="shared" si="20"/>
        <v>Transferta korrente të huaja</v>
      </c>
      <c r="B81" s="1229">
        <f t="shared" si="20"/>
        <v>605</v>
      </c>
      <c r="C81" s="1230">
        <f t="shared" si="20"/>
        <v>0</v>
      </c>
      <c r="D81" s="1231">
        <f t="shared" si="20"/>
        <v>0</v>
      </c>
      <c r="E81" s="126"/>
      <c r="F81" s="126"/>
      <c r="G81" s="126"/>
      <c r="H81" s="52"/>
      <c r="J81" s="776"/>
      <c r="K81" s="776"/>
      <c r="L81" s="776"/>
    </row>
    <row r="82" spans="1:15" ht="12.75" x14ac:dyDescent="0.2">
      <c r="A82" s="121" t="str">
        <f t="shared" si="20"/>
        <v>Transferta për Buxhetet Familiare dhe Individët</v>
      </c>
      <c r="B82" s="1229">
        <f t="shared" si="20"/>
        <v>606</v>
      </c>
      <c r="C82" s="1230">
        <f t="shared" si="20"/>
        <v>0</v>
      </c>
      <c r="D82" s="1231">
        <f t="shared" si="20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751666276</v>
      </c>
      <c r="K82" s="33">
        <f>K73+K80</f>
        <v>931944018</v>
      </c>
      <c r="L82" s="33">
        <f>L73+L80</f>
        <v>934462425</v>
      </c>
      <c r="M82" s="126">
        <f>M80+M73</f>
        <v>944008000</v>
      </c>
      <c r="N82" s="126">
        <f>N80+N73</f>
        <v>944008000</v>
      </c>
      <c r="O82" s="126">
        <f>O80+O73</f>
        <v>944008000</v>
      </c>
    </row>
    <row r="83" spans="1:15" ht="12.75" x14ac:dyDescent="0.2">
      <c r="A83" s="121" t="str">
        <f t="shared" si="20"/>
        <v>Shpenzimet kapitale</v>
      </c>
      <c r="B83" s="1229" t="str">
        <f t="shared" si="20"/>
        <v>230 / 231</v>
      </c>
      <c r="C83" s="1230">
        <f t="shared" si="20"/>
        <v>0</v>
      </c>
      <c r="D83" s="1231">
        <f t="shared" si="20"/>
        <v>0</v>
      </c>
      <c r="E83" s="36"/>
      <c r="F83" s="36"/>
      <c r="G83" s="36"/>
      <c r="H83" s="52"/>
    </row>
    <row r="84" spans="1:15" ht="12.75" x14ac:dyDescent="0.2">
      <c r="A84" s="121" t="str">
        <f t="shared" si="20"/>
        <v>Rezerva</v>
      </c>
      <c r="B84" s="1229">
        <f t="shared" si="20"/>
        <v>609</v>
      </c>
      <c r="C84" s="1230">
        <f t="shared" si="20"/>
        <v>0</v>
      </c>
      <c r="D84" s="1231">
        <f t="shared" si="20"/>
        <v>0</v>
      </c>
      <c r="E84" s="126"/>
      <c r="F84" s="126"/>
      <c r="G84" s="126"/>
      <c r="H84" s="52"/>
    </row>
    <row r="85" spans="1:15" ht="12.75" x14ac:dyDescent="0.2">
      <c r="A85" s="121" t="str">
        <f t="shared" si="20"/>
        <v>Interesa per kredi direkte ose bono</v>
      </c>
      <c r="B85" s="1229">
        <f t="shared" si="20"/>
        <v>650</v>
      </c>
      <c r="C85" s="1230">
        <f t="shared" si="20"/>
        <v>0</v>
      </c>
      <c r="D85" s="1231">
        <f t="shared" si="20"/>
        <v>0</v>
      </c>
      <c r="E85" s="126"/>
      <c r="F85" s="126"/>
      <c r="G85" s="126"/>
      <c r="H85" s="52"/>
    </row>
    <row r="86" spans="1:15" ht="12.75" x14ac:dyDescent="0.2">
      <c r="A86" s="121" t="str">
        <f t="shared" si="20"/>
        <v>Të tjera</v>
      </c>
      <c r="B86" s="1229" t="str">
        <f t="shared" si="20"/>
        <v>69 / ?</v>
      </c>
      <c r="C86" s="1230">
        <f t="shared" si="20"/>
        <v>0</v>
      </c>
      <c r="D86" s="1231">
        <f t="shared" si="20"/>
        <v>0</v>
      </c>
      <c r="E86" s="126"/>
      <c r="F86" s="126"/>
      <c r="G86" s="126"/>
      <c r="H86" s="52"/>
      <c r="I86" s="1235" t="str">
        <f t="shared" ref="I86:O87" si="21">I32</f>
        <v>SHUMA E KËRKUAR NETO</v>
      </c>
      <c r="J86" s="1236">
        <f t="shared" si="21"/>
        <v>0</v>
      </c>
      <c r="K86" s="1236">
        <f t="shared" si="21"/>
        <v>0</v>
      </c>
      <c r="L86" s="1236">
        <f t="shared" si="21"/>
        <v>0</v>
      </c>
      <c r="M86" s="1236">
        <f t="shared" si="21"/>
        <v>0</v>
      </c>
      <c r="N86" s="1236">
        <f t="shared" si="21"/>
        <v>0</v>
      </c>
      <c r="O86" s="1237">
        <f t="shared" si="21"/>
        <v>0</v>
      </c>
    </row>
    <row r="87" spans="1:15" ht="12" customHeight="1" x14ac:dyDescent="0.2">
      <c r="A87" s="268" t="str">
        <f t="shared" si="20"/>
        <v>KOSTO DIREKTE PËR PROJEKTET DHE SHPENZIMET KAPITALE</v>
      </c>
      <c r="B87" s="1229">
        <f t="shared" si="20"/>
        <v>0</v>
      </c>
      <c r="C87" s="1230">
        <f t="shared" si="20"/>
        <v>0</v>
      </c>
      <c r="D87" s="1231">
        <f t="shared" si="20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1"/>
        <v>0</v>
      </c>
      <c r="J87" s="1239">
        <f t="shared" si="21"/>
        <v>0</v>
      </c>
      <c r="K87" s="1239">
        <f t="shared" si="21"/>
        <v>0</v>
      </c>
      <c r="L87" s="1239">
        <f t="shared" si="21"/>
        <v>0</v>
      </c>
      <c r="M87" s="1239">
        <f t="shared" si="21"/>
        <v>0</v>
      </c>
      <c r="N87" s="1239">
        <f t="shared" si="21"/>
        <v>0</v>
      </c>
      <c r="O87" s="1240">
        <f t="shared" si="21"/>
        <v>0</v>
      </c>
    </row>
    <row r="88" spans="1:15" ht="12.75" x14ac:dyDescent="0.2">
      <c r="A88" s="1226" t="str">
        <f t="shared" si="20"/>
        <v>SHPENZIME KORRENTE</v>
      </c>
      <c r="B88" s="1227">
        <f t="shared" si="20"/>
        <v>0</v>
      </c>
      <c r="C88" s="1227">
        <f t="shared" si="20"/>
        <v>0</v>
      </c>
      <c r="D88" s="1227">
        <f t="shared" si="20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2">B72-J82</f>
        <v>3265002</v>
      </c>
      <c r="K88" s="18">
        <f t="shared" si="22"/>
        <v>5976172</v>
      </c>
      <c r="L88" s="18">
        <f t="shared" si="22"/>
        <v>6000927</v>
      </c>
      <c r="M88" s="780">
        <f t="shared" si="22"/>
        <v>13781000</v>
      </c>
      <c r="N88" s="780">
        <f t="shared" si="22"/>
        <v>13781000</v>
      </c>
      <c r="O88" s="780">
        <f t="shared" si="22"/>
        <v>13781000</v>
      </c>
    </row>
    <row r="89" spans="1:15" ht="12.75" x14ac:dyDescent="0.2">
      <c r="A89" s="121" t="str">
        <f t="shared" si="20"/>
        <v>Pagat</v>
      </c>
      <c r="B89" s="1229">
        <f t="shared" si="20"/>
        <v>600</v>
      </c>
      <c r="C89" s="1230">
        <f t="shared" si="20"/>
        <v>0</v>
      </c>
      <c r="D89" s="1231">
        <f t="shared" si="20"/>
        <v>0</v>
      </c>
      <c r="E89" s="708">
        <v>5438470</v>
      </c>
      <c r="F89" s="708">
        <v>5287051</v>
      </c>
      <c r="G89" s="708">
        <v>5383406</v>
      </c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20"/>
        <v>Sigurimet Shoqërore</v>
      </c>
      <c r="B90" s="1229">
        <f t="shared" si="20"/>
        <v>601</v>
      </c>
      <c r="C90" s="1230">
        <f t="shared" si="20"/>
        <v>0</v>
      </c>
      <c r="D90" s="1231">
        <f t="shared" si="20"/>
        <v>0</v>
      </c>
      <c r="E90" s="708">
        <v>908530</v>
      </c>
      <c r="F90" s="708">
        <v>1059949</v>
      </c>
      <c r="G90" s="708">
        <v>963594</v>
      </c>
      <c r="H90" s="52"/>
    </row>
    <row r="91" spans="1:15" ht="12.75" x14ac:dyDescent="0.2">
      <c r="A91" s="121" t="str">
        <f t="shared" si="20"/>
        <v>Mallra dhe shërbime</v>
      </c>
      <c r="B91" s="1229">
        <f t="shared" si="20"/>
        <v>602</v>
      </c>
      <c r="C91" s="1230">
        <f t="shared" si="20"/>
        <v>0</v>
      </c>
      <c r="D91" s="1231">
        <f t="shared" si="20"/>
        <v>0</v>
      </c>
      <c r="E91" s="708">
        <v>19948000</v>
      </c>
      <c r="F91" s="708">
        <v>19948000</v>
      </c>
      <c r="G91" s="708">
        <v>19948000</v>
      </c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20"/>
        <v>Subvencione</v>
      </c>
      <c r="B92" s="1229">
        <f t="shared" si="20"/>
        <v>603</v>
      </c>
      <c r="C92" s="1230">
        <f t="shared" si="20"/>
        <v>0</v>
      </c>
      <c r="D92" s="1231">
        <f t="shared" si="20"/>
        <v>0</v>
      </c>
      <c r="E92" s="708"/>
      <c r="F92" s="708"/>
      <c r="G92" s="708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20"/>
        <v>Të tjera transferta korrente të brendshme</v>
      </c>
      <c r="B93" s="1229">
        <f t="shared" si="20"/>
        <v>604</v>
      </c>
      <c r="C93" s="1230">
        <f t="shared" si="20"/>
        <v>0</v>
      </c>
      <c r="D93" s="1231">
        <f t="shared" si="20"/>
        <v>0</v>
      </c>
      <c r="E93" s="708"/>
      <c r="F93" s="708"/>
      <c r="G93" s="708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20"/>
        <v>Transferta korrente të huaja</v>
      </c>
      <c r="B94" s="1229">
        <f t="shared" si="20"/>
        <v>605</v>
      </c>
      <c r="C94" s="1230">
        <f t="shared" si="20"/>
        <v>0</v>
      </c>
      <c r="D94" s="1231">
        <f t="shared" si="20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20"/>
        <v>Transferta për Buxhetet Familiare dhe Individët</v>
      </c>
      <c r="B95" s="1229">
        <f t="shared" si="20"/>
        <v>606</v>
      </c>
      <c r="C95" s="1230">
        <f t="shared" si="20"/>
        <v>0</v>
      </c>
      <c r="D95" s="1231">
        <f t="shared" si="20"/>
        <v>0</v>
      </c>
      <c r="E95" s="708">
        <v>931494000</v>
      </c>
      <c r="F95" s="708">
        <v>931494000</v>
      </c>
      <c r="G95" s="708">
        <v>931494000</v>
      </c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20"/>
        <v>Shpenzimet kapitale</v>
      </c>
      <c r="B96" s="1256" t="str">
        <f t="shared" si="20"/>
        <v>230 / 231</v>
      </c>
      <c r="C96" s="1257">
        <f t="shared" si="20"/>
        <v>0</v>
      </c>
      <c r="D96" s="1258">
        <f t="shared" si="20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20"/>
        <v>Rezerva</v>
      </c>
      <c r="B97" s="1229">
        <f t="shared" si="20"/>
        <v>609</v>
      </c>
      <c r="C97" s="1230">
        <f t="shared" si="20"/>
        <v>0</v>
      </c>
      <c r="D97" s="1231">
        <f t="shared" si="20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20"/>
        <v>Interesa per kredi direkte ose bono</v>
      </c>
      <c r="B98" s="1259">
        <f t="shared" si="20"/>
        <v>650</v>
      </c>
      <c r="C98" s="1260">
        <f t="shared" si="20"/>
        <v>0</v>
      </c>
      <c r="D98" s="1261">
        <f t="shared" si="20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716">
        <f>-E87+E72-(SUM(E89:E98))</f>
        <v>0</v>
      </c>
      <c r="F99" s="717">
        <f>-F87+F72-(SUM(F89:F98))</f>
        <v>0</v>
      </c>
      <c r="G99" s="717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713">
        <f>SUM(E89:E99)</f>
        <v>957789000</v>
      </c>
      <c r="F100" s="713">
        <f>SUM(F89:F99)</f>
        <v>957789000</v>
      </c>
      <c r="G100" s="713">
        <f>SUM(G89:G99)</f>
        <v>957789000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276"/>
      <c r="F101" s="276"/>
      <c r="G101" s="712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754931278</v>
      </c>
      <c r="C102" s="33">
        <f>C72</f>
        <v>937920190</v>
      </c>
      <c r="D102" s="33">
        <f>D72</f>
        <v>940463352</v>
      </c>
      <c r="E102" s="713">
        <f>E87+E100</f>
        <v>957789000</v>
      </c>
      <c r="F102" s="713">
        <f>F87+F100</f>
        <v>957789000</v>
      </c>
      <c r="G102" s="713">
        <f>G87+G100</f>
        <v>957789000</v>
      </c>
      <c r="H102" s="52"/>
      <c r="I102" s="366"/>
      <c r="J102" s="1277"/>
      <c r="K102" s="1278"/>
      <c r="L102" s="1278"/>
      <c r="M102" s="1278"/>
      <c r="N102" s="1278"/>
      <c r="O102" s="1279"/>
    </row>
    <row r="104" spans="1:15" ht="17.25" hidden="1" customHeight="1" x14ac:dyDescent="0.2"/>
    <row r="105" spans="1:15" ht="17.25" hidden="1" customHeight="1" x14ac:dyDescent="0.2">
      <c r="A105" s="204" t="str">
        <f t="shared" ref="A105:O105" si="23">A66</f>
        <v>Nënfunksioni 25</v>
      </c>
      <c r="B105" s="1225" t="str">
        <f t="shared" si="23"/>
        <v>104 Familje dhe fëmijë</v>
      </c>
      <c r="C105" s="1225">
        <f t="shared" si="23"/>
        <v>0</v>
      </c>
      <c r="D105" s="1225">
        <f t="shared" si="23"/>
        <v>0</v>
      </c>
      <c r="E105" s="1225">
        <f t="shared" si="23"/>
        <v>0</v>
      </c>
      <c r="F105" s="1225">
        <f t="shared" si="23"/>
        <v>0</v>
      </c>
      <c r="G105" s="1225">
        <f t="shared" si="23"/>
        <v>0</v>
      </c>
      <c r="H105" s="1225">
        <f t="shared" si="23"/>
        <v>0</v>
      </c>
      <c r="I105" s="1225">
        <f t="shared" si="23"/>
        <v>0</v>
      </c>
      <c r="J105" s="1225">
        <f t="shared" si="23"/>
        <v>0</v>
      </c>
      <c r="K105" s="1225">
        <f t="shared" si="23"/>
        <v>0</v>
      </c>
      <c r="L105" s="1225">
        <f t="shared" si="23"/>
        <v>0</v>
      </c>
      <c r="M105" s="1225">
        <f t="shared" si="23"/>
        <v>0</v>
      </c>
      <c r="N105" s="1225">
        <f t="shared" si="23"/>
        <v>0</v>
      </c>
      <c r="O105" s="1225">
        <f t="shared" si="23"/>
        <v>0</v>
      </c>
    </row>
    <row r="106" spans="1:15" ht="17.25" hidden="1" customHeight="1" x14ac:dyDescent="0.2">
      <c r="A106" s="262" t="str">
        <f>A7</f>
        <v>Programi 26b</v>
      </c>
      <c r="B106" s="1225" t="str">
        <f>C7</f>
        <v>Përfshirja sociale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hidden="1" customHeight="1" x14ac:dyDescent="0.2">
      <c r="A107" s="562" t="str">
        <f>'(B3) Struktura Funksionale'!B133</f>
        <v>10460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hidden="1" customHeight="1" x14ac:dyDescent="0.2">
      <c r="A108" s="1252" t="str">
        <f t="shared" ref="A108:G108" si="24">A69</f>
        <v>SHPENZIME TË PRITSHME</v>
      </c>
      <c r="B108" s="1253">
        <f t="shared" si="24"/>
        <v>0</v>
      </c>
      <c r="C108" s="1253">
        <f t="shared" si="24"/>
        <v>0</v>
      </c>
      <c r="D108" s="1253">
        <f t="shared" si="24"/>
        <v>0</v>
      </c>
      <c r="E108" s="1253">
        <f t="shared" si="24"/>
        <v>0</v>
      </c>
      <c r="F108" s="1253">
        <f t="shared" si="24"/>
        <v>0</v>
      </c>
      <c r="G108" s="1254">
        <f t="shared" si="24"/>
        <v>0</v>
      </c>
      <c r="H108" s="128"/>
      <c r="I108" s="1255" t="str">
        <f t="shared" ref="I108:O108" si="25">I69</f>
        <v xml:space="preserve">TË ARDHURAT E PRITSHME </v>
      </c>
      <c r="J108" s="1253">
        <f t="shared" si="25"/>
        <v>0</v>
      </c>
      <c r="K108" s="1253">
        <f t="shared" si="25"/>
        <v>0</v>
      </c>
      <c r="L108" s="1253">
        <f t="shared" si="25"/>
        <v>0</v>
      </c>
      <c r="M108" s="1253">
        <f t="shared" si="25"/>
        <v>0</v>
      </c>
      <c r="N108" s="1253">
        <f t="shared" si="25"/>
        <v>0</v>
      </c>
      <c r="O108" s="1254">
        <f t="shared" si="25"/>
        <v>0</v>
      </c>
    </row>
    <row r="109" spans="1:15" ht="21" hidden="1" customHeight="1" x14ac:dyDescent="0.2">
      <c r="A109" s="202"/>
      <c r="B109" s="363">
        <f t="shared" ref="B109:G109" si="26">B70</f>
        <v>2019</v>
      </c>
      <c r="C109" s="363">
        <f t="shared" si="26"/>
        <v>2020</v>
      </c>
      <c r="D109" s="363">
        <f t="shared" si="26"/>
        <v>2021</v>
      </c>
      <c r="E109" s="238">
        <f t="shared" si="26"/>
        <v>2022</v>
      </c>
      <c r="F109" s="238">
        <f t="shared" si="26"/>
        <v>2023</v>
      </c>
      <c r="G109" s="238">
        <f t="shared" si="26"/>
        <v>2024</v>
      </c>
      <c r="H109" s="203"/>
      <c r="I109" s="360"/>
      <c r="J109" s="363">
        <f t="shared" ref="J109:O109" si="27">J70</f>
        <v>2019</v>
      </c>
      <c r="K109" s="363">
        <f t="shared" si="27"/>
        <v>2020</v>
      </c>
      <c r="L109" s="363">
        <f t="shared" si="27"/>
        <v>2021</v>
      </c>
      <c r="M109" s="238">
        <f t="shared" si="27"/>
        <v>2022</v>
      </c>
      <c r="N109" s="238">
        <f t="shared" si="27"/>
        <v>2023</v>
      </c>
      <c r="O109" s="238">
        <f t="shared" si="27"/>
        <v>2024</v>
      </c>
    </row>
    <row r="110" spans="1:15" ht="12.75" hidden="1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hidden="1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>I72</f>
        <v>VLERËSIM I ARDHURAVE NGA TARIFAT</v>
      </c>
      <c r="J111" s="1227"/>
      <c r="K111" s="1227"/>
      <c r="L111" s="1227"/>
      <c r="M111" s="1227"/>
      <c r="N111" s="1227"/>
      <c r="O111" s="1228"/>
    </row>
    <row r="112" spans="1:15" ht="12.75" hidden="1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hidden="1" x14ac:dyDescent="0.2">
      <c r="A113" s="1232" t="str">
        <f t="shared" ref="A113:G114" si="28">A74</f>
        <v>SHPENZIME TË PRITSHME</v>
      </c>
      <c r="B113" s="1233">
        <f t="shared" si="28"/>
        <v>0</v>
      </c>
      <c r="C113" s="1233">
        <f t="shared" si="28"/>
        <v>0</v>
      </c>
      <c r="D113" s="1233">
        <f t="shared" si="28"/>
        <v>0</v>
      </c>
      <c r="E113" s="1233">
        <f t="shared" si="28"/>
        <v>0</v>
      </c>
      <c r="F113" s="1233">
        <f t="shared" si="28"/>
        <v>0</v>
      </c>
      <c r="G113" s="1234">
        <f t="shared" si="28"/>
        <v>0</v>
      </c>
      <c r="H113" s="10"/>
    </row>
    <row r="114" spans="1:15" ht="12.75" hidden="1" x14ac:dyDescent="0.2">
      <c r="A114" s="1226" t="str">
        <f t="shared" si="28"/>
        <v>KOSTO DIREKTE PËR PROJEKTET DHE SHPENZIMET KAPITALE</v>
      </c>
      <c r="B114" s="1227">
        <f t="shared" si="28"/>
        <v>0</v>
      </c>
      <c r="C114" s="1227">
        <f t="shared" si="28"/>
        <v>0</v>
      </c>
      <c r="D114" s="1227">
        <f t="shared" si="28"/>
        <v>0</v>
      </c>
      <c r="E114" s="1227">
        <f t="shared" si="28"/>
        <v>0</v>
      </c>
      <c r="F114" s="1227">
        <f t="shared" si="28"/>
        <v>0</v>
      </c>
      <c r="G114" s="1228">
        <f t="shared" si="28"/>
        <v>0</v>
      </c>
      <c r="H114" s="30"/>
      <c r="I114" s="1226" t="str">
        <f t="shared" ref="I114:I119" si="29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hidden="1" x14ac:dyDescent="0.2">
      <c r="A115" s="121" t="str">
        <f t="shared" ref="A115:D137" si="30">A76</f>
        <v>Pagat</v>
      </c>
      <c r="B115" s="1229">
        <f t="shared" si="30"/>
        <v>600</v>
      </c>
      <c r="C115" s="1230">
        <f t="shared" si="30"/>
        <v>0</v>
      </c>
      <c r="D115" s="1231">
        <f t="shared" si="30"/>
        <v>0</v>
      </c>
      <c r="E115" s="126"/>
      <c r="F115" s="126"/>
      <c r="G115" s="126"/>
      <c r="H115" s="30"/>
      <c r="I115" s="339" t="str">
        <f t="shared" si="29"/>
        <v>Transferta e kushtëzuar</v>
      </c>
      <c r="J115" s="336"/>
      <c r="K115" s="338"/>
      <c r="L115" s="337"/>
      <c r="M115" s="125"/>
      <c r="N115" s="125"/>
      <c r="O115" s="129"/>
    </row>
    <row r="116" spans="1:15" ht="12.75" hidden="1" x14ac:dyDescent="0.2">
      <c r="A116" s="121" t="str">
        <f t="shared" si="30"/>
        <v>Sigurimet Shoqërore</v>
      </c>
      <c r="B116" s="1229">
        <f t="shared" si="30"/>
        <v>601</v>
      </c>
      <c r="C116" s="1230">
        <f t="shared" si="30"/>
        <v>0</v>
      </c>
      <c r="D116" s="1231">
        <f t="shared" si="30"/>
        <v>0</v>
      </c>
      <c r="E116" s="126"/>
      <c r="F116" s="126"/>
      <c r="G116" s="126"/>
      <c r="H116" s="30"/>
      <c r="I116" s="339" t="str">
        <f t="shared" si="29"/>
        <v>Trasferta Specifike</v>
      </c>
      <c r="J116" s="336"/>
      <c r="K116" s="338"/>
      <c r="L116" s="337"/>
      <c r="M116" s="125"/>
      <c r="N116" s="125"/>
      <c r="O116" s="129"/>
    </row>
    <row r="117" spans="1:15" ht="12.75" hidden="1" x14ac:dyDescent="0.2">
      <c r="A117" s="121" t="str">
        <f t="shared" si="30"/>
        <v>Mallra dhe shërbime</v>
      </c>
      <c r="B117" s="1229">
        <f t="shared" si="30"/>
        <v>602</v>
      </c>
      <c r="C117" s="1230">
        <f t="shared" si="30"/>
        <v>0</v>
      </c>
      <c r="D117" s="1231">
        <f t="shared" si="30"/>
        <v>0</v>
      </c>
      <c r="E117" s="126"/>
      <c r="F117" s="126"/>
      <c r="G117" s="126"/>
      <c r="H117" s="52"/>
      <c r="I117" s="339" t="str">
        <f t="shared" si="29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hidden="1" x14ac:dyDescent="0.2">
      <c r="A118" s="121" t="str">
        <f t="shared" si="30"/>
        <v>Subvencione</v>
      </c>
      <c r="B118" s="1229">
        <f t="shared" si="30"/>
        <v>603</v>
      </c>
      <c r="C118" s="1230">
        <f t="shared" si="30"/>
        <v>0</v>
      </c>
      <c r="D118" s="1231">
        <f t="shared" si="30"/>
        <v>0</v>
      </c>
      <c r="E118" s="126"/>
      <c r="F118" s="126"/>
      <c r="G118" s="126"/>
      <c r="H118" s="8"/>
      <c r="I118" s="339" t="str">
        <f t="shared" si="29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hidden="1" x14ac:dyDescent="0.2">
      <c r="A119" s="121" t="str">
        <f t="shared" si="30"/>
        <v>Të tjera transferta korrente të brendshme</v>
      </c>
      <c r="B119" s="1229">
        <f t="shared" si="30"/>
        <v>604</v>
      </c>
      <c r="C119" s="1230">
        <f t="shared" si="30"/>
        <v>0</v>
      </c>
      <c r="D119" s="1231">
        <f t="shared" si="30"/>
        <v>0</v>
      </c>
      <c r="E119" s="126"/>
      <c r="F119" s="126"/>
      <c r="G119" s="126"/>
      <c r="H119" s="52"/>
      <c r="I119" s="339" t="str">
        <f t="shared" si="29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hidden="1" x14ac:dyDescent="0.2">
      <c r="A120" s="121" t="str">
        <f t="shared" si="30"/>
        <v>Transferta korrente të huaja</v>
      </c>
      <c r="B120" s="1229">
        <f t="shared" si="30"/>
        <v>605</v>
      </c>
      <c r="C120" s="1230">
        <f t="shared" si="30"/>
        <v>0</v>
      </c>
      <c r="D120" s="1231">
        <f t="shared" si="30"/>
        <v>0</v>
      </c>
      <c r="E120" s="126"/>
      <c r="F120" s="126"/>
      <c r="G120" s="126"/>
      <c r="H120" s="52"/>
    </row>
    <row r="121" spans="1:15" ht="12.75" hidden="1" x14ac:dyDescent="0.2">
      <c r="A121" s="121" t="str">
        <f t="shared" si="30"/>
        <v>Transferta për Buxhetet Familiare dhe Individët</v>
      </c>
      <c r="B121" s="1229">
        <f t="shared" si="30"/>
        <v>606</v>
      </c>
      <c r="C121" s="1230">
        <f t="shared" si="30"/>
        <v>0</v>
      </c>
      <c r="D121" s="1231">
        <f t="shared" si="30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hidden="1" x14ac:dyDescent="0.2">
      <c r="A122" s="121" t="str">
        <f t="shared" si="30"/>
        <v>Shpenzimet kapitale</v>
      </c>
      <c r="B122" s="1229" t="str">
        <f t="shared" si="30"/>
        <v>230 / 231</v>
      </c>
      <c r="C122" s="1230">
        <f t="shared" si="30"/>
        <v>0</v>
      </c>
      <c r="D122" s="1231">
        <f t="shared" si="30"/>
        <v>0</v>
      </c>
      <c r="E122" s="36"/>
      <c r="F122" s="36"/>
      <c r="G122" s="36"/>
      <c r="H122" s="52"/>
    </row>
    <row r="123" spans="1:15" ht="12.75" hidden="1" x14ac:dyDescent="0.2">
      <c r="A123" s="121" t="str">
        <f t="shared" si="30"/>
        <v>Rezerva</v>
      </c>
      <c r="B123" s="1229">
        <f t="shared" si="30"/>
        <v>609</v>
      </c>
      <c r="C123" s="1230">
        <f t="shared" si="30"/>
        <v>0</v>
      </c>
      <c r="D123" s="1231">
        <f t="shared" si="30"/>
        <v>0</v>
      </c>
      <c r="E123" s="126"/>
      <c r="F123" s="126"/>
      <c r="G123" s="126"/>
      <c r="H123" s="52"/>
    </row>
    <row r="124" spans="1:15" ht="12.75" hidden="1" x14ac:dyDescent="0.2">
      <c r="A124" s="121" t="str">
        <f t="shared" si="30"/>
        <v>Interesa per kredi direkte ose bono</v>
      </c>
      <c r="B124" s="1229">
        <f t="shared" si="30"/>
        <v>650</v>
      </c>
      <c r="C124" s="1230">
        <f t="shared" si="30"/>
        <v>0</v>
      </c>
      <c r="D124" s="1231">
        <f t="shared" si="30"/>
        <v>0</v>
      </c>
      <c r="E124" s="126"/>
      <c r="F124" s="126"/>
      <c r="G124" s="126"/>
      <c r="H124" s="52"/>
    </row>
    <row r="125" spans="1:15" ht="12.75" hidden="1" x14ac:dyDescent="0.2">
      <c r="A125" s="121" t="str">
        <f t="shared" si="30"/>
        <v>Të tjera</v>
      </c>
      <c r="B125" s="1229" t="str">
        <f t="shared" si="30"/>
        <v>69 / ?</v>
      </c>
      <c r="C125" s="1230">
        <f t="shared" si="30"/>
        <v>0</v>
      </c>
      <c r="D125" s="1231">
        <f t="shared" si="30"/>
        <v>0</v>
      </c>
      <c r="E125" s="126"/>
      <c r="F125" s="126"/>
      <c r="G125" s="126"/>
      <c r="H125" s="52"/>
      <c r="I125" s="1235" t="str">
        <f t="shared" ref="I125:O126" si="31">I86</f>
        <v>SHUMA E KËRKUAR NETO</v>
      </c>
      <c r="J125" s="1236">
        <f t="shared" si="31"/>
        <v>0</v>
      </c>
      <c r="K125" s="1236">
        <f t="shared" si="31"/>
        <v>0</v>
      </c>
      <c r="L125" s="1236">
        <f t="shared" si="31"/>
        <v>0</v>
      </c>
      <c r="M125" s="1236">
        <f t="shared" si="31"/>
        <v>0</v>
      </c>
      <c r="N125" s="1236">
        <f t="shared" si="31"/>
        <v>0</v>
      </c>
      <c r="O125" s="1237">
        <f t="shared" si="31"/>
        <v>0</v>
      </c>
    </row>
    <row r="126" spans="1:15" ht="12.75" hidden="1" customHeight="1" x14ac:dyDescent="0.2">
      <c r="A126" s="268" t="str">
        <f t="shared" si="30"/>
        <v>KOSTO DIREKTE PËR PROJEKTET DHE SHPENZIMET KAPITALE</v>
      </c>
      <c r="B126" s="1229">
        <f t="shared" si="30"/>
        <v>0</v>
      </c>
      <c r="C126" s="1230">
        <f t="shared" si="30"/>
        <v>0</v>
      </c>
      <c r="D126" s="1231">
        <f t="shared" si="30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1"/>
        <v>0</v>
      </c>
      <c r="J126" s="1239">
        <f t="shared" si="31"/>
        <v>0</v>
      </c>
      <c r="K126" s="1239">
        <f t="shared" si="31"/>
        <v>0</v>
      </c>
      <c r="L126" s="1239">
        <f t="shared" si="31"/>
        <v>0</v>
      </c>
      <c r="M126" s="1239">
        <f t="shared" si="31"/>
        <v>0</v>
      </c>
      <c r="N126" s="1239">
        <f t="shared" si="31"/>
        <v>0</v>
      </c>
      <c r="O126" s="1240">
        <f t="shared" si="31"/>
        <v>0</v>
      </c>
    </row>
    <row r="127" spans="1:15" ht="12.75" hidden="1" x14ac:dyDescent="0.2">
      <c r="A127" s="1226" t="str">
        <f t="shared" si="30"/>
        <v>SHPENZIME KORRENTE</v>
      </c>
      <c r="B127" s="1227">
        <f t="shared" si="30"/>
        <v>0</v>
      </c>
      <c r="C127" s="1227">
        <f t="shared" si="30"/>
        <v>0</v>
      </c>
      <c r="D127" s="1227">
        <f t="shared" si="30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2">B111-J121</f>
        <v>0</v>
      </c>
      <c r="K127" s="18">
        <f t="shared" si="32"/>
        <v>0</v>
      </c>
      <c r="L127" s="18">
        <f t="shared" si="32"/>
        <v>0</v>
      </c>
      <c r="M127" s="18">
        <f t="shared" si="32"/>
        <v>0</v>
      </c>
      <c r="N127" s="18">
        <f t="shared" si="32"/>
        <v>0</v>
      </c>
      <c r="O127" s="18">
        <f t="shared" si="32"/>
        <v>0</v>
      </c>
    </row>
    <row r="128" spans="1:15" ht="12.75" hidden="1" x14ac:dyDescent="0.2">
      <c r="A128" s="121" t="str">
        <f t="shared" si="30"/>
        <v>Pagat</v>
      </c>
      <c r="B128" s="1229">
        <f t="shared" si="30"/>
        <v>600</v>
      </c>
      <c r="C128" s="1230">
        <f t="shared" si="30"/>
        <v>0</v>
      </c>
      <c r="D128" s="1231">
        <f t="shared" si="30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hidden="1" x14ac:dyDescent="0.2">
      <c r="A129" s="121" t="str">
        <f t="shared" si="30"/>
        <v>Sigurimet Shoqërore</v>
      </c>
      <c r="B129" s="1229">
        <f t="shared" si="30"/>
        <v>601</v>
      </c>
      <c r="C129" s="1230">
        <f t="shared" si="30"/>
        <v>0</v>
      </c>
      <c r="D129" s="1231">
        <f t="shared" si="30"/>
        <v>0</v>
      </c>
      <c r="E129" s="36"/>
      <c r="F129" s="36"/>
      <c r="G129" s="36"/>
      <c r="H129" s="52"/>
    </row>
    <row r="130" spans="1:15" ht="12.75" hidden="1" x14ac:dyDescent="0.2">
      <c r="A130" s="121" t="str">
        <f t="shared" si="30"/>
        <v>Mallra dhe shërbime</v>
      </c>
      <c r="B130" s="1229">
        <f t="shared" si="30"/>
        <v>602</v>
      </c>
      <c r="C130" s="1230">
        <f t="shared" si="30"/>
        <v>0</v>
      </c>
      <c r="D130" s="1231">
        <f t="shared" si="30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hidden="1" x14ac:dyDescent="0.2">
      <c r="A131" s="121" t="str">
        <f t="shared" si="30"/>
        <v>Subvencione</v>
      </c>
      <c r="B131" s="1229">
        <f t="shared" si="30"/>
        <v>603</v>
      </c>
      <c r="C131" s="1230">
        <f t="shared" si="30"/>
        <v>0</v>
      </c>
      <c r="D131" s="1231">
        <f t="shared" si="30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hidden="1" x14ac:dyDescent="0.2">
      <c r="A132" s="121" t="str">
        <f t="shared" si="30"/>
        <v>Të tjera transferta korrente të brendshme</v>
      </c>
      <c r="B132" s="1229">
        <f t="shared" si="30"/>
        <v>604</v>
      </c>
      <c r="C132" s="1230">
        <f t="shared" si="30"/>
        <v>0</v>
      </c>
      <c r="D132" s="1231">
        <f t="shared" si="30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hidden="1" x14ac:dyDescent="0.2">
      <c r="A133" s="121" t="str">
        <f t="shared" si="30"/>
        <v>Transferta korrente të huaja</v>
      </c>
      <c r="B133" s="1229">
        <f t="shared" si="30"/>
        <v>605</v>
      </c>
      <c r="C133" s="1230">
        <f t="shared" si="30"/>
        <v>0</v>
      </c>
      <c r="D133" s="1231">
        <f t="shared" si="30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hidden="1" x14ac:dyDescent="0.2">
      <c r="A134" s="121" t="str">
        <f t="shared" si="30"/>
        <v>Transferta për Buxhetet Familiare dhe Individët</v>
      </c>
      <c r="B134" s="1229">
        <f t="shared" si="30"/>
        <v>606</v>
      </c>
      <c r="C134" s="1230">
        <f t="shared" si="30"/>
        <v>0</v>
      </c>
      <c r="D134" s="1231">
        <f t="shared" si="30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hidden="1" x14ac:dyDescent="0.2">
      <c r="A135" s="564" t="str">
        <f t="shared" si="30"/>
        <v>Shpenzimet kapitale</v>
      </c>
      <c r="B135" s="1256" t="str">
        <f t="shared" si="30"/>
        <v>230 / 231</v>
      </c>
      <c r="C135" s="1257">
        <f t="shared" si="30"/>
        <v>0</v>
      </c>
      <c r="D135" s="1258">
        <f t="shared" si="30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hidden="1" x14ac:dyDescent="0.2">
      <c r="A136" s="121" t="str">
        <f t="shared" si="30"/>
        <v>Rezerva</v>
      </c>
      <c r="B136" s="1229">
        <f t="shared" si="30"/>
        <v>609</v>
      </c>
      <c r="C136" s="1230">
        <f t="shared" si="30"/>
        <v>0</v>
      </c>
      <c r="D136" s="1231">
        <f t="shared" si="30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hidden="1" x14ac:dyDescent="0.2">
      <c r="A137" s="121" t="str">
        <f t="shared" si="30"/>
        <v>Interesa per kredi direkte ose bono</v>
      </c>
      <c r="B137" s="1259">
        <f t="shared" si="30"/>
        <v>650</v>
      </c>
      <c r="C137" s="1260">
        <f t="shared" si="30"/>
        <v>0</v>
      </c>
      <c r="D137" s="1261">
        <f t="shared" si="30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hidden="1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hidden="1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hidden="1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hidden="1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2" spans="1:15" ht="17.25" hidden="1" customHeight="1" x14ac:dyDescent="0.2"/>
    <row r="144" spans="1:15" ht="17.25" customHeight="1" x14ac:dyDescent="0.2">
      <c r="A144" s="204" t="str">
        <f t="shared" ref="A144:O144" si="33">A66</f>
        <v>Nënfunksioni 25</v>
      </c>
      <c r="B144" s="1225" t="str">
        <f t="shared" si="33"/>
        <v>104 Familje dhe fëmijë</v>
      </c>
      <c r="C144" s="1225">
        <f t="shared" si="33"/>
        <v>0</v>
      </c>
      <c r="D144" s="1225">
        <f t="shared" si="33"/>
        <v>0</v>
      </c>
      <c r="E144" s="1225">
        <f t="shared" si="33"/>
        <v>0</v>
      </c>
      <c r="F144" s="1225">
        <f t="shared" si="33"/>
        <v>0</v>
      </c>
      <c r="G144" s="1225">
        <f t="shared" si="33"/>
        <v>0</v>
      </c>
      <c r="H144" s="1225">
        <f t="shared" si="33"/>
        <v>0</v>
      </c>
      <c r="I144" s="1225">
        <f t="shared" si="33"/>
        <v>0</v>
      </c>
      <c r="J144" s="1225">
        <f t="shared" si="33"/>
        <v>0</v>
      </c>
      <c r="K144" s="1225">
        <f t="shared" si="33"/>
        <v>0</v>
      </c>
      <c r="L144" s="1225">
        <f t="shared" si="33"/>
        <v>0</v>
      </c>
      <c r="M144" s="1225">
        <f t="shared" si="33"/>
        <v>0</v>
      </c>
      <c r="N144" s="1225">
        <f t="shared" si="33"/>
        <v>0</v>
      </c>
      <c r="O144" s="1225">
        <f t="shared" si="33"/>
        <v>0</v>
      </c>
    </row>
    <row r="145" spans="1:15" ht="17.25" customHeight="1" x14ac:dyDescent="0.2">
      <c r="A145" s="262" t="str">
        <f>A8</f>
        <v>Programi 26c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Funksionale'!B134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4">A69</f>
        <v>SHPENZIME TË PRITSHME</v>
      </c>
      <c r="B147" s="1253">
        <f t="shared" si="34"/>
        <v>0</v>
      </c>
      <c r="C147" s="1253">
        <f t="shared" si="34"/>
        <v>0</v>
      </c>
      <c r="D147" s="1253">
        <f t="shared" si="34"/>
        <v>0</v>
      </c>
      <c r="E147" s="1253">
        <f t="shared" si="34"/>
        <v>0</v>
      </c>
      <c r="F147" s="1253">
        <f t="shared" si="34"/>
        <v>0</v>
      </c>
      <c r="G147" s="1254">
        <f t="shared" si="34"/>
        <v>0</v>
      </c>
      <c r="H147" s="128"/>
      <c r="I147" s="1255" t="str">
        <f t="shared" ref="I147:O147" si="35">I69</f>
        <v xml:space="preserve">TË ARDHURAT E PRITSHME </v>
      </c>
      <c r="J147" s="1253">
        <f t="shared" si="35"/>
        <v>0</v>
      </c>
      <c r="K147" s="1253">
        <f t="shared" si="35"/>
        <v>0</v>
      </c>
      <c r="L147" s="1253">
        <f t="shared" si="35"/>
        <v>0</v>
      </c>
      <c r="M147" s="1253">
        <f t="shared" si="35"/>
        <v>0</v>
      </c>
      <c r="N147" s="1253">
        <f t="shared" si="35"/>
        <v>0</v>
      </c>
      <c r="O147" s="1254">
        <f t="shared" si="35"/>
        <v>0</v>
      </c>
    </row>
    <row r="148" spans="1:15" ht="20.25" customHeight="1" x14ac:dyDescent="0.2">
      <c r="A148" s="202"/>
      <c r="B148" s="363">
        <f t="shared" ref="B148:G148" si="36">B70</f>
        <v>2019</v>
      </c>
      <c r="C148" s="363">
        <f t="shared" si="36"/>
        <v>2020</v>
      </c>
      <c r="D148" s="363">
        <f t="shared" si="36"/>
        <v>2021</v>
      </c>
      <c r="E148" s="238">
        <f t="shared" si="36"/>
        <v>2022</v>
      </c>
      <c r="F148" s="238">
        <f t="shared" si="36"/>
        <v>2023</v>
      </c>
      <c r="G148" s="238">
        <f t="shared" si="36"/>
        <v>2024</v>
      </c>
      <c r="H148" s="203"/>
      <c r="I148" s="269"/>
      <c r="J148" s="236">
        <f t="shared" ref="J148:O148" si="37">J70</f>
        <v>2019</v>
      </c>
      <c r="K148" s="236">
        <f t="shared" si="37"/>
        <v>2020</v>
      </c>
      <c r="L148" s="236">
        <f t="shared" si="37"/>
        <v>2021</v>
      </c>
      <c r="M148" s="237">
        <f t="shared" si="37"/>
        <v>2022</v>
      </c>
      <c r="N148" s="237">
        <f t="shared" si="37"/>
        <v>2023</v>
      </c>
      <c r="O148" s="237">
        <f t="shared" si="37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8">I72</f>
        <v>VLERËSIM I ARDHURAVE NGA TARIFAT</v>
      </c>
      <c r="J150" s="1227">
        <f t="shared" si="38"/>
        <v>0</v>
      </c>
      <c r="K150" s="1227">
        <f t="shared" si="38"/>
        <v>0</v>
      </c>
      <c r="L150" s="1227">
        <f t="shared" si="38"/>
        <v>0</v>
      </c>
      <c r="M150" s="1227">
        <f t="shared" si="38"/>
        <v>0</v>
      </c>
      <c r="N150" s="1227">
        <f t="shared" si="38"/>
        <v>0</v>
      </c>
      <c r="O150" s="1228">
        <f t="shared" si="38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9">A74</f>
        <v>SHPENZIME TË PRITSHME</v>
      </c>
      <c r="B152" s="1233">
        <f t="shared" si="39"/>
        <v>0</v>
      </c>
      <c r="C152" s="1233">
        <f t="shared" si="39"/>
        <v>0</v>
      </c>
      <c r="D152" s="1233">
        <f t="shared" si="39"/>
        <v>0</v>
      </c>
      <c r="E152" s="1233">
        <f t="shared" si="39"/>
        <v>0</v>
      </c>
      <c r="F152" s="1233">
        <f t="shared" si="39"/>
        <v>0</v>
      </c>
      <c r="G152" s="1234">
        <f t="shared" si="39"/>
        <v>0</v>
      </c>
      <c r="H152" s="10"/>
    </row>
    <row r="153" spans="1:15" ht="12.75" x14ac:dyDescent="0.2">
      <c r="A153" s="1226" t="str">
        <f t="shared" si="39"/>
        <v>KOSTO DIREKTE PËR PROJEKTET DHE SHPENZIMET KAPITALE</v>
      </c>
      <c r="B153" s="1227">
        <f t="shared" si="39"/>
        <v>0</v>
      </c>
      <c r="C153" s="1227">
        <f t="shared" si="39"/>
        <v>0</v>
      </c>
      <c r="D153" s="1227">
        <f t="shared" si="39"/>
        <v>0</v>
      </c>
      <c r="E153" s="1227">
        <f t="shared" si="39"/>
        <v>0</v>
      </c>
      <c r="F153" s="1227">
        <f t="shared" si="39"/>
        <v>0</v>
      </c>
      <c r="G153" s="1228">
        <f t="shared" si="39"/>
        <v>0</v>
      </c>
      <c r="H153" s="30"/>
      <c r="I153" s="1226" t="str">
        <f t="shared" ref="I153:I158" si="40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1">A76</f>
        <v>Pagat</v>
      </c>
      <c r="B154" s="1229">
        <f t="shared" si="41"/>
        <v>600</v>
      </c>
      <c r="C154" s="1230">
        <f t="shared" si="41"/>
        <v>0</v>
      </c>
      <c r="D154" s="1231">
        <f t="shared" si="41"/>
        <v>0</v>
      </c>
      <c r="E154" s="126"/>
      <c r="F154" s="126"/>
      <c r="G154" s="126"/>
      <c r="H154" s="30"/>
      <c r="I154" s="339" t="str">
        <f t="shared" si="40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1"/>
        <v>Sigurimet Shoqërore</v>
      </c>
      <c r="B155" s="1229">
        <f t="shared" si="41"/>
        <v>601</v>
      </c>
      <c r="C155" s="1230">
        <f t="shared" si="41"/>
        <v>0</v>
      </c>
      <c r="D155" s="1231">
        <f t="shared" si="41"/>
        <v>0</v>
      </c>
      <c r="E155" s="126"/>
      <c r="F155" s="126"/>
      <c r="G155" s="126"/>
      <c r="H155" s="30"/>
      <c r="I155" s="339" t="str">
        <f t="shared" si="40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1"/>
        <v>Mallra dhe shërbime</v>
      </c>
      <c r="B156" s="1229">
        <f t="shared" si="41"/>
        <v>602</v>
      </c>
      <c r="C156" s="1230">
        <f t="shared" si="41"/>
        <v>0</v>
      </c>
      <c r="D156" s="1231">
        <f t="shared" si="41"/>
        <v>0</v>
      </c>
      <c r="E156" s="126"/>
      <c r="F156" s="126"/>
      <c r="G156" s="126"/>
      <c r="H156" s="52"/>
      <c r="I156" s="339" t="str">
        <f t="shared" si="40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1"/>
        <v>Subvencione</v>
      </c>
      <c r="B157" s="1229">
        <f t="shared" si="41"/>
        <v>603</v>
      </c>
      <c r="C157" s="1230">
        <f t="shared" si="41"/>
        <v>0</v>
      </c>
      <c r="D157" s="1231">
        <f t="shared" si="41"/>
        <v>0</v>
      </c>
      <c r="E157" s="126"/>
      <c r="F157" s="126"/>
      <c r="G157" s="126"/>
      <c r="H157" s="8"/>
      <c r="I157" s="339" t="str">
        <f t="shared" si="40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1"/>
        <v>Të tjera transferta korrente të brendshme</v>
      </c>
      <c r="B158" s="1229">
        <f t="shared" si="41"/>
        <v>604</v>
      </c>
      <c r="C158" s="1230">
        <f t="shared" si="41"/>
        <v>0</v>
      </c>
      <c r="D158" s="1231">
        <f t="shared" si="41"/>
        <v>0</v>
      </c>
      <c r="E158" s="126"/>
      <c r="F158" s="126"/>
      <c r="G158" s="126"/>
      <c r="H158" s="52"/>
      <c r="I158" s="339" t="str">
        <f t="shared" si="40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1"/>
        <v>Transferta korrente të huaja</v>
      </c>
      <c r="B159" s="1229">
        <f t="shared" si="41"/>
        <v>605</v>
      </c>
      <c r="C159" s="1230">
        <f t="shared" si="41"/>
        <v>0</v>
      </c>
      <c r="D159" s="1231">
        <f t="shared" si="41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1"/>
        <v>Transferta për Buxhetet Familiare dhe Individët</v>
      </c>
      <c r="B160" s="1229">
        <f t="shared" si="41"/>
        <v>606</v>
      </c>
      <c r="C160" s="1230">
        <f t="shared" si="41"/>
        <v>0</v>
      </c>
      <c r="D160" s="1231">
        <f t="shared" si="41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1"/>
        <v>Shpenzimet kapitale</v>
      </c>
      <c r="B161" s="1229" t="str">
        <f t="shared" si="41"/>
        <v>230 / 231</v>
      </c>
      <c r="C161" s="1230">
        <f t="shared" si="41"/>
        <v>0</v>
      </c>
      <c r="D161" s="1231">
        <f t="shared" si="41"/>
        <v>0</v>
      </c>
      <c r="E161" s="36"/>
      <c r="F161" s="36"/>
      <c r="G161" s="36"/>
      <c r="H161" s="52"/>
    </row>
    <row r="162" spans="1:15" ht="12.75" x14ac:dyDescent="0.2">
      <c r="A162" s="121" t="str">
        <f t="shared" si="41"/>
        <v>Rezerva</v>
      </c>
      <c r="B162" s="1229">
        <f t="shared" si="41"/>
        <v>609</v>
      </c>
      <c r="C162" s="1230">
        <f t="shared" si="41"/>
        <v>0</v>
      </c>
      <c r="D162" s="1231">
        <f t="shared" si="41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1"/>
        <v>Interesa per kredi direkte ose bono</v>
      </c>
      <c r="B163" s="1229">
        <f t="shared" si="41"/>
        <v>650</v>
      </c>
      <c r="C163" s="1230">
        <f t="shared" si="41"/>
        <v>0</v>
      </c>
      <c r="D163" s="1231">
        <f t="shared" si="41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1"/>
        <v>Të tjera</v>
      </c>
      <c r="B164" s="1229" t="str">
        <f t="shared" si="41"/>
        <v>69 / ?</v>
      </c>
      <c r="C164" s="1230">
        <f t="shared" si="41"/>
        <v>0</v>
      </c>
      <c r="D164" s="1231">
        <f t="shared" si="41"/>
        <v>0</v>
      </c>
      <c r="E164" s="126"/>
      <c r="F164" s="126"/>
      <c r="G164" s="126"/>
      <c r="H164" s="52"/>
      <c r="I164" s="1235" t="str">
        <f t="shared" ref="I164:O165" si="42">I86</f>
        <v>SHUMA E KËRKUAR NETO</v>
      </c>
      <c r="J164" s="1236">
        <f t="shared" si="42"/>
        <v>0</v>
      </c>
      <c r="K164" s="1236">
        <f t="shared" si="42"/>
        <v>0</v>
      </c>
      <c r="L164" s="1236">
        <f t="shared" si="42"/>
        <v>0</v>
      </c>
      <c r="M164" s="1236">
        <f t="shared" si="42"/>
        <v>0</v>
      </c>
      <c r="N164" s="1236">
        <f t="shared" si="42"/>
        <v>0</v>
      </c>
      <c r="O164" s="1237">
        <f t="shared" si="42"/>
        <v>0</v>
      </c>
    </row>
    <row r="165" spans="1:15" ht="12.75" customHeight="1" x14ac:dyDescent="0.2">
      <c r="A165" s="268" t="str">
        <f t="shared" si="41"/>
        <v>KOSTO DIREKTE PËR PROJEKTET DHE SHPENZIMET KAPITALE</v>
      </c>
      <c r="B165" s="1229">
        <f t="shared" si="41"/>
        <v>0</v>
      </c>
      <c r="C165" s="1230">
        <f t="shared" si="41"/>
        <v>0</v>
      </c>
      <c r="D165" s="1231">
        <f t="shared" si="41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2"/>
        <v>0</v>
      </c>
      <c r="J165" s="1239">
        <f t="shared" si="42"/>
        <v>0</v>
      </c>
      <c r="K165" s="1239">
        <f t="shared" si="42"/>
        <v>0</v>
      </c>
      <c r="L165" s="1239">
        <f t="shared" si="42"/>
        <v>0</v>
      </c>
      <c r="M165" s="1239">
        <f t="shared" si="42"/>
        <v>0</v>
      </c>
      <c r="N165" s="1239">
        <f t="shared" si="42"/>
        <v>0</v>
      </c>
      <c r="O165" s="1240">
        <f t="shared" si="42"/>
        <v>0</v>
      </c>
    </row>
    <row r="166" spans="1:15" ht="12.75" x14ac:dyDescent="0.2">
      <c r="A166" s="1226" t="str">
        <f t="shared" si="41"/>
        <v>SHPENZIME KORRENTE</v>
      </c>
      <c r="B166" s="1227">
        <f t="shared" si="41"/>
        <v>0</v>
      </c>
      <c r="C166" s="1227">
        <f t="shared" si="41"/>
        <v>0</v>
      </c>
      <c r="D166" s="1227">
        <f t="shared" si="41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3">B150-J160</f>
        <v>0</v>
      </c>
      <c r="K166" s="18">
        <f t="shared" si="43"/>
        <v>0</v>
      </c>
      <c r="L166" s="18">
        <f t="shared" si="43"/>
        <v>0</v>
      </c>
      <c r="M166" s="18">
        <f t="shared" si="43"/>
        <v>0</v>
      </c>
      <c r="N166" s="18">
        <f t="shared" si="43"/>
        <v>0</v>
      </c>
      <c r="O166" s="18">
        <f t="shared" si="43"/>
        <v>0</v>
      </c>
    </row>
    <row r="167" spans="1:15" ht="12.75" x14ac:dyDescent="0.2">
      <c r="A167" s="121" t="str">
        <f t="shared" si="41"/>
        <v>Pagat</v>
      </c>
      <c r="B167" s="1229">
        <f t="shared" si="41"/>
        <v>600</v>
      </c>
      <c r="C167" s="1230">
        <f t="shared" si="41"/>
        <v>0</v>
      </c>
      <c r="D167" s="1231">
        <f t="shared" si="41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1"/>
        <v>Sigurimet Shoqërore</v>
      </c>
      <c r="B168" s="1229">
        <f t="shared" si="41"/>
        <v>601</v>
      </c>
      <c r="C168" s="1230">
        <f t="shared" si="41"/>
        <v>0</v>
      </c>
      <c r="D168" s="1231">
        <f t="shared" si="41"/>
        <v>0</v>
      </c>
      <c r="E168" s="36"/>
      <c r="F168" s="36"/>
      <c r="G168" s="36"/>
      <c r="H168" s="52"/>
    </row>
    <row r="169" spans="1:15" ht="12.75" x14ac:dyDescent="0.2">
      <c r="A169" s="121" t="str">
        <f t="shared" si="41"/>
        <v>Mallra dhe shërbime</v>
      </c>
      <c r="B169" s="1229">
        <f t="shared" si="41"/>
        <v>602</v>
      </c>
      <c r="C169" s="1230">
        <f t="shared" si="41"/>
        <v>0</v>
      </c>
      <c r="D169" s="1231">
        <f t="shared" si="41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1"/>
        <v>Subvencione</v>
      </c>
      <c r="B170" s="1229">
        <f t="shared" si="41"/>
        <v>603</v>
      </c>
      <c r="C170" s="1230">
        <f t="shared" si="41"/>
        <v>0</v>
      </c>
      <c r="D170" s="1231">
        <f t="shared" si="41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1"/>
        <v>Të tjera transferta korrente të brendshme</v>
      </c>
      <c r="B171" s="1229">
        <f t="shared" si="41"/>
        <v>604</v>
      </c>
      <c r="C171" s="1230">
        <f t="shared" si="41"/>
        <v>0</v>
      </c>
      <c r="D171" s="1231">
        <f t="shared" si="41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1"/>
        <v>Transferta korrente të huaja</v>
      </c>
      <c r="B172" s="1229">
        <f t="shared" si="41"/>
        <v>605</v>
      </c>
      <c r="C172" s="1230">
        <f t="shared" si="41"/>
        <v>0</v>
      </c>
      <c r="D172" s="1231">
        <f t="shared" si="41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1"/>
        <v>Transferta për Buxhetet Familiare dhe Individët</v>
      </c>
      <c r="B173" s="1229">
        <f t="shared" si="41"/>
        <v>606</v>
      </c>
      <c r="C173" s="1230">
        <f t="shared" si="41"/>
        <v>0</v>
      </c>
      <c r="D173" s="1231">
        <f t="shared" si="41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1"/>
        <v>Shpenzimet kapitale</v>
      </c>
      <c r="B174" s="1256" t="str">
        <f t="shared" si="41"/>
        <v>230 / 231</v>
      </c>
      <c r="C174" s="1257">
        <f t="shared" si="41"/>
        <v>0</v>
      </c>
      <c r="D174" s="1258">
        <f t="shared" si="41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1"/>
        <v>Rezerva</v>
      </c>
      <c r="B175" s="1229">
        <f t="shared" si="41"/>
        <v>609</v>
      </c>
      <c r="C175" s="1230">
        <f t="shared" si="41"/>
        <v>0</v>
      </c>
      <c r="D175" s="1231">
        <f t="shared" si="41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1"/>
        <v>Interesa per kredi direkte ose bono</v>
      </c>
      <c r="B176" s="1259">
        <f t="shared" si="41"/>
        <v>650</v>
      </c>
      <c r="C176" s="1260">
        <f t="shared" si="41"/>
        <v>0</v>
      </c>
      <c r="D176" s="1261">
        <f t="shared" si="41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67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tabColor rgb="FFFF0000"/>
    <pageSetUpPr fitToPage="1"/>
  </sheetPr>
  <dimension ref="A1:O294"/>
  <sheetViews>
    <sheetView showGridLines="0" topLeftCell="A102" workbookViewId="0">
      <selection activeCell="M92" sqref="M92:O92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30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Fjalori'!A90</f>
        <v>Nënfunksioni 26</v>
      </c>
      <c r="B2" s="1130" t="str">
        <f>+VLOOKUP($A2,'(B2) Struktura Organizative'!$A7:$E33,2,FALSE)</f>
        <v>105 Papunësia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Funksionale'!A136</f>
        <v>Programi 27a</v>
      </c>
      <c r="B6" s="1203"/>
      <c r="C6" s="1204" t="str">
        <f>VLOOKUP($A6,'(B3) Struktura Funksionale'!$A$7:$E$146,3,FALSE)</f>
        <v>Papunësia, arsim dhe aftësim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Funksionale'!A137</f>
        <v>Programi 27b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Funksionale'!A138</f>
        <v>Programi 27c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26</v>
      </c>
      <c r="B14" s="1225" t="str">
        <f>B$2</f>
        <v>105 Papunësia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26</v>
      </c>
      <c r="B66" s="1225" t="str">
        <f t="shared" si="12"/>
        <v>105 Papunësia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27a</v>
      </c>
      <c r="B67" s="1225" t="str">
        <f>C6</f>
        <v>Papunësia, arsim dhe aftësim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Funksionale'!B136</f>
        <v>10550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 t="shared" si="19"/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26</v>
      </c>
      <c r="B105" s="1225" t="str">
        <f t="shared" si="22"/>
        <v>105 Papunësia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27b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Funksionale'!B137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>I72</f>
        <v>VLERËSIM I ARDHURAVE NGA TARIFAT</v>
      </c>
      <c r="J111" s="1227"/>
      <c r="K111" s="1227"/>
      <c r="L111" s="1227"/>
      <c r="M111" s="1227"/>
      <c r="N111" s="1227"/>
      <c r="O111" s="1228"/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7">A74</f>
        <v>SHPENZIME TË PRITSHME</v>
      </c>
      <c r="B113" s="1233">
        <f t="shared" si="27"/>
        <v>0</v>
      </c>
      <c r="C113" s="1233">
        <f t="shared" si="27"/>
        <v>0</v>
      </c>
      <c r="D113" s="1233">
        <f t="shared" si="27"/>
        <v>0</v>
      </c>
      <c r="E113" s="1233">
        <f t="shared" si="27"/>
        <v>0</v>
      </c>
      <c r="F113" s="1233">
        <f t="shared" si="27"/>
        <v>0</v>
      </c>
      <c r="G113" s="1234">
        <f t="shared" si="27"/>
        <v>0</v>
      </c>
      <c r="H113" s="10"/>
    </row>
    <row r="114" spans="1:15" ht="12.75" x14ac:dyDescent="0.2">
      <c r="A114" s="1226" t="str">
        <f t="shared" si="27"/>
        <v>KOSTO DIREKTE PËR PROJEKTET DHE SHPENZIMET KAPITALE</v>
      </c>
      <c r="B114" s="1227">
        <f t="shared" si="27"/>
        <v>0</v>
      </c>
      <c r="C114" s="1227">
        <f t="shared" si="27"/>
        <v>0</v>
      </c>
      <c r="D114" s="1227">
        <f t="shared" si="27"/>
        <v>0</v>
      </c>
      <c r="E114" s="1227">
        <f t="shared" si="27"/>
        <v>0</v>
      </c>
      <c r="F114" s="1227">
        <f t="shared" si="27"/>
        <v>0</v>
      </c>
      <c r="G114" s="1228">
        <f t="shared" si="27"/>
        <v>0</v>
      </c>
      <c r="H114" s="30"/>
      <c r="I114" s="1226" t="str">
        <f t="shared" ref="I114:I119" si="28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29">A76</f>
        <v>Pagat</v>
      </c>
      <c r="B115" s="1229">
        <f t="shared" si="29"/>
        <v>600</v>
      </c>
      <c r="C115" s="1230">
        <f t="shared" si="29"/>
        <v>0</v>
      </c>
      <c r="D115" s="1231">
        <f t="shared" si="29"/>
        <v>0</v>
      </c>
      <c r="E115" s="126"/>
      <c r="F115" s="126"/>
      <c r="G115" s="126"/>
      <c r="H115" s="30"/>
      <c r="I115" s="339" t="str">
        <f t="shared" si="28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29"/>
        <v>Sigurimet Shoqërore</v>
      </c>
      <c r="B116" s="1229">
        <f t="shared" si="29"/>
        <v>601</v>
      </c>
      <c r="C116" s="1230">
        <f t="shared" si="29"/>
        <v>0</v>
      </c>
      <c r="D116" s="1231">
        <f t="shared" si="29"/>
        <v>0</v>
      </c>
      <c r="E116" s="126"/>
      <c r="F116" s="126"/>
      <c r="G116" s="126"/>
      <c r="H116" s="30"/>
      <c r="I116" s="339" t="str">
        <f t="shared" si="28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29"/>
        <v>Mallra dhe shërbime</v>
      </c>
      <c r="B117" s="1229">
        <f t="shared" si="29"/>
        <v>602</v>
      </c>
      <c r="C117" s="1230">
        <f t="shared" si="29"/>
        <v>0</v>
      </c>
      <c r="D117" s="1231">
        <f t="shared" si="29"/>
        <v>0</v>
      </c>
      <c r="E117" s="126"/>
      <c r="F117" s="126"/>
      <c r="G117" s="126"/>
      <c r="H117" s="52"/>
      <c r="I117" s="339" t="str">
        <f t="shared" si="28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29"/>
        <v>Subvencione</v>
      </c>
      <c r="B118" s="1229">
        <f t="shared" si="29"/>
        <v>603</v>
      </c>
      <c r="C118" s="1230">
        <f t="shared" si="29"/>
        <v>0</v>
      </c>
      <c r="D118" s="1231">
        <f t="shared" si="29"/>
        <v>0</v>
      </c>
      <c r="E118" s="126"/>
      <c r="F118" s="126"/>
      <c r="G118" s="126"/>
      <c r="H118" s="8"/>
      <c r="I118" s="339" t="str">
        <f t="shared" si="28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29"/>
        <v>Të tjera transferta korrente të brendshme</v>
      </c>
      <c r="B119" s="1229">
        <f t="shared" si="29"/>
        <v>604</v>
      </c>
      <c r="C119" s="1230">
        <f t="shared" si="29"/>
        <v>0</v>
      </c>
      <c r="D119" s="1231">
        <f t="shared" si="29"/>
        <v>0</v>
      </c>
      <c r="E119" s="126"/>
      <c r="F119" s="126"/>
      <c r="G119" s="126"/>
      <c r="H119" s="52"/>
      <c r="I119" s="339" t="str">
        <f t="shared" si="28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29"/>
        <v>Transferta korrente të huaja</v>
      </c>
      <c r="B120" s="1229">
        <f t="shared" si="29"/>
        <v>605</v>
      </c>
      <c r="C120" s="1230">
        <f t="shared" si="29"/>
        <v>0</v>
      </c>
      <c r="D120" s="1231">
        <f t="shared" si="29"/>
        <v>0</v>
      </c>
      <c r="E120" s="126"/>
      <c r="F120" s="126"/>
      <c r="G120" s="126"/>
      <c r="H120" s="52"/>
    </row>
    <row r="121" spans="1:15" ht="12.75" x14ac:dyDescent="0.2">
      <c r="A121" s="121" t="str">
        <f t="shared" si="29"/>
        <v>Transferta për Buxhetet Familiare dhe Individët</v>
      </c>
      <c r="B121" s="1229">
        <f t="shared" si="29"/>
        <v>606</v>
      </c>
      <c r="C121" s="1230">
        <f t="shared" si="29"/>
        <v>0</v>
      </c>
      <c r="D121" s="1231">
        <f t="shared" si="29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29"/>
        <v>Shpenzimet kapitale</v>
      </c>
      <c r="B122" s="1229" t="str">
        <f t="shared" si="29"/>
        <v>230 / 231</v>
      </c>
      <c r="C122" s="1230">
        <f t="shared" si="29"/>
        <v>0</v>
      </c>
      <c r="D122" s="1231">
        <f t="shared" si="29"/>
        <v>0</v>
      </c>
      <c r="E122" s="36"/>
      <c r="F122" s="36"/>
      <c r="G122" s="36"/>
      <c r="H122" s="52"/>
    </row>
    <row r="123" spans="1:15" ht="12.75" x14ac:dyDescent="0.2">
      <c r="A123" s="121" t="str">
        <f t="shared" si="29"/>
        <v>Rezerva</v>
      </c>
      <c r="B123" s="1229">
        <f t="shared" si="29"/>
        <v>609</v>
      </c>
      <c r="C123" s="1230">
        <f t="shared" si="29"/>
        <v>0</v>
      </c>
      <c r="D123" s="1231">
        <f t="shared" si="29"/>
        <v>0</v>
      </c>
      <c r="E123" s="126"/>
      <c r="F123" s="126"/>
      <c r="G123" s="126"/>
      <c r="H123" s="52"/>
    </row>
    <row r="124" spans="1:15" ht="12.75" x14ac:dyDescent="0.2">
      <c r="A124" s="121" t="str">
        <f t="shared" si="29"/>
        <v>Interesa per kredi direkte ose bono</v>
      </c>
      <c r="B124" s="1229">
        <f t="shared" si="29"/>
        <v>650</v>
      </c>
      <c r="C124" s="1230">
        <f t="shared" si="29"/>
        <v>0</v>
      </c>
      <c r="D124" s="1231">
        <f t="shared" si="29"/>
        <v>0</v>
      </c>
      <c r="E124" s="126"/>
      <c r="F124" s="126"/>
      <c r="G124" s="126"/>
      <c r="H124" s="52"/>
    </row>
    <row r="125" spans="1:15" ht="12.75" x14ac:dyDescent="0.2">
      <c r="A125" s="121" t="str">
        <f t="shared" si="29"/>
        <v>Të tjera</v>
      </c>
      <c r="B125" s="1229" t="str">
        <f t="shared" si="29"/>
        <v>69 / ?</v>
      </c>
      <c r="C125" s="1230">
        <f t="shared" si="29"/>
        <v>0</v>
      </c>
      <c r="D125" s="1231">
        <f t="shared" si="29"/>
        <v>0</v>
      </c>
      <c r="E125" s="126"/>
      <c r="F125" s="126"/>
      <c r="G125" s="126"/>
      <c r="H125" s="52"/>
      <c r="I125" s="1235" t="str">
        <f t="shared" ref="I125:O126" si="30">I86</f>
        <v>SHUMA E KËRKUAR NETO</v>
      </c>
      <c r="J125" s="1236">
        <f t="shared" si="30"/>
        <v>0</v>
      </c>
      <c r="K125" s="1236">
        <f t="shared" si="30"/>
        <v>0</v>
      </c>
      <c r="L125" s="1236">
        <f t="shared" si="30"/>
        <v>0</v>
      </c>
      <c r="M125" s="1236">
        <f t="shared" si="30"/>
        <v>0</v>
      </c>
      <c r="N125" s="1236">
        <f t="shared" si="30"/>
        <v>0</v>
      </c>
      <c r="O125" s="1237">
        <f t="shared" si="30"/>
        <v>0</v>
      </c>
    </row>
    <row r="126" spans="1:15" ht="12.75" customHeight="1" x14ac:dyDescent="0.2">
      <c r="A126" s="268" t="str">
        <f t="shared" si="29"/>
        <v>KOSTO DIREKTE PËR PROJEKTET DHE SHPENZIMET KAPITALE</v>
      </c>
      <c r="B126" s="1229">
        <f t="shared" si="29"/>
        <v>0</v>
      </c>
      <c r="C126" s="1230">
        <f t="shared" si="29"/>
        <v>0</v>
      </c>
      <c r="D126" s="1231">
        <f t="shared" si="29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0"/>
        <v>0</v>
      </c>
      <c r="J126" s="1239">
        <f t="shared" si="30"/>
        <v>0</v>
      </c>
      <c r="K126" s="1239">
        <f t="shared" si="30"/>
        <v>0</v>
      </c>
      <c r="L126" s="1239">
        <f t="shared" si="30"/>
        <v>0</v>
      </c>
      <c r="M126" s="1239">
        <f t="shared" si="30"/>
        <v>0</v>
      </c>
      <c r="N126" s="1239">
        <f t="shared" si="30"/>
        <v>0</v>
      </c>
      <c r="O126" s="1240">
        <f t="shared" si="30"/>
        <v>0</v>
      </c>
    </row>
    <row r="127" spans="1:15" ht="12.75" x14ac:dyDescent="0.2">
      <c r="A127" s="1226" t="str">
        <f t="shared" si="29"/>
        <v>SHPENZIME KORRENTE</v>
      </c>
      <c r="B127" s="1227">
        <f t="shared" si="29"/>
        <v>0</v>
      </c>
      <c r="C127" s="1227">
        <f t="shared" si="29"/>
        <v>0</v>
      </c>
      <c r="D127" s="1227">
        <f t="shared" si="29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1">B111-J121</f>
        <v>0</v>
      </c>
      <c r="K127" s="18">
        <f t="shared" si="31"/>
        <v>0</v>
      </c>
      <c r="L127" s="18">
        <f t="shared" si="31"/>
        <v>0</v>
      </c>
      <c r="M127" s="18">
        <f t="shared" si="31"/>
        <v>0</v>
      </c>
      <c r="N127" s="18">
        <f t="shared" si="31"/>
        <v>0</v>
      </c>
      <c r="O127" s="18">
        <f t="shared" si="31"/>
        <v>0</v>
      </c>
    </row>
    <row r="128" spans="1:15" ht="12.75" x14ac:dyDescent="0.2">
      <c r="A128" s="121" t="str">
        <f t="shared" si="29"/>
        <v>Pagat</v>
      </c>
      <c r="B128" s="1229">
        <f t="shared" si="29"/>
        <v>600</v>
      </c>
      <c r="C128" s="1230">
        <f t="shared" si="29"/>
        <v>0</v>
      </c>
      <c r="D128" s="1231">
        <f t="shared" si="29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29"/>
        <v>Sigurimet Shoqërore</v>
      </c>
      <c r="B129" s="1229">
        <f t="shared" si="29"/>
        <v>601</v>
      </c>
      <c r="C129" s="1230">
        <f t="shared" si="29"/>
        <v>0</v>
      </c>
      <c r="D129" s="1231">
        <f t="shared" si="29"/>
        <v>0</v>
      </c>
      <c r="E129" s="36"/>
      <c r="F129" s="36"/>
      <c r="G129" s="36"/>
      <c r="H129" s="52"/>
    </row>
    <row r="130" spans="1:15" ht="12.75" x14ac:dyDescent="0.2">
      <c r="A130" s="121" t="str">
        <f t="shared" si="29"/>
        <v>Mallra dhe shërbime</v>
      </c>
      <c r="B130" s="1229">
        <f t="shared" si="29"/>
        <v>602</v>
      </c>
      <c r="C130" s="1230">
        <f t="shared" si="29"/>
        <v>0</v>
      </c>
      <c r="D130" s="1231">
        <f t="shared" si="29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29"/>
        <v>Subvencione</v>
      </c>
      <c r="B131" s="1229">
        <f t="shared" si="29"/>
        <v>603</v>
      </c>
      <c r="C131" s="1230">
        <f t="shared" si="29"/>
        <v>0</v>
      </c>
      <c r="D131" s="1231">
        <f t="shared" si="29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29"/>
        <v>Të tjera transferta korrente të brendshme</v>
      </c>
      <c r="B132" s="1229">
        <f t="shared" si="29"/>
        <v>604</v>
      </c>
      <c r="C132" s="1230">
        <f t="shared" si="29"/>
        <v>0</v>
      </c>
      <c r="D132" s="1231">
        <f t="shared" si="29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29"/>
        <v>Transferta korrente të huaja</v>
      </c>
      <c r="B133" s="1229">
        <f t="shared" si="29"/>
        <v>605</v>
      </c>
      <c r="C133" s="1230">
        <f t="shared" si="29"/>
        <v>0</v>
      </c>
      <c r="D133" s="1231">
        <f t="shared" si="29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29"/>
        <v>Transferta për Buxhetet Familiare dhe Individët</v>
      </c>
      <c r="B134" s="1229">
        <f t="shared" si="29"/>
        <v>606</v>
      </c>
      <c r="C134" s="1230">
        <f t="shared" si="29"/>
        <v>0</v>
      </c>
      <c r="D134" s="1231">
        <f t="shared" si="29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29"/>
        <v>Shpenzimet kapitale</v>
      </c>
      <c r="B135" s="1256" t="str">
        <f t="shared" si="29"/>
        <v>230 / 231</v>
      </c>
      <c r="C135" s="1257">
        <f t="shared" si="29"/>
        <v>0</v>
      </c>
      <c r="D135" s="1258">
        <f t="shared" si="29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29"/>
        <v>Rezerva</v>
      </c>
      <c r="B136" s="1229">
        <f t="shared" si="29"/>
        <v>609</v>
      </c>
      <c r="C136" s="1230">
        <f t="shared" si="29"/>
        <v>0</v>
      </c>
      <c r="D136" s="1231">
        <f t="shared" si="29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29"/>
        <v>Interesa per kredi direkte ose bono</v>
      </c>
      <c r="B137" s="1259">
        <f t="shared" si="29"/>
        <v>650</v>
      </c>
      <c r="C137" s="1260">
        <f t="shared" si="29"/>
        <v>0</v>
      </c>
      <c r="D137" s="1261">
        <f t="shared" si="29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2">A66</f>
        <v>Nënfunksioni 26</v>
      </c>
      <c r="B144" s="1225" t="str">
        <f t="shared" si="32"/>
        <v>105 Papunësia</v>
      </c>
      <c r="C144" s="1225">
        <f t="shared" si="32"/>
        <v>0</v>
      </c>
      <c r="D144" s="1225">
        <f t="shared" si="32"/>
        <v>0</v>
      </c>
      <c r="E144" s="1225">
        <f t="shared" si="32"/>
        <v>0</v>
      </c>
      <c r="F144" s="1225">
        <f t="shared" si="32"/>
        <v>0</v>
      </c>
      <c r="G144" s="1225">
        <f t="shared" si="32"/>
        <v>0</v>
      </c>
      <c r="H144" s="1225">
        <f t="shared" si="32"/>
        <v>0</v>
      </c>
      <c r="I144" s="1225">
        <f t="shared" si="32"/>
        <v>0</v>
      </c>
      <c r="J144" s="1225">
        <f t="shared" si="32"/>
        <v>0</v>
      </c>
      <c r="K144" s="1225">
        <f t="shared" si="32"/>
        <v>0</v>
      </c>
      <c r="L144" s="1225">
        <f t="shared" si="32"/>
        <v>0</v>
      </c>
      <c r="M144" s="1225">
        <f t="shared" si="32"/>
        <v>0</v>
      </c>
      <c r="N144" s="1225">
        <f t="shared" si="32"/>
        <v>0</v>
      </c>
      <c r="O144" s="1225">
        <f t="shared" si="32"/>
        <v>0</v>
      </c>
    </row>
    <row r="145" spans="1:15" ht="17.25" customHeight="1" x14ac:dyDescent="0.2">
      <c r="A145" s="262" t="str">
        <f>A8</f>
        <v>Programi 27c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Funksionale'!B138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3">A69</f>
        <v>SHPENZIME TË PRITSHME</v>
      </c>
      <c r="B147" s="1253">
        <f t="shared" si="33"/>
        <v>0</v>
      </c>
      <c r="C147" s="1253">
        <f t="shared" si="33"/>
        <v>0</v>
      </c>
      <c r="D147" s="1253">
        <f t="shared" si="33"/>
        <v>0</v>
      </c>
      <c r="E147" s="1253">
        <f t="shared" si="33"/>
        <v>0</v>
      </c>
      <c r="F147" s="1253">
        <f t="shared" si="33"/>
        <v>0</v>
      </c>
      <c r="G147" s="1254">
        <f t="shared" si="33"/>
        <v>0</v>
      </c>
      <c r="H147" s="128"/>
      <c r="I147" s="1255" t="str">
        <f t="shared" ref="I147:O147" si="34">I69</f>
        <v xml:space="preserve">TË ARDHURAT E PRITSHME </v>
      </c>
      <c r="J147" s="1253">
        <f t="shared" si="34"/>
        <v>0</v>
      </c>
      <c r="K147" s="1253">
        <f t="shared" si="34"/>
        <v>0</v>
      </c>
      <c r="L147" s="1253">
        <f t="shared" si="34"/>
        <v>0</v>
      </c>
      <c r="M147" s="1253">
        <f t="shared" si="34"/>
        <v>0</v>
      </c>
      <c r="N147" s="1253">
        <f t="shared" si="34"/>
        <v>0</v>
      </c>
      <c r="O147" s="1254">
        <f t="shared" si="34"/>
        <v>0</v>
      </c>
    </row>
    <row r="148" spans="1:15" ht="20.25" customHeight="1" x14ac:dyDescent="0.2">
      <c r="A148" s="202"/>
      <c r="B148" s="363">
        <f t="shared" ref="B148:G148" si="35">B70</f>
        <v>2019</v>
      </c>
      <c r="C148" s="363">
        <f t="shared" si="35"/>
        <v>2020</v>
      </c>
      <c r="D148" s="363">
        <f t="shared" si="35"/>
        <v>2021</v>
      </c>
      <c r="E148" s="238">
        <f t="shared" si="35"/>
        <v>2022</v>
      </c>
      <c r="F148" s="238">
        <f t="shared" si="35"/>
        <v>2023</v>
      </c>
      <c r="G148" s="238">
        <f t="shared" si="35"/>
        <v>2024</v>
      </c>
      <c r="H148" s="203"/>
      <c r="I148" s="269"/>
      <c r="J148" s="236">
        <f t="shared" ref="J148:O148" si="36">J70</f>
        <v>2019</v>
      </c>
      <c r="K148" s="236">
        <f t="shared" si="36"/>
        <v>2020</v>
      </c>
      <c r="L148" s="236">
        <f t="shared" si="36"/>
        <v>2021</v>
      </c>
      <c r="M148" s="237">
        <f t="shared" si="36"/>
        <v>2022</v>
      </c>
      <c r="N148" s="237">
        <f t="shared" si="36"/>
        <v>2023</v>
      </c>
      <c r="O148" s="237">
        <f t="shared" si="36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7">I72</f>
        <v>VLERËSIM I ARDHURAVE NGA TARIFAT</v>
      </c>
      <c r="J150" s="1227">
        <f t="shared" si="37"/>
        <v>0</v>
      </c>
      <c r="K150" s="1227">
        <f t="shared" si="37"/>
        <v>0</v>
      </c>
      <c r="L150" s="1227">
        <f t="shared" si="37"/>
        <v>0</v>
      </c>
      <c r="M150" s="1227">
        <f t="shared" si="37"/>
        <v>0</v>
      </c>
      <c r="N150" s="1227">
        <f t="shared" si="37"/>
        <v>0</v>
      </c>
      <c r="O150" s="1228">
        <f t="shared" si="37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8">A74</f>
        <v>SHPENZIME TË PRITSHME</v>
      </c>
      <c r="B152" s="1233">
        <f t="shared" si="38"/>
        <v>0</v>
      </c>
      <c r="C152" s="1233">
        <f t="shared" si="38"/>
        <v>0</v>
      </c>
      <c r="D152" s="1233">
        <f t="shared" si="38"/>
        <v>0</v>
      </c>
      <c r="E152" s="1233">
        <f t="shared" si="38"/>
        <v>0</v>
      </c>
      <c r="F152" s="1233">
        <f t="shared" si="38"/>
        <v>0</v>
      </c>
      <c r="G152" s="1234">
        <f t="shared" si="38"/>
        <v>0</v>
      </c>
      <c r="H152" s="10"/>
    </row>
    <row r="153" spans="1:15" ht="12.75" x14ac:dyDescent="0.2">
      <c r="A153" s="1226" t="str">
        <f t="shared" si="38"/>
        <v>KOSTO DIREKTE PËR PROJEKTET DHE SHPENZIMET KAPITALE</v>
      </c>
      <c r="B153" s="1227">
        <f t="shared" si="38"/>
        <v>0</v>
      </c>
      <c r="C153" s="1227">
        <f t="shared" si="38"/>
        <v>0</v>
      </c>
      <c r="D153" s="1227">
        <f t="shared" si="38"/>
        <v>0</v>
      </c>
      <c r="E153" s="1227">
        <f t="shared" si="38"/>
        <v>0</v>
      </c>
      <c r="F153" s="1227">
        <f t="shared" si="38"/>
        <v>0</v>
      </c>
      <c r="G153" s="1228">
        <f t="shared" si="38"/>
        <v>0</v>
      </c>
      <c r="H153" s="30"/>
      <c r="I153" s="1226" t="str">
        <f t="shared" ref="I153:I158" si="39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0">A76</f>
        <v>Pagat</v>
      </c>
      <c r="B154" s="1229">
        <f t="shared" si="40"/>
        <v>600</v>
      </c>
      <c r="C154" s="1230">
        <f t="shared" si="40"/>
        <v>0</v>
      </c>
      <c r="D154" s="1231">
        <f t="shared" si="40"/>
        <v>0</v>
      </c>
      <c r="E154" s="126"/>
      <c r="F154" s="126"/>
      <c r="G154" s="126"/>
      <c r="H154" s="30"/>
      <c r="I154" s="339" t="str">
        <f t="shared" si="39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0"/>
        <v>Sigurimet Shoqërore</v>
      </c>
      <c r="B155" s="1229">
        <f t="shared" si="40"/>
        <v>601</v>
      </c>
      <c r="C155" s="1230">
        <f t="shared" si="40"/>
        <v>0</v>
      </c>
      <c r="D155" s="1231">
        <f t="shared" si="40"/>
        <v>0</v>
      </c>
      <c r="E155" s="126"/>
      <c r="F155" s="126"/>
      <c r="G155" s="126"/>
      <c r="H155" s="30"/>
      <c r="I155" s="339" t="str">
        <f t="shared" si="39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0"/>
        <v>Mallra dhe shërbime</v>
      </c>
      <c r="B156" s="1229">
        <f t="shared" si="40"/>
        <v>602</v>
      </c>
      <c r="C156" s="1230">
        <f t="shared" si="40"/>
        <v>0</v>
      </c>
      <c r="D156" s="1231">
        <f t="shared" si="40"/>
        <v>0</v>
      </c>
      <c r="E156" s="126"/>
      <c r="F156" s="126"/>
      <c r="G156" s="126"/>
      <c r="H156" s="52"/>
      <c r="I156" s="339" t="str">
        <f t="shared" si="39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0"/>
        <v>Subvencione</v>
      </c>
      <c r="B157" s="1229">
        <f t="shared" si="40"/>
        <v>603</v>
      </c>
      <c r="C157" s="1230">
        <f t="shared" si="40"/>
        <v>0</v>
      </c>
      <c r="D157" s="1231">
        <f t="shared" si="40"/>
        <v>0</v>
      </c>
      <c r="E157" s="126"/>
      <c r="F157" s="126"/>
      <c r="G157" s="126"/>
      <c r="H157" s="8"/>
      <c r="I157" s="339" t="str">
        <f t="shared" si="39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0"/>
        <v>Të tjera transferta korrente të brendshme</v>
      </c>
      <c r="B158" s="1229">
        <f t="shared" si="40"/>
        <v>604</v>
      </c>
      <c r="C158" s="1230">
        <f t="shared" si="40"/>
        <v>0</v>
      </c>
      <c r="D158" s="1231">
        <f t="shared" si="40"/>
        <v>0</v>
      </c>
      <c r="E158" s="126"/>
      <c r="F158" s="126"/>
      <c r="G158" s="126"/>
      <c r="H158" s="52"/>
      <c r="I158" s="339" t="str">
        <f t="shared" si="39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0"/>
        <v>Transferta korrente të huaja</v>
      </c>
      <c r="B159" s="1229">
        <f t="shared" si="40"/>
        <v>605</v>
      </c>
      <c r="C159" s="1230">
        <f t="shared" si="40"/>
        <v>0</v>
      </c>
      <c r="D159" s="1231">
        <f t="shared" si="40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0"/>
        <v>Transferta për Buxhetet Familiare dhe Individët</v>
      </c>
      <c r="B160" s="1229">
        <f t="shared" si="40"/>
        <v>606</v>
      </c>
      <c r="C160" s="1230">
        <f t="shared" si="40"/>
        <v>0</v>
      </c>
      <c r="D160" s="1231">
        <f t="shared" si="40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0"/>
        <v>Shpenzimet kapitale</v>
      </c>
      <c r="B161" s="1229" t="str">
        <f t="shared" si="40"/>
        <v>230 / 231</v>
      </c>
      <c r="C161" s="1230">
        <f t="shared" si="40"/>
        <v>0</v>
      </c>
      <c r="D161" s="1231">
        <f t="shared" si="40"/>
        <v>0</v>
      </c>
      <c r="E161" s="36"/>
      <c r="F161" s="36"/>
      <c r="G161" s="36"/>
      <c r="H161" s="52"/>
    </row>
    <row r="162" spans="1:15" ht="12.75" x14ac:dyDescent="0.2">
      <c r="A162" s="121" t="str">
        <f t="shared" si="40"/>
        <v>Rezerva</v>
      </c>
      <c r="B162" s="1229">
        <f t="shared" si="40"/>
        <v>609</v>
      </c>
      <c r="C162" s="1230">
        <f t="shared" si="40"/>
        <v>0</v>
      </c>
      <c r="D162" s="1231">
        <f t="shared" si="40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0"/>
        <v>Interesa per kredi direkte ose bono</v>
      </c>
      <c r="B163" s="1229">
        <f t="shared" si="40"/>
        <v>650</v>
      </c>
      <c r="C163" s="1230">
        <f t="shared" si="40"/>
        <v>0</v>
      </c>
      <c r="D163" s="1231">
        <f t="shared" si="40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0"/>
        <v>Të tjera</v>
      </c>
      <c r="B164" s="1229" t="str">
        <f t="shared" si="40"/>
        <v>69 / ?</v>
      </c>
      <c r="C164" s="1230">
        <f t="shared" si="40"/>
        <v>0</v>
      </c>
      <c r="D164" s="1231">
        <f t="shared" si="40"/>
        <v>0</v>
      </c>
      <c r="E164" s="126"/>
      <c r="F164" s="126"/>
      <c r="G164" s="126"/>
      <c r="H164" s="52"/>
      <c r="I164" s="1235" t="str">
        <f t="shared" ref="I164:O165" si="41">I86</f>
        <v>SHUMA E KËRKUAR NETO</v>
      </c>
      <c r="J164" s="1236">
        <f t="shared" si="41"/>
        <v>0</v>
      </c>
      <c r="K164" s="1236">
        <f t="shared" si="41"/>
        <v>0</v>
      </c>
      <c r="L164" s="1236">
        <f t="shared" si="41"/>
        <v>0</v>
      </c>
      <c r="M164" s="1236">
        <f t="shared" si="41"/>
        <v>0</v>
      </c>
      <c r="N164" s="1236">
        <f t="shared" si="41"/>
        <v>0</v>
      </c>
      <c r="O164" s="1237">
        <f t="shared" si="41"/>
        <v>0</v>
      </c>
    </row>
    <row r="165" spans="1:15" ht="12.75" customHeight="1" x14ac:dyDescent="0.2">
      <c r="A165" s="268" t="str">
        <f t="shared" si="40"/>
        <v>KOSTO DIREKTE PËR PROJEKTET DHE SHPENZIMET KAPITALE</v>
      </c>
      <c r="B165" s="1229">
        <f t="shared" si="40"/>
        <v>0</v>
      </c>
      <c r="C165" s="1230">
        <f t="shared" si="40"/>
        <v>0</v>
      </c>
      <c r="D165" s="1231">
        <f t="shared" si="40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1"/>
        <v>0</v>
      </c>
      <c r="J165" s="1239">
        <f t="shared" si="41"/>
        <v>0</v>
      </c>
      <c r="K165" s="1239">
        <f t="shared" si="41"/>
        <v>0</v>
      </c>
      <c r="L165" s="1239">
        <f t="shared" si="41"/>
        <v>0</v>
      </c>
      <c r="M165" s="1239">
        <f t="shared" si="41"/>
        <v>0</v>
      </c>
      <c r="N165" s="1239">
        <f t="shared" si="41"/>
        <v>0</v>
      </c>
      <c r="O165" s="1240">
        <f t="shared" si="41"/>
        <v>0</v>
      </c>
    </row>
    <row r="166" spans="1:15" ht="12.75" x14ac:dyDescent="0.2">
      <c r="A166" s="1226" t="str">
        <f t="shared" si="40"/>
        <v>SHPENZIME KORRENTE</v>
      </c>
      <c r="B166" s="1227">
        <f t="shared" si="40"/>
        <v>0</v>
      </c>
      <c r="C166" s="1227">
        <f t="shared" si="40"/>
        <v>0</v>
      </c>
      <c r="D166" s="1227">
        <f t="shared" si="40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2">B150-J160</f>
        <v>0</v>
      </c>
      <c r="K166" s="18">
        <f t="shared" si="42"/>
        <v>0</v>
      </c>
      <c r="L166" s="18">
        <f t="shared" si="42"/>
        <v>0</v>
      </c>
      <c r="M166" s="18">
        <f t="shared" si="42"/>
        <v>0</v>
      </c>
      <c r="N166" s="18">
        <f t="shared" si="42"/>
        <v>0</v>
      </c>
      <c r="O166" s="18">
        <f t="shared" si="42"/>
        <v>0</v>
      </c>
    </row>
    <row r="167" spans="1:15" ht="12.75" x14ac:dyDescent="0.2">
      <c r="A167" s="121" t="str">
        <f t="shared" si="40"/>
        <v>Pagat</v>
      </c>
      <c r="B167" s="1229">
        <f t="shared" si="40"/>
        <v>600</v>
      </c>
      <c r="C167" s="1230">
        <f t="shared" si="40"/>
        <v>0</v>
      </c>
      <c r="D167" s="1231">
        <f t="shared" si="40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0"/>
        <v>Sigurimet Shoqërore</v>
      </c>
      <c r="B168" s="1229">
        <f t="shared" si="40"/>
        <v>601</v>
      </c>
      <c r="C168" s="1230">
        <f t="shared" si="40"/>
        <v>0</v>
      </c>
      <c r="D168" s="1231">
        <f t="shared" si="40"/>
        <v>0</v>
      </c>
      <c r="E168" s="36"/>
      <c r="F168" s="36"/>
      <c r="G168" s="36"/>
      <c r="H168" s="52"/>
    </row>
    <row r="169" spans="1:15" ht="12.75" x14ac:dyDescent="0.2">
      <c r="A169" s="121" t="str">
        <f t="shared" si="40"/>
        <v>Mallra dhe shërbime</v>
      </c>
      <c r="B169" s="1229">
        <f t="shared" si="40"/>
        <v>602</v>
      </c>
      <c r="C169" s="1230">
        <f t="shared" si="40"/>
        <v>0</v>
      </c>
      <c r="D169" s="1231">
        <f t="shared" si="40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0"/>
        <v>Subvencione</v>
      </c>
      <c r="B170" s="1229">
        <f t="shared" si="40"/>
        <v>603</v>
      </c>
      <c r="C170" s="1230">
        <f t="shared" si="40"/>
        <v>0</v>
      </c>
      <c r="D170" s="1231">
        <f t="shared" si="40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0"/>
        <v>Të tjera transferta korrente të brendshme</v>
      </c>
      <c r="B171" s="1229">
        <f t="shared" si="40"/>
        <v>604</v>
      </c>
      <c r="C171" s="1230">
        <f t="shared" si="40"/>
        <v>0</v>
      </c>
      <c r="D171" s="1231">
        <f t="shared" si="40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0"/>
        <v>Transferta korrente të huaja</v>
      </c>
      <c r="B172" s="1229">
        <f t="shared" si="40"/>
        <v>605</v>
      </c>
      <c r="C172" s="1230">
        <f t="shared" si="40"/>
        <v>0</v>
      </c>
      <c r="D172" s="1231">
        <f t="shared" si="40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0"/>
        <v>Transferta për Buxhetet Familiare dhe Individët</v>
      </c>
      <c r="B173" s="1229">
        <f t="shared" si="40"/>
        <v>606</v>
      </c>
      <c r="C173" s="1230">
        <f t="shared" si="40"/>
        <v>0</v>
      </c>
      <c r="D173" s="1231">
        <f t="shared" si="40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0"/>
        <v>Shpenzimet kapitale</v>
      </c>
      <c r="B174" s="1256" t="str">
        <f t="shared" si="40"/>
        <v>230 / 231</v>
      </c>
      <c r="C174" s="1257">
        <f t="shared" si="40"/>
        <v>0</v>
      </c>
      <c r="D174" s="1258">
        <f t="shared" si="40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0"/>
        <v>Rezerva</v>
      </c>
      <c r="B175" s="1229">
        <f t="shared" si="40"/>
        <v>609</v>
      </c>
      <c r="C175" s="1230">
        <f t="shared" si="40"/>
        <v>0</v>
      </c>
      <c r="D175" s="1231">
        <f t="shared" si="40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0"/>
        <v>Interesa per kredi direkte ose bono</v>
      </c>
      <c r="B176" s="1259">
        <f t="shared" si="40"/>
        <v>650</v>
      </c>
      <c r="C176" s="1260">
        <f t="shared" si="40"/>
        <v>0</v>
      </c>
      <c r="D176" s="1261">
        <f t="shared" si="40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tabColor rgb="FFFF0000"/>
    <pageSetUpPr fitToPage="1"/>
  </sheetPr>
  <dimension ref="A1:O294"/>
  <sheetViews>
    <sheetView showGridLines="0" topLeftCell="A63" workbookViewId="0">
      <selection activeCell="F94" sqref="F94"/>
    </sheetView>
  </sheetViews>
  <sheetFormatPr defaultColWidth="9.140625" defaultRowHeight="17.25" customHeight="1" x14ac:dyDescent="0.2"/>
  <cols>
    <col min="1" max="1" width="25.85546875" style="95" customWidth="1"/>
    <col min="2" max="7" width="9" style="95" customWidth="1"/>
    <col min="8" max="8" width="2.7109375" style="95" customWidth="1"/>
    <col min="9" max="9" width="29.85546875" style="95" customWidth="1"/>
    <col min="10" max="15" width="9" style="95" customWidth="1"/>
    <col min="16" max="16384" width="9.140625" style="95"/>
  </cols>
  <sheetData>
    <row r="1" spans="1:15" ht="13.5" customHeight="1" x14ac:dyDescent="0.2">
      <c r="A1" s="298" t="str">
        <f>'(B2) Struktura Organizative'!A5</f>
        <v>Numër</v>
      </c>
      <c r="B1" s="1296" t="str">
        <f>'(B2) Struktura Organizative'!B5</f>
        <v>Emri i Nënfunksionit</v>
      </c>
      <c r="C1" s="1296"/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6"/>
      <c r="O1" s="1296"/>
    </row>
    <row r="2" spans="1:15" s="118" customFormat="1" ht="18.75" customHeight="1" x14ac:dyDescent="0.25">
      <c r="A2" s="272" t="str">
        <f>'(G1) Fjalori'!A91</f>
        <v>Nënfunksioni 27</v>
      </c>
      <c r="B2" s="1130" t="str">
        <f>+VLOOKUP($A2,'(B2) Struktura Organizative'!$A7:$E33,2,FALSE)</f>
        <v>106 Strehimi social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</row>
    <row r="3" spans="1:15" ht="12.75" customHeight="1" x14ac:dyDescent="0.2">
      <c r="A3" s="1213" t="str">
        <f>'(B2) Struktura Organizative'!C5</f>
        <v>Drejtoria / Departamenti</v>
      </c>
      <c r="B3" s="1214"/>
      <c r="C3" s="1213" t="str">
        <f>'(B2) Struktura Organizative'!D5</f>
        <v>Kryetari i programit</v>
      </c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4"/>
    </row>
    <row r="4" spans="1:15" ht="12.75" customHeight="1" x14ac:dyDescent="0.2">
      <c r="A4" s="1216"/>
      <c r="B4" s="1217"/>
      <c r="C4" s="1218">
        <f>+VLOOKUP($A2,'(B2) Struktura Organizative'!$A7:$E33,4,FALSE)</f>
        <v>0</v>
      </c>
      <c r="D4" s="1219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20"/>
    </row>
    <row r="5" spans="1:15" ht="27" customHeight="1" x14ac:dyDescent="0.2">
      <c r="A5" s="1207"/>
      <c r="B5" s="1208"/>
      <c r="C5" s="1209" t="str">
        <f>'(B3) Struktura Funksionale'!C5</f>
        <v>Emri i programit</v>
      </c>
      <c r="D5" s="1210"/>
      <c r="E5" s="1210"/>
      <c r="F5" s="1210"/>
      <c r="G5" s="1210"/>
      <c r="H5" s="1211"/>
      <c r="I5" s="1209" t="str">
        <f>'(B3) Struktura Funksionale'!D5</f>
        <v>Programi:  detyrueshme / shtesë</v>
      </c>
      <c r="J5" s="1210"/>
      <c r="K5" s="1211"/>
      <c r="L5" s="1212" t="str">
        <f>'(B3) Struktura Funksionale'!E5</f>
        <v>Programi: I veti / I deleguar / Transferuar</v>
      </c>
      <c r="M5" s="1212"/>
      <c r="N5" s="1212"/>
      <c r="O5" s="1212"/>
    </row>
    <row r="6" spans="1:15" ht="13.5" customHeight="1" x14ac:dyDescent="0.2">
      <c r="A6" s="1202" t="str">
        <f>'(B3) Struktura Funksionale'!A140</f>
        <v>Programi 28a</v>
      </c>
      <c r="B6" s="1203"/>
      <c r="C6" s="1204" t="str">
        <f>VLOOKUP($A6,'(B3) Struktura Funksionale'!$A$7:$E$146,3,FALSE)</f>
        <v>Strehimi social</v>
      </c>
      <c r="D6" s="1205"/>
      <c r="E6" s="1205"/>
      <c r="F6" s="1205"/>
      <c r="G6" s="1205"/>
      <c r="H6" s="1206"/>
      <c r="I6" s="1204" t="str">
        <f>VLOOKUP($A6,'(B3) Struktura Funksionale'!$A$7:$E$146,4,FALSE)</f>
        <v>E detyrueshme</v>
      </c>
      <c r="J6" s="1205"/>
      <c r="K6" s="1206"/>
      <c r="L6" s="1204" t="str">
        <f>VLOOKUP($A6,'(B3) Struktura Funksionale'!$A$7:$E$146,5,FALSE)</f>
        <v>I veti</v>
      </c>
      <c r="M6" s="1205"/>
      <c r="N6" s="1205"/>
      <c r="O6" s="1206"/>
    </row>
    <row r="7" spans="1:15" ht="13.5" customHeight="1" x14ac:dyDescent="0.2">
      <c r="A7" s="1202" t="str">
        <f>'(B3) Struktura Funksionale'!A141</f>
        <v>Programi 28b</v>
      </c>
      <c r="B7" s="1203"/>
      <c r="C7" s="1204">
        <f>VLOOKUP($A7,'(B3) Struktura Funksionale'!$A$7:$E$146,3,FALSE)</f>
        <v>0</v>
      </c>
      <c r="D7" s="1205"/>
      <c r="E7" s="1205"/>
      <c r="F7" s="1205"/>
      <c r="G7" s="1205"/>
      <c r="H7" s="1206"/>
      <c r="I7" s="1204">
        <f>VLOOKUP($A7,'(B3) Struktura Funksionale'!$A$7:$E$146,4,FALSE)</f>
        <v>0</v>
      </c>
      <c r="J7" s="1205"/>
      <c r="K7" s="1206"/>
      <c r="L7" s="1204">
        <f>VLOOKUP($A7,'(B3) Struktura Funksionale'!$A$7:$E$146,5,FALSE)</f>
        <v>0</v>
      </c>
      <c r="M7" s="1205"/>
      <c r="N7" s="1205"/>
      <c r="O7" s="1206"/>
    </row>
    <row r="8" spans="1:15" ht="13.5" customHeight="1" x14ac:dyDescent="0.2">
      <c r="A8" s="1202" t="str">
        <f>'(B3) Struktura Funksionale'!A142</f>
        <v>Programi 28c</v>
      </c>
      <c r="B8" s="1203"/>
      <c r="C8" s="1204">
        <f>VLOOKUP($A8,'(B3) Struktura Funksionale'!$A$7:$E$146,3,FALSE)</f>
        <v>0</v>
      </c>
      <c r="D8" s="1205"/>
      <c r="E8" s="1205"/>
      <c r="F8" s="1205"/>
      <c r="G8" s="1205"/>
      <c r="H8" s="1206"/>
      <c r="I8" s="1204">
        <f>VLOOKUP($A8,'(B3) Struktura Funksionale'!$A$7:$E$146,4,FALSE)</f>
        <v>0</v>
      </c>
      <c r="J8" s="1205"/>
      <c r="K8" s="1206"/>
      <c r="L8" s="1204">
        <f>VLOOKUP($A8,'(B3) Struktura Funksionale'!$A$7:$E$146,5,FALSE)</f>
        <v>0</v>
      </c>
      <c r="M8" s="1205"/>
      <c r="N8" s="1205"/>
      <c r="O8" s="1206"/>
    </row>
    <row r="9" spans="1:15" ht="13.5" hidden="1" customHeight="1" x14ac:dyDescent="0.2">
      <c r="A9" s="1202"/>
      <c r="B9" s="1203"/>
      <c r="C9" s="1204"/>
      <c r="D9" s="1205"/>
      <c r="E9" s="1205"/>
      <c r="F9" s="1205"/>
      <c r="G9" s="1205"/>
      <c r="H9" s="1206"/>
      <c r="I9" s="1204"/>
      <c r="J9" s="1205"/>
      <c r="K9" s="1206"/>
      <c r="L9" s="1204"/>
      <c r="M9" s="1205"/>
      <c r="N9" s="1205"/>
      <c r="O9" s="1206"/>
    </row>
    <row r="10" spans="1:15" ht="13.5" hidden="1" customHeight="1" x14ac:dyDescent="0.2">
      <c r="A10" s="1202"/>
      <c r="B10" s="1203"/>
      <c r="C10" s="1204"/>
      <c r="D10" s="1205"/>
      <c r="E10" s="1205"/>
      <c r="F10" s="1205"/>
      <c r="G10" s="1205"/>
      <c r="H10" s="1206"/>
      <c r="I10" s="1204"/>
      <c r="J10" s="1205"/>
      <c r="K10" s="1206"/>
      <c r="L10" s="1204"/>
      <c r="M10" s="1205"/>
      <c r="N10" s="1205"/>
      <c r="O10" s="1206"/>
    </row>
    <row r="11" spans="1:15" ht="13.5" hidden="1" customHeight="1" x14ac:dyDescent="0.2">
      <c r="A11" s="1202"/>
      <c r="B11" s="1203"/>
      <c r="C11" s="1204"/>
      <c r="D11" s="1205"/>
      <c r="E11" s="1205"/>
      <c r="F11" s="1205"/>
      <c r="G11" s="1205"/>
      <c r="H11" s="1206"/>
      <c r="I11" s="1204"/>
      <c r="J11" s="1205"/>
      <c r="K11" s="1206"/>
      <c r="L11" s="1204"/>
      <c r="M11" s="1205"/>
      <c r="N11" s="1205"/>
      <c r="O11" s="1206"/>
    </row>
    <row r="12" spans="1:15" ht="11.25" customHeight="1" x14ac:dyDescent="0.2"/>
    <row r="13" spans="1:15" ht="21" customHeight="1" x14ac:dyDescent="0.25">
      <c r="A13" s="1221" t="str">
        <f>'(G1) Fjalori'!A359</f>
        <v>PËRMBLEDHJE E KËRKESËS BUXHETORE</v>
      </c>
      <c r="B13" s="1222"/>
      <c r="C13" s="1223"/>
      <c r="D13" s="1223"/>
      <c r="E13" s="1223"/>
      <c r="F13" s="1223"/>
      <c r="G13" s="1223"/>
      <c r="H13" s="1223"/>
      <c r="I13" s="1223"/>
      <c r="J13" s="1223"/>
      <c r="K13" s="1223"/>
      <c r="L13" s="1223"/>
      <c r="M13" s="1223"/>
      <c r="N13" s="1223"/>
      <c r="O13" s="1224"/>
    </row>
    <row r="14" spans="1:15" s="205" customFormat="1" ht="21" customHeight="1" x14ac:dyDescent="0.25">
      <c r="A14" s="204" t="str">
        <f>A2</f>
        <v>Nënfunksioni 27</v>
      </c>
      <c r="B14" s="1225" t="str">
        <f>B$2</f>
        <v>106 Strehimi social</v>
      </c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</row>
    <row r="15" spans="1:15" ht="21" customHeight="1" x14ac:dyDescent="0.2">
      <c r="A15" s="1221" t="str">
        <f>'(G1) Fjalori'!A384</f>
        <v>SHPENZIME TË PRITSHME</v>
      </c>
      <c r="B15" s="1222"/>
      <c r="C15" s="1222"/>
      <c r="D15" s="1222"/>
      <c r="E15" s="1222"/>
      <c r="F15" s="1222"/>
      <c r="G15" s="1242"/>
      <c r="H15" s="128"/>
      <c r="I15" s="1243" t="str">
        <f>I29</f>
        <v xml:space="preserve">TË ARDHURAT E PRITSHME </v>
      </c>
      <c r="J15" s="1222"/>
      <c r="K15" s="1222"/>
      <c r="L15" s="1222"/>
      <c r="M15" s="1222"/>
      <c r="N15" s="1222"/>
      <c r="O15" s="1242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203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241"/>
      <c r="B17" s="1241"/>
      <c r="C17" s="1241"/>
      <c r="D17" s="1241"/>
      <c r="E17" s="1241"/>
      <c r="F17" s="1241"/>
      <c r="G17" s="1241"/>
      <c r="H17" s="128"/>
    </row>
    <row r="18" spans="1:15" ht="12.75" x14ac:dyDescent="0.2">
      <c r="A18" s="134" t="str">
        <f>A15</f>
        <v>SHPENZIME TË PRITSHME</v>
      </c>
      <c r="B18" s="33">
        <f t="shared" ref="B18:G18" si="1">B72+B111+B150+B188+B226+B264</f>
        <v>0</v>
      </c>
      <c r="C18" s="33">
        <f t="shared" si="1"/>
        <v>0</v>
      </c>
      <c r="D18" s="33">
        <f t="shared" si="1"/>
        <v>0</v>
      </c>
      <c r="E18" s="126">
        <f t="shared" si="1"/>
        <v>0</v>
      </c>
      <c r="F18" s="126">
        <f t="shared" si="1"/>
        <v>0</v>
      </c>
      <c r="G18" s="126">
        <f t="shared" si="1"/>
        <v>0</v>
      </c>
      <c r="H18" s="128"/>
      <c r="I18" s="1226" t="str">
        <f>'(G1) Fjalori'!A385</f>
        <v>VLERËSIM I ARDHURAVE NGA TARIFAT</v>
      </c>
      <c r="J18" s="1227"/>
      <c r="K18" s="1227"/>
      <c r="L18" s="1227"/>
      <c r="M18" s="1227"/>
      <c r="N18" s="1227"/>
      <c r="O18" s="1228"/>
    </row>
    <row r="19" spans="1:15" ht="12.75" x14ac:dyDescent="0.2">
      <c r="A19" s="122"/>
      <c r="B19" s="201"/>
      <c r="C19" s="123"/>
      <c r="D19" s="123"/>
      <c r="E19" s="10"/>
      <c r="F19" s="10"/>
      <c r="G19" s="130"/>
      <c r="H19" s="10"/>
      <c r="I19" s="134" t="str">
        <f>'(G1) Fjalori'!A388</f>
        <v>VLERËSIM I ARDHURAVE NGA TARIFAT</v>
      </c>
      <c r="J19" s="34">
        <f t="shared" ref="J19:O19" si="2">J73+J112+J151+J189+J227+J265</f>
        <v>0</v>
      </c>
      <c r="K19" s="34">
        <f t="shared" si="2"/>
        <v>0</v>
      </c>
      <c r="L19" s="33">
        <f t="shared" si="2"/>
        <v>0</v>
      </c>
      <c r="M19" s="126">
        <f t="shared" si="2"/>
        <v>0</v>
      </c>
      <c r="N19" s="126">
        <f t="shared" si="2"/>
        <v>0</v>
      </c>
      <c r="O19" s="126">
        <f t="shared" si="2"/>
        <v>0</v>
      </c>
    </row>
    <row r="20" spans="1:15" ht="12.75" x14ac:dyDescent="0.2">
      <c r="A20" s="1232" t="str">
        <f>A15</f>
        <v>SHPENZIME TË PRITSHME</v>
      </c>
      <c r="B20" s="1233"/>
      <c r="C20" s="1233"/>
      <c r="D20" s="1233"/>
      <c r="E20" s="1233"/>
      <c r="F20" s="1233"/>
      <c r="G20" s="1234"/>
      <c r="H20" s="10"/>
    </row>
    <row r="21" spans="1:15" ht="12.75" customHeight="1" x14ac:dyDescent="0.2">
      <c r="A21" s="1226" t="str">
        <f>'(G1) Fjalori'!A382</f>
        <v>KOSTO DIREKTE PËR PROJEKTET DHE SHPENZIMET KAPITALE</v>
      </c>
      <c r="B21" s="1227"/>
      <c r="C21" s="1227"/>
      <c r="D21" s="1227"/>
      <c r="E21" s="1227"/>
      <c r="F21" s="1227"/>
      <c r="G21" s="1228"/>
      <c r="H21" s="30"/>
    </row>
    <row r="22" spans="1:15" ht="12.75" customHeight="1" x14ac:dyDescent="0.2">
      <c r="A22" s="121" t="str">
        <f>'(G1) Fjalori'!A360</f>
        <v>Pagat</v>
      </c>
      <c r="B22" s="1229">
        <f>'(G1) Fjalori'!C360</f>
        <v>600</v>
      </c>
      <c r="C22" s="1230"/>
      <c r="D22" s="1231"/>
      <c r="E22" s="267">
        <f t="shared" ref="E22:G33" si="3">E76+E115+E154+E192+E230+E268</f>
        <v>0</v>
      </c>
      <c r="F22" s="267">
        <f t="shared" si="3"/>
        <v>0</v>
      </c>
      <c r="G22" s="267">
        <f t="shared" si="3"/>
        <v>0</v>
      </c>
      <c r="H22" s="30"/>
      <c r="I22" s="1226" t="str">
        <f>'(G1) Fjalori'!A389</f>
        <v>VLERËSIMI I TË ARDHURAVE ME DESTINACION</v>
      </c>
      <c r="J22" s="1227"/>
      <c r="K22" s="1227"/>
      <c r="L22" s="1227"/>
      <c r="M22" s="1227"/>
      <c r="N22" s="1227"/>
      <c r="O22" s="1228"/>
    </row>
    <row r="23" spans="1:15" ht="12.75" customHeight="1" x14ac:dyDescent="0.2">
      <c r="A23" s="121" t="str">
        <f>'(G1) Fjalori'!A361</f>
        <v>Sigurimet Shoqërore</v>
      </c>
      <c r="B23" s="1229">
        <f>'(G1) Fjalori'!C361</f>
        <v>601</v>
      </c>
      <c r="C23" s="1230"/>
      <c r="D23" s="1231"/>
      <c r="E23" s="267">
        <f t="shared" si="3"/>
        <v>0</v>
      </c>
      <c r="F23" s="267">
        <f t="shared" si="3"/>
        <v>0</v>
      </c>
      <c r="G23" s="267">
        <f t="shared" si="3"/>
        <v>0</v>
      </c>
      <c r="H23" s="30"/>
      <c r="I23" s="239" t="str">
        <f>'(G1) Fjalori'!A390</f>
        <v>Transferta e kushtëzuar</v>
      </c>
      <c r="J23" s="1244"/>
      <c r="K23" s="1241"/>
      <c r="L23" s="1245"/>
      <c r="M23" s="267">
        <f t="shared" ref="M23:O27" si="4">M76+M115+M154+M192+M230+M268</f>
        <v>0</v>
      </c>
      <c r="N23" s="267">
        <f t="shared" si="4"/>
        <v>0</v>
      </c>
      <c r="O23" s="267">
        <f t="shared" si="4"/>
        <v>0</v>
      </c>
    </row>
    <row r="24" spans="1:15" ht="12.75" customHeight="1" x14ac:dyDescent="0.2">
      <c r="A24" s="121" t="str">
        <f>'(G1) Fjalori'!A362</f>
        <v>Mallra dhe shërbime</v>
      </c>
      <c r="B24" s="1229">
        <f>'(G1) Fjalori'!C362</f>
        <v>602</v>
      </c>
      <c r="C24" s="1230"/>
      <c r="D24" s="1231"/>
      <c r="E24" s="267">
        <f t="shared" si="3"/>
        <v>0</v>
      </c>
      <c r="F24" s="267">
        <f t="shared" si="3"/>
        <v>0</v>
      </c>
      <c r="G24" s="267">
        <f t="shared" si="3"/>
        <v>0</v>
      </c>
      <c r="H24" s="52"/>
      <c r="I24" s="239" t="str">
        <f>'(G1) Fjalori'!A391</f>
        <v>Trasferta Specifike</v>
      </c>
      <c r="J24" s="1246"/>
      <c r="K24" s="1247"/>
      <c r="L24" s="1248"/>
      <c r="M24" s="267">
        <f t="shared" si="4"/>
        <v>0</v>
      </c>
      <c r="N24" s="267">
        <f t="shared" si="4"/>
        <v>0</v>
      </c>
      <c r="O24" s="267">
        <f t="shared" si="4"/>
        <v>0</v>
      </c>
    </row>
    <row r="25" spans="1:15" ht="12.75" customHeight="1" x14ac:dyDescent="0.2">
      <c r="A25" s="121" t="str">
        <f>'(G1) Fjalori'!A363</f>
        <v>Subvencione</v>
      </c>
      <c r="B25" s="1229">
        <f>'(G1) Fjalori'!C363</f>
        <v>603</v>
      </c>
      <c r="C25" s="1230"/>
      <c r="D25" s="1231"/>
      <c r="E25" s="267">
        <f t="shared" si="3"/>
        <v>0</v>
      </c>
      <c r="F25" s="267">
        <f t="shared" si="3"/>
        <v>0</v>
      </c>
      <c r="G25" s="267">
        <f t="shared" si="3"/>
        <v>0</v>
      </c>
      <c r="H25" s="8"/>
      <c r="I25" s="239" t="str">
        <f>'(G1) Fjalori'!A392</f>
        <v>Trashëgimi me destinacion</v>
      </c>
      <c r="J25" s="1246"/>
      <c r="K25" s="1247"/>
      <c r="L25" s="1248"/>
      <c r="M25" s="264">
        <f t="shared" si="4"/>
        <v>0</v>
      </c>
      <c r="N25" s="479">
        <f t="shared" si="4"/>
        <v>0</v>
      </c>
      <c r="O25" s="479">
        <f t="shared" si="4"/>
        <v>0</v>
      </c>
    </row>
    <row r="26" spans="1:15" ht="12.75" x14ac:dyDescent="0.2">
      <c r="A26" s="121" t="str">
        <f>'(G1) Fjalori'!A364</f>
        <v>Të tjera transferta korrente të brendshme</v>
      </c>
      <c r="B26" s="1229">
        <f>'(G1) Fjalori'!C364</f>
        <v>604</v>
      </c>
      <c r="C26" s="1230"/>
      <c r="D26" s="1231"/>
      <c r="E26" s="267">
        <f t="shared" si="3"/>
        <v>0</v>
      </c>
      <c r="F26" s="267">
        <f t="shared" si="3"/>
        <v>0</v>
      </c>
      <c r="G26" s="267">
        <f t="shared" si="3"/>
        <v>0</v>
      </c>
      <c r="H26" s="52"/>
      <c r="I26" s="239" t="str">
        <f>'(G1) Fjalori'!A393</f>
        <v>Burime të tjera (përfshirë gjobat)</v>
      </c>
      <c r="J26" s="1249"/>
      <c r="K26" s="1250"/>
      <c r="L26" s="1251"/>
      <c r="M26" s="267">
        <f t="shared" si="4"/>
        <v>0</v>
      </c>
      <c r="N26" s="267">
        <f t="shared" si="4"/>
        <v>0</v>
      </c>
      <c r="O26" s="267">
        <f t="shared" si="4"/>
        <v>0</v>
      </c>
    </row>
    <row r="27" spans="1:15" ht="12.75" x14ac:dyDescent="0.2">
      <c r="A27" s="121" t="str">
        <f>'(G1) Fjalori'!A365</f>
        <v>Transferta korrente të huaja</v>
      </c>
      <c r="B27" s="1229">
        <f>'(G1) Fjalori'!C365</f>
        <v>605</v>
      </c>
      <c r="C27" s="1230"/>
      <c r="D27" s="1231"/>
      <c r="E27" s="267">
        <f t="shared" si="3"/>
        <v>0</v>
      </c>
      <c r="F27" s="267">
        <f t="shared" si="3"/>
        <v>0</v>
      </c>
      <c r="G27" s="267">
        <f t="shared" si="3"/>
        <v>0</v>
      </c>
      <c r="H27" s="52"/>
      <c r="I27" s="239" t="str">
        <f>'(G1) Fjalori'!A394</f>
        <v>VLERËSIMI I TË ARDHURAVE ME DESTINACION</v>
      </c>
      <c r="J27" s="33">
        <f>J80+J119+J158+J196+J234+J272</f>
        <v>0</v>
      </c>
      <c r="K27" s="33">
        <f>K80+K119+K158+K196+K234+K272</f>
        <v>0</v>
      </c>
      <c r="L27" s="33">
        <f>L80+L119+L158+L196+L234+L272</f>
        <v>0</v>
      </c>
      <c r="M27" s="126">
        <f t="shared" si="4"/>
        <v>0</v>
      </c>
      <c r="N27" s="126">
        <f t="shared" si="4"/>
        <v>0</v>
      </c>
      <c r="O27" s="126">
        <f t="shared" si="4"/>
        <v>0</v>
      </c>
    </row>
    <row r="28" spans="1:15" ht="12.75" x14ac:dyDescent="0.2">
      <c r="A28" s="121" t="str">
        <f>'(G1) Fjalori'!A366</f>
        <v>Transferta për Buxhetet Familiare dhe Individët</v>
      </c>
      <c r="B28" s="1229">
        <f>'(G1) Fjalori'!C366</f>
        <v>606</v>
      </c>
      <c r="C28" s="1230"/>
      <c r="D28" s="1231"/>
      <c r="E28" s="267">
        <f t="shared" si="3"/>
        <v>0</v>
      </c>
      <c r="F28" s="267">
        <f t="shared" si="3"/>
        <v>0</v>
      </c>
      <c r="G28" s="267">
        <f t="shared" si="3"/>
        <v>0</v>
      </c>
      <c r="H28" s="52"/>
    </row>
    <row r="29" spans="1:15" ht="12.75" x14ac:dyDescent="0.2">
      <c r="A29" s="121" t="str">
        <f>'(G1) Fjalori'!A367</f>
        <v>Shpenzimet kapitale</v>
      </c>
      <c r="B29" s="1229" t="str">
        <f>'(G1) Fjalori'!C367</f>
        <v>230 / 231</v>
      </c>
      <c r="C29" s="1230"/>
      <c r="D29" s="1231"/>
      <c r="E29" s="267">
        <f t="shared" si="3"/>
        <v>0</v>
      </c>
      <c r="F29" s="267">
        <f t="shared" si="3"/>
        <v>0</v>
      </c>
      <c r="G29" s="267">
        <f t="shared" si="3"/>
        <v>0</v>
      </c>
      <c r="H29" s="52"/>
      <c r="I29" s="134" t="str">
        <f>'(G1) Fjalori'!A395</f>
        <v xml:space="preserve">TË ARDHURAT E PRITSHME </v>
      </c>
      <c r="J29" s="33">
        <f t="shared" ref="J29:O29" si="5">J82+J121+J160+J198+J236+J274</f>
        <v>0</v>
      </c>
      <c r="K29" s="33">
        <f t="shared" si="5"/>
        <v>0</v>
      </c>
      <c r="L29" s="33">
        <f t="shared" si="5"/>
        <v>0</v>
      </c>
      <c r="M29" s="126">
        <f t="shared" si="5"/>
        <v>0</v>
      </c>
      <c r="N29" s="126">
        <f t="shared" si="5"/>
        <v>0</v>
      </c>
      <c r="O29" s="126">
        <f t="shared" si="5"/>
        <v>0</v>
      </c>
    </row>
    <row r="30" spans="1:15" ht="12.75" x14ac:dyDescent="0.2">
      <c r="A30" s="121" t="str">
        <f>'(G1) Fjalori'!A368</f>
        <v>Rezerva</v>
      </c>
      <c r="B30" s="1229">
        <f>'(G1) Fjalori'!C368</f>
        <v>609</v>
      </c>
      <c r="C30" s="1230"/>
      <c r="D30" s="1231"/>
      <c r="E30" s="267">
        <f t="shared" si="3"/>
        <v>0</v>
      </c>
      <c r="F30" s="267">
        <f t="shared" si="3"/>
        <v>0</v>
      </c>
      <c r="G30" s="267">
        <f t="shared" si="3"/>
        <v>0</v>
      </c>
      <c r="H30" s="52"/>
    </row>
    <row r="31" spans="1:15" ht="12.75" x14ac:dyDescent="0.2">
      <c r="A31" s="121" t="str">
        <f>'(G1) Fjalori'!A369</f>
        <v>Interesa per kredi direkte ose bono</v>
      </c>
      <c r="B31" s="1229">
        <f>'(G1) Fjalori'!C369</f>
        <v>650</v>
      </c>
      <c r="C31" s="1230"/>
      <c r="D31" s="1231"/>
      <c r="E31" s="267">
        <f t="shared" si="3"/>
        <v>0</v>
      </c>
      <c r="F31" s="267">
        <f t="shared" si="3"/>
        <v>0</v>
      </c>
      <c r="G31" s="267">
        <f t="shared" si="3"/>
        <v>0</v>
      </c>
      <c r="H31" s="52"/>
    </row>
    <row r="32" spans="1:15" ht="12.75" customHeight="1" x14ac:dyDescent="0.2">
      <c r="A32" s="121" t="str">
        <f>'(G1) Fjalori'!A370</f>
        <v>Të tjera</v>
      </c>
      <c r="B32" s="1229" t="str">
        <f>'(G1) Fjalori'!C370</f>
        <v>69 / ?</v>
      </c>
      <c r="C32" s="1230"/>
      <c r="D32" s="1231"/>
      <c r="E32" s="267">
        <f t="shared" si="3"/>
        <v>0</v>
      </c>
      <c r="F32" s="267">
        <f t="shared" si="3"/>
        <v>0</v>
      </c>
      <c r="G32" s="267">
        <f t="shared" si="3"/>
        <v>0</v>
      </c>
      <c r="H32" s="52"/>
      <c r="I32" s="1235" t="str">
        <f>'(G1) Fjalori'!A415</f>
        <v>SHUMA E KËRKUAR NETO</v>
      </c>
      <c r="J32" s="1236"/>
      <c r="K32" s="1236"/>
      <c r="L32" s="1236"/>
      <c r="M32" s="1236"/>
      <c r="N32" s="1236"/>
      <c r="O32" s="1237"/>
    </row>
    <row r="33" spans="1:15" ht="12.75" customHeight="1" x14ac:dyDescent="0.2">
      <c r="A33" s="268" t="str">
        <f>A21</f>
        <v>KOSTO DIREKTE PËR PROJEKTET DHE SHPENZIMET KAPITALE</v>
      </c>
      <c r="B33" s="1229"/>
      <c r="C33" s="1230"/>
      <c r="D33" s="1231"/>
      <c r="E33" s="126">
        <f t="shared" si="3"/>
        <v>0</v>
      </c>
      <c r="F33" s="126">
        <f t="shared" si="3"/>
        <v>0</v>
      </c>
      <c r="G33" s="126">
        <f t="shared" si="3"/>
        <v>0</v>
      </c>
      <c r="H33" s="52"/>
      <c r="I33" s="1238"/>
      <c r="J33" s="1239"/>
      <c r="K33" s="1239"/>
      <c r="L33" s="1239"/>
      <c r="M33" s="1239"/>
      <c r="N33" s="1239"/>
      <c r="O33" s="1240"/>
    </row>
    <row r="34" spans="1:15" ht="12.75" x14ac:dyDescent="0.2">
      <c r="A34" s="1226" t="str">
        <f>'(G1) Fjalori'!A383</f>
        <v>SHPENZIME KORRENTE</v>
      </c>
      <c r="B34" s="1227"/>
      <c r="C34" s="1227"/>
      <c r="D34" s="1227"/>
      <c r="E34" s="1227"/>
      <c r="F34" s="1227"/>
      <c r="G34" s="1228"/>
      <c r="H34" s="52"/>
      <c r="I34" s="17" t="str">
        <f>I32</f>
        <v>SHUMA E KËRKUAR NETO</v>
      </c>
      <c r="J34" s="18">
        <f t="shared" ref="J34:O34" si="6">J88+J127+J166+J204+J242+J280</f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  <c r="N34" s="18">
        <f t="shared" si="6"/>
        <v>0</v>
      </c>
      <c r="O34" s="18">
        <f t="shared" si="6"/>
        <v>0</v>
      </c>
    </row>
    <row r="35" spans="1:15" ht="12.75" x14ac:dyDescent="0.2">
      <c r="A35" s="121" t="str">
        <f>A22</f>
        <v>Pagat</v>
      </c>
      <c r="B35" s="1229">
        <f>B22</f>
        <v>600</v>
      </c>
      <c r="C35" s="1230"/>
      <c r="D35" s="1231"/>
      <c r="E35" s="267">
        <f t="shared" ref="E35:G46" si="7">E89+E128+E167+E205+E243+E281</f>
        <v>0</v>
      </c>
      <c r="F35" s="267">
        <f t="shared" si="7"/>
        <v>0</v>
      </c>
      <c r="G35" s="267">
        <f t="shared" si="7"/>
        <v>0</v>
      </c>
      <c r="H35" s="52"/>
      <c r="I35" s="52"/>
      <c r="J35" s="52"/>
      <c r="K35" s="52"/>
      <c r="L35" s="14"/>
      <c r="M35" s="53"/>
    </row>
    <row r="36" spans="1:15" ht="12.75" customHeight="1" x14ac:dyDescent="0.2">
      <c r="A36" s="121" t="str">
        <f t="shared" ref="A36:A45" si="8">A23</f>
        <v>Sigurimet Shoqërore</v>
      </c>
      <c r="B36" s="1229">
        <f t="shared" ref="B36:B45" si="9">B23</f>
        <v>601</v>
      </c>
      <c r="C36" s="1230"/>
      <c r="D36" s="1231"/>
      <c r="E36" s="267">
        <f t="shared" si="7"/>
        <v>0</v>
      </c>
      <c r="F36" s="267">
        <f t="shared" si="7"/>
        <v>0</v>
      </c>
      <c r="G36" s="267">
        <f t="shared" si="7"/>
        <v>0</v>
      </c>
      <c r="H36" s="52"/>
    </row>
    <row r="37" spans="1:15" ht="12.75" x14ac:dyDescent="0.2">
      <c r="A37" s="121" t="str">
        <f t="shared" si="8"/>
        <v>Mallra dhe shërbime</v>
      </c>
      <c r="B37" s="1229">
        <f t="shared" si="9"/>
        <v>602</v>
      </c>
      <c r="C37" s="1230"/>
      <c r="D37" s="1231"/>
      <c r="E37" s="267">
        <f t="shared" si="7"/>
        <v>0</v>
      </c>
      <c r="F37" s="267">
        <f t="shared" si="7"/>
        <v>0</v>
      </c>
      <c r="G37" s="267">
        <f t="shared" si="7"/>
        <v>0</v>
      </c>
      <c r="H37" s="52"/>
      <c r="I37" s="121" t="str">
        <f>'(G1) Fjalori'!A413</f>
        <v>Angazhimet</v>
      </c>
      <c r="J37" s="1280" t="str">
        <f>'(G1) Fjalori'!A454</f>
        <v>Vlera Totale për Aktivitet</v>
      </c>
      <c r="K37" s="1281"/>
      <c r="L37" s="1282"/>
      <c r="M37" s="126">
        <f t="shared" ref="M37:O40" si="10">M91+M130+M169+M207+M245+M283</f>
        <v>0</v>
      </c>
      <c r="N37" s="126">
        <f t="shared" si="10"/>
        <v>0</v>
      </c>
      <c r="O37" s="126">
        <f t="shared" si="10"/>
        <v>0</v>
      </c>
    </row>
    <row r="38" spans="1:15" ht="12.75" x14ac:dyDescent="0.2">
      <c r="A38" s="121" t="str">
        <f t="shared" si="8"/>
        <v>Subvencione</v>
      </c>
      <c r="B38" s="1229">
        <f t="shared" si="9"/>
        <v>603</v>
      </c>
      <c r="C38" s="1230"/>
      <c r="D38" s="1231"/>
      <c r="E38" s="267">
        <f t="shared" si="7"/>
        <v>0</v>
      </c>
      <c r="F38" s="267">
        <f t="shared" si="7"/>
        <v>0</v>
      </c>
      <c r="G38" s="267">
        <f t="shared" si="7"/>
        <v>0</v>
      </c>
      <c r="H38" s="52"/>
      <c r="I38" s="279" t="str">
        <f>'(G1) Fjalori'!A456</f>
        <v>Qëllime</v>
      </c>
      <c r="J38" s="280" t="str">
        <f>A29</f>
        <v>Shpenzimet kapitale</v>
      </c>
      <c r="K38" s="277"/>
      <c r="L38" s="278"/>
      <c r="M38" s="126">
        <f t="shared" si="10"/>
        <v>0</v>
      </c>
      <c r="N38" s="126">
        <f t="shared" si="10"/>
        <v>0</v>
      </c>
      <c r="O38" s="126">
        <f t="shared" si="10"/>
        <v>0</v>
      </c>
    </row>
    <row r="39" spans="1:15" ht="12.75" x14ac:dyDescent="0.2">
      <c r="A39" s="121" t="str">
        <f t="shared" si="8"/>
        <v>Të tjera transferta korrente të brendshme</v>
      </c>
      <c r="B39" s="1229">
        <f t="shared" si="9"/>
        <v>604</v>
      </c>
      <c r="C39" s="1230"/>
      <c r="D39" s="1231"/>
      <c r="E39" s="267">
        <f t="shared" si="7"/>
        <v>0</v>
      </c>
      <c r="F39" s="267">
        <f t="shared" si="7"/>
        <v>0</v>
      </c>
      <c r="G39" s="267">
        <f t="shared" si="7"/>
        <v>0</v>
      </c>
      <c r="H39" s="52"/>
      <c r="I39" s="276"/>
      <c r="J39" s="280" t="str">
        <f>A24</f>
        <v>Mallra dhe shërbime</v>
      </c>
      <c r="K39" s="277"/>
      <c r="L39" s="278"/>
      <c r="M39" s="126">
        <f t="shared" si="10"/>
        <v>0</v>
      </c>
      <c r="N39" s="126">
        <f t="shared" si="10"/>
        <v>0</v>
      </c>
      <c r="O39" s="126">
        <f t="shared" si="10"/>
        <v>0</v>
      </c>
    </row>
    <row r="40" spans="1:15" ht="12.75" x14ac:dyDescent="0.2">
      <c r="A40" s="121" t="str">
        <f t="shared" si="8"/>
        <v>Transferta korrente të huaja</v>
      </c>
      <c r="B40" s="1229">
        <f t="shared" si="9"/>
        <v>605</v>
      </c>
      <c r="C40" s="1230"/>
      <c r="D40" s="1231"/>
      <c r="E40" s="267">
        <f t="shared" si="7"/>
        <v>0</v>
      </c>
      <c r="F40" s="267">
        <f t="shared" si="7"/>
        <v>0</v>
      </c>
      <c r="G40" s="267">
        <f t="shared" si="7"/>
        <v>0</v>
      </c>
      <c r="H40" s="52"/>
      <c r="I40" s="276"/>
      <c r="J40" s="280" t="str">
        <f>'(G1) Fjalori'!A455</f>
        <v>Qëllime të mëtejshme</v>
      </c>
      <c r="K40" s="277"/>
      <c r="L40" s="278"/>
      <c r="M40" s="126">
        <f t="shared" si="10"/>
        <v>0</v>
      </c>
      <c r="N40" s="126">
        <f t="shared" si="10"/>
        <v>0</v>
      </c>
      <c r="O40" s="126">
        <f t="shared" si="10"/>
        <v>0</v>
      </c>
    </row>
    <row r="41" spans="1:15" ht="12.75" x14ac:dyDescent="0.2">
      <c r="A41" s="121" t="str">
        <f t="shared" si="8"/>
        <v>Transferta për Buxhetet Familiare dhe Individët</v>
      </c>
      <c r="B41" s="1229">
        <f t="shared" si="9"/>
        <v>606</v>
      </c>
      <c r="C41" s="1230"/>
      <c r="D41" s="1231"/>
      <c r="E41" s="267">
        <f t="shared" si="7"/>
        <v>0</v>
      </c>
      <c r="F41" s="267">
        <f t="shared" si="7"/>
        <v>0</v>
      </c>
      <c r="G41" s="267">
        <f t="shared" si="7"/>
        <v>0</v>
      </c>
      <c r="H41" s="52"/>
      <c r="I41" s="276"/>
      <c r="J41" s="1286"/>
      <c r="K41" s="1286"/>
      <c r="L41" s="1286"/>
      <c r="M41" s="300" t="str">
        <f>IF(SUM(M38:M40)=M37,"OK","STOP")</f>
        <v>OK</v>
      </c>
      <c r="N41" s="300" t="str">
        <f>IF(SUM(N38:N40)=N37,"OK","STOP")</f>
        <v>OK</v>
      </c>
      <c r="O41" s="300" t="str">
        <f>IF(SUM(O38:O40)=O37,"OK","STOP")</f>
        <v>OK</v>
      </c>
    </row>
    <row r="42" spans="1:15" ht="12.75" x14ac:dyDescent="0.2">
      <c r="A42" s="564" t="str">
        <f t="shared" si="8"/>
        <v>Shpenzimet kapitale</v>
      </c>
      <c r="B42" s="1256" t="str">
        <f t="shared" si="9"/>
        <v>230 / 231</v>
      </c>
      <c r="C42" s="1257"/>
      <c r="D42" s="1258"/>
      <c r="E42" s="267">
        <f t="shared" si="7"/>
        <v>0</v>
      </c>
      <c r="F42" s="267">
        <f t="shared" si="7"/>
        <v>0</v>
      </c>
      <c r="G42" s="267">
        <f t="shared" si="7"/>
        <v>0</v>
      </c>
      <c r="H42" s="52"/>
    </row>
    <row r="43" spans="1:15" ht="12.75" x14ac:dyDescent="0.2">
      <c r="A43" s="121" t="str">
        <f t="shared" si="8"/>
        <v>Rezerva</v>
      </c>
      <c r="B43" s="1229">
        <f t="shared" si="9"/>
        <v>609</v>
      </c>
      <c r="C43" s="1230"/>
      <c r="D43" s="1231"/>
      <c r="E43" s="267">
        <f t="shared" si="7"/>
        <v>0</v>
      </c>
      <c r="F43" s="267">
        <f t="shared" si="7"/>
        <v>0</v>
      </c>
      <c r="G43" s="267">
        <f t="shared" si="7"/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21" t="str">
        <f t="shared" si="8"/>
        <v>Interesa per kredi direkte ose bono</v>
      </c>
      <c r="B44" s="1259">
        <f t="shared" si="9"/>
        <v>650</v>
      </c>
      <c r="C44" s="1260"/>
      <c r="D44" s="1261"/>
      <c r="E44" s="267">
        <f t="shared" si="7"/>
        <v>0</v>
      </c>
      <c r="F44" s="267">
        <f t="shared" si="7"/>
        <v>0</v>
      </c>
      <c r="G44" s="267">
        <f t="shared" si="7"/>
        <v>0</v>
      </c>
      <c r="H44" s="52"/>
      <c r="J44" s="1274"/>
      <c r="K44" s="1275"/>
      <c r="L44" s="1275"/>
      <c r="M44" s="1275"/>
      <c r="N44" s="1275"/>
      <c r="O44" s="1276"/>
    </row>
    <row r="45" spans="1:15" ht="12.75" customHeight="1" x14ac:dyDescent="0.2">
      <c r="A45" s="239" t="str">
        <f t="shared" si="8"/>
        <v>Të tjera</v>
      </c>
      <c r="B45" s="1229" t="str">
        <f t="shared" si="9"/>
        <v>69 / ?</v>
      </c>
      <c r="C45" s="1230"/>
      <c r="D45" s="271" t="str">
        <f>IF(OR(E45&lt;0,F45&lt;0,G45&lt;0),"STOP","OK!")</f>
        <v>OK!</v>
      </c>
      <c r="E45" s="270">
        <f t="shared" si="7"/>
        <v>0</v>
      </c>
      <c r="F45" s="127">
        <f t="shared" si="7"/>
        <v>0</v>
      </c>
      <c r="G45" s="127">
        <f t="shared" si="7"/>
        <v>0</v>
      </c>
      <c r="H45" s="52"/>
      <c r="J45" s="1274"/>
      <c r="K45" s="1275"/>
      <c r="L45" s="1275"/>
      <c r="M45" s="1275"/>
      <c r="N45" s="1275"/>
      <c r="O45" s="1276"/>
    </row>
    <row r="46" spans="1:15" ht="12.75" customHeight="1" x14ac:dyDescent="0.2">
      <c r="A46" s="121" t="str">
        <f>A34</f>
        <v>SHPENZIME KORRENTE</v>
      </c>
      <c r="B46" s="1262"/>
      <c r="C46" s="1263"/>
      <c r="D46" s="1264"/>
      <c r="E46" s="126">
        <f t="shared" si="7"/>
        <v>0</v>
      </c>
      <c r="F46" s="126">
        <f t="shared" si="7"/>
        <v>0</v>
      </c>
      <c r="G46" s="126">
        <f t="shared" si="7"/>
        <v>0</v>
      </c>
      <c r="H46" s="52"/>
      <c r="J46" s="1274"/>
      <c r="K46" s="1275"/>
      <c r="L46" s="1275"/>
      <c r="M46" s="1275"/>
      <c r="N46" s="1275"/>
      <c r="O46" s="1276"/>
    </row>
    <row r="47" spans="1:15" ht="12.75" customHeight="1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customHeight="1" x14ac:dyDescent="0.2">
      <c r="A48" s="134" t="str">
        <f>A18</f>
        <v>SHPENZIME TË PRITSHME</v>
      </c>
      <c r="B48" s="33">
        <f t="shared" ref="B48:G48" si="11">B102+B141+B180+B218+B256+B294</f>
        <v>0</v>
      </c>
      <c r="C48" s="33">
        <f t="shared" si="11"/>
        <v>0</v>
      </c>
      <c r="D48" s="33">
        <f t="shared" si="11"/>
        <v>0</v>
      </c>
      <c r="E48" s="126">
        <f t="shared" si="11"/>
        <v>0</v>
      </c>
      <c r="F48" s="126">
        <f t="shared" si="11"/>
        <v>0</v>
      </c>
      <c r="G48" s="126">
        <f t="shared" si="11"/>
        <v>0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23.25" customHeight="1" x14ac:dyDescent="0.25">
      <c r="A50" s="1221" t="str">
        <f>'(G1) Fjalori'!A396</f>
        <v>PËRPUTHSHMËRIA ME TAVANET</v>
      </c>
      <c r="B50" s="1222"/>
      <c r="C50" s="1223"/>
      <c r="D50" s="1223"/>
      <c r="E50" s="1223"/>
      <c r="F50" s="1223"/>
      <c r="G50" s="1223"/>
      <c r="H50" s="1223"/>
      <c r="I50" s="1223"/>
      <c r="J50" s="1223"/>
      <c r="K50" s="1223"/>
      <c r="L50" s="1223"/>
      <c r="M50" s="1223"/>
      <c r="N50" s="1223"/>
      <c r="O50" s="1224"/>
    </row>
    <row r="51" spans="1:15" s="27" customFormat="1" ht="26.25" customHeight="1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M70</f>
        <v>2022</v>
      </c>
      <c r="N51" s="238">
        <f>N70</f>
        <v>2023</v>
      </c>
      <c r="O51" s="238">
        <f>O70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135">
        <f>VLOOKUP($A14,'(D1) Tavanet buxhetore'!$A$7:$R$473,7,FALSE)</f>
        <v>0</v>
      </c>
      <c r="N52" s="135">
        <f>VLOOKUP($A14,'(D1) Tavanet buxhetore'!$A$7:$R$473,8,FALSE)</f>
        <v>0</v>
      </c>
      <c r="O52" s="587">
        <f>VLOOKUP($A14,'(D1) Tavanet buxhetore'!$A$7:$R$473,9,FALSE)</f>
        <v>0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136">
        <f>E18</f>
        <v>0</v>
      </c>
      <c r="N53" s="136">
        <f>F18</f>
        <v>0</v>
      </c>
      <c r="O53" s="588">
        <f>G18</f>
        <v>0</v>
      </c>
    </row>
    <row r="54" spans="1:15" ht="12.75" x14ac:dyDescent="0.2">
      <c r="A54" s="1284" t="str">
        <f>'(G1) Fjalori'!A399</f>
        <v>Diferenca mes tavaneve të përgjithshme (duhet të jetë &lt;0)</v>
      </c>
      <c r="B54" s="1285"/>
      <c r="C54" s="1285"/>
      <c r="D54" s="1285"/>
      <c r="E54" s="1285"/>
      <c r="F54" s="1285"/>
      <c r="G54" s="1285"/>
      <c r="H54" s="1285"/>
      <c r="I54" s="1285"/>
      <c r="J54" s="1285"/>
      <c r="K54" s="1285"/>
      <c r="L54" s="133" t="str">
        <f>IF(AND(M54&lt;0.4,N54&lt;0.4,O54&lt;0.4),"OK!","STOP!")</f>
        <v>OK!</v>
      </c>
      <c r="M54" s="137">
        <f>M53-M52</f>
        <v>0</v>
      </c>
      <c r="N54" s="137">
        <f>N53-N52</f>
        <v>0</v>
      </c>
      <c r="O54" s="138">
        <f>O53-O52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135">
        <f>VLOOKUP($A14,'(D1) Tavanet buxhetore'!$A$7:$R$473,10,FALSE)</f>
        <v>0</v>
      </c>
      <c r="N55" s="135">
        <f>VLOOKUP($A14,'(D1) Tavanet buxhetore'!$A$7:$R$473,11,FALSE)</f>
        <v>0</v>
      </c>
      <c r="O55" s="587">
        <f>VLOOKUP($A14,'(D1) Tavanet buxhetore'!$A$7:$R$473,12,FALSE)</f>
        <v>0</v>
      </c>
    </row>
    <row r="56" spans="1:15" ht="12.75" x14ac:dyDescent="0.2">
      <c r="A56" s="1284" t="str">
        <f>'(G1) Fjalori'!A401</f>
        <v>Paga dhe sigurime shoqërore</v>
      </c>
      <c r="B56" s="1285"/>
      <c r="C56" s="1285"/>
      <c r="D56" s="1285"/>
      <c r="E56" s="1285"/>
      <c r="F56" s="1285"/>
      <c r="G56" s="1285"/>
      <c r="H56" s="1285"/>
      <c r="I56" s="1285"/>
      <c r="J56" s="1285"/>
      <c r="K56" s="1285"/>
      <c r="L56" s="1287"/>
      <c r="M56" s="136">
        <f>E22+E35+E23+E36</f>
        <v>0</v>
      </c>
      <c r="N56" s="136">
        <f>F22+F35+F23+F36</f>
        <v>0</v>
      </c>
      <c r="O56" s="588">
        <f>G22+G35+G23+G36</f>
        <v>0</v>
      </c>
    </row>
    <row r="57" spans="1:15" ht="12.75" x14ac:dyDescent="0.2">
      <c r="A57" s="1284" t="str">
        <f>'(G1) Fjalori'!A402</f>
        <v>Diferenca e tavaneve në paga dhe sigurime shoqërore (duhet të jetë &lt;0)</v>
      </c>
      <c r="B57" s="1285"/>
      <c r="C57" s="1285"/>
      <c r="D57" s="1285"/>
      <c r="E57" s="1285"/>
      <c r="F57" s="1285"/>
      <c r="G57" s="1285"/>
      <c r="H57" s="1285"/>
      <c r="I57" s="1285"/>
      <c r="J57" s="1285"/>
      <c r="K57" s="1285"/>
      <c r="L57" s="133" t="str">
        <f>IF(AND(M57&lt;0.4,N57&lt;0.4,O57&lt;0.4),"OK!","STOP!")</f>
        <v>OK!</v>
      </c>
      <c r="M57" s="137">
        <f>M56-M55</f>
        <v>0</v>
      </c>
      <c r="N57" s="137">
        <f>N56-N55</f>
        <v>0</v>
      </c>
      <c r="O57" s="138">
        <f>O56-O55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135">
        <f>VLOOKUP($A14,'(D1) Tavanet buxhetore'!$A$7:$R$473,13,FALSE)</f>
        <v>0</v>
      </c>
      <c r="N58" s="135">
        <f>VLOOKUP($A14,'(D1) Tavanet buxhetore'!$A$7:$R$473,14,FALSE)</f>
        <v>0</v>
      </c>
      <c r="O58" s="587">
        <f>VLOOKUP($A14,'(D1) Tavanet buxhetore'!$A$7:$R$473,15,FALSE)</f>
        <v>0</v>
      </c>
    </row>
    <row r="59" spans="1:15" s="27" customFormat="1" ht="12.75" x14ac:dyDescent="0.2">
      <c r="A59" s="1284" t="str">
        <f>'(G1) Fjalori'!A404</f>
        <v>Konsumi (përjashtuar paga dhe sigurimet shoqërore)</v>
      </c>
      <c r="B59" s="1285"/>
      <c r="C59" s="1285"/>
      <c r="D59" s="1285"/>
      <c r="E59" s="1285"/>
      <c r="F59" s="1285"/>
      <c r="G59" s="1285"/>
      <c r="H59" s="1285"/>
      <c r="I59" s="1285"/>
      <c r="J59" s="1285"/>
      <c r="K59" s="1285"/>
      <c r="L59" s="1287"/>
      <c r="M59" s="136">
        <f>M53-M56-M62</f>
        <v>0</v>
      </c>
      <c r="N59" s="136">
        <f>N53-N56-N62</f>
        <v>0</v>
      </c>
      <c r="O59" s="588">
        <f>O53-O56-O62</f>
        <v>0</v>
      </c>
    </row>
    <row r="60" spans="1:15" s="27" customFormat="1" ht="12.75" x14ac:dyDescent="0.2">
      <c r="A60" s="1284" t="str">
        <f>'(G1) Fjalori'!A405</f>
        <v>Diferenca e tavaneve në konsum (duhet të jetë &lt;0)</v>
      </c>
      <c r="B60" s="1285"/>
      <c r="C60" s="1285"/>
      <c r="D60" s="1285"/>
      <c r="E60" s="1285"/>
      <c r="F60" s="1285"/>
      <c r="G60" s="1285"/>
      <c r="H60" s="1285"/>
      <c r="I60" s="1285"/>
      <c r="J60" s="1285"/>
      <c r="K60" s="1285"/>
      <c r="L60" s="133" t="str">
        <f>IF(AND(M60&lt;0.4,N60&lt;0.4,O60&lt;0.4),"OK!","STOP!")</f>
        <v>OK!</v>
      </c>
      <c r="M60" s="137">
        <f>M59-M58</f>
        <v>0</v>
      </c>
      <c r="N60" s="137">
        <f>N59-N58</f>
        <v>0</v>
      </c>
      <c r="O60" s="138">
        <f>O59-O58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135">
        <f>VLOOKUP($A14,'(D1) Tavanet buxhetore'!$A$7:$R$473,16,FALSE)</f>
        <v>0</v>
      </c>
      <c r="N61" s="135">
        <f>VLOOKUP($A14,'(D1) Tavanet buxhetore'!$A$7:$R$473,17,FALSE)</f>
        <v>0</v>
      </c>
      <c r="O61" s="587">
        <f>VLOOKUP($A14,'(D1) Tavanet buxhetore'!$A$7:$R$473,18,FALSE)</f>
        <v>0</v>
      </c>
    </row>
    <row r="62" spans="1:15" ht="12.75" x14ac:dyDescent="0.2">
      <c r="A62" s="1284" t="str">
        <f>'(G1) Fjalori'!A407</f>
        <v>Shpenzimet kapitale</v>
      </c>
      <c r="B62" s="1285"/>
      <c r="C62" s="1285"/>
      <c r="D62" s="1285"/>
      <c r="E62" s="1285"/>
      <c r="F62" s="1285"/>
      <c r="G62" s="1285"/>
      <c r="H62" s="1285"/>
      <c r="I62" s="1285"/>
      <c r="J62" s="1285"/>
      <c r="K62" s="1285"/>
      <c r="L62" s="1287"/>
      <c r="M62" s="136">
        <f>E29+E42</f>
        <v>0</v>
      </c>
      <c r="N62" s="136">
        <f>F29+F42</f>
        <v>0</v>
      </c>
      <c r="O62" s="588">
        <f>G29+G42</f>
        <v>0</v>
      </c>
    </row>
    <row r="63" spans="1:15" s="96" customFormat="1" ht="12.75" x14ac:dyDescent="0.2">
      <c r="A63" s="1284" t="str">
        <f>'(G1) Fjalori'!A408</f>
        <v>Diferenca e minimumit të shpenzimeve kapitale (duhet të jetë &gt;0)</v>
      </c>
      <c r="B63" s="1285"/>
      <c r="C63" s="1285"/>
      <c r="D63" s="1285"/>
      <c r="E63" s="1285"/>
      <c r="F63" s="1285"/>
      <c r="G63" s="1285"/>
      <c r="H63" s="1285"/>
      <c r="I63" s="1285"/>
      <c r="J63" s="1285"/>
      <c r="K63" s="1285"/>
      <c r="L63" s="133" t="str">
        <f>IF(AND(M63&gt;-0.4,N63&gt;-0.4,O63&gt;-0.4),"OK!","STOP!")</f>
        <v>OK!</v>
      </c>
      <c r="M63" s="137">
        <f>M62-M61</f>
        <v>0</v>
      </c>
      <c r="N63" s="137">
        <f>N62-N61</f>
        <v>0</v>
      </c>
      <c r="O63" s="138">
        <f>O62-O61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7.25" customHeight="1" x14ac:dyDescent="0.2">
      <c r="A66" s="204" t="str">
        <f t="shared" ref="A66:O66" si="12">A14</f>
        <v>Nënfunksioni 27</v>
      </c>
      <c r="B66" s="1225" t="str">
        <f t="shared" si="12"/>
        <v>106 Strehimi social</v>
      </c>
      <c r="C66" s="1225">
        <f t="shared" si="12"/>
        <v>0</v>
      </c>
      <c r="D66" s="1225">
        <f t="shared" si="12"/>
        <v>0</v>
      </c>
      <c r="E66" s="1225">
        <f t="shared" si="12"/>
        <v>0</v>
      </c>
      <c r="F66" s="1225">
        <f t="shared" si="12"/>
        <v>0</v>
      </c>
      <c r="G66" s="1225">
        <f t="shared" si="12"/>
        <v>0</v>
      </c>
      <c r="H66" s="1225">
        <f t="shared" si="12"/>
        <v>0</v>
      </c>
      <c r="I66" s="1225">
        <f t="shared" si="12"/>
        <v>0</v>
      </c>
      <c r="J66" s="1225">
        <f t="shared" si="12"/>
        <v>0</v>
      </c>
      <c r="K66" s="1225">
        <f t="shared" si="12"/>
        <v>0</v>
      </c>
      <c r="L66" s="1225">
        <f t="shared" si="12"/>
        <v>0</v>
      </c>
      <c r="M66" s="1225">
        <f t="shared" si="12"/>
        <v>0</v>
      </c>
      <c r="N66" s="1225">
        <f t="shared" si="12"/>
        <v>0</v>
      </c>
      <c r="O66" s="1225">
        <f t="shared" si="12"/>
        <v>0</v>
      </c>
    </row>
    <row r="67" spans="1:15" ht="17.25" customHeight="1" x14ac:dyDescent="0.2">
      <c r="A67" s="262" t="str">
        <f>A6</f>
        <v>Programi 28a</v>
      </c>
      <c r="B67" s="1225" t="str">
        <f>C6</f>
        <v>Strehimi social</v>
      </c>
      <c r="C67" s="1225" t="e">
        <f>#REF!</f>
        <v>#REF!</v>
      </c>
      <c r="D67" s="1225" t="e">
        <f>#REF!</f>
        <v>#REF!</v>
      </c>
      <c r="E67" s="1225" t="e">
        <f>#REF!</f>
        <v>#REF!</v>
      </c>
      <c r="F67" s="1225" t="e">
        <f>#REF!</f>
        <v>#REF!</v>
      </c>
      <c r="G67" s="1225" t="e">
        <f>#REF!</f>
        <v>#REF!</v>
      </c>
      <c r="H67" s="1225" t="e">
        <f>#REF!</f>
        <v>#REF!</v>
      </c>
      <c r="I67" s="1225" t="e">
        <f>#REF!</f>
        <v>#REF!</v>
      </c>
      <c r="J67" s="1225" t="e">
        <f>#REF!</f>
        <v>#REF!</v>
      </c>
      <c r="K67" s="1225" t="e">
        <f>#REF!</f>
        <v>#REF!</v>
      </c>
      <c r="L67" s="1225" t="e">
        <f>#REF!</f>
        <v>#REF!</v>
      </c>
      <c r="M67" s="1225" t="e">
        <f>#REF!</f>
        <v>#REF!</v>
      </c>
      <c r="N67" s="1225" t="e">
        <f>#REF!</f>
        <v>#REF!</v>
      </c>
      <c r="O67" s="1225" t="e">
        <f>#REF!</f>
        <v>#REF!</v>
      </c>
    </row>
    <row r="68" spans="1:15" ht="17.25" customHeight="1" x14ac:dyDescent="0.2">
      <c r="A68" s="562" t="str">
        <f>'(B3) Struktura Funksionale'!B140</f>
        <v>10661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6"/>
    </row>
    <row r="69" spans="1:15" ht="21" customHeight="1" x14ac:dyDescent="0.2">
      <c r="A69" s="1252" t="str">
        <f t="shared" ref="A69:G69" si="13">A15</f>
        <v>SHPENZIME TË PRITSHME</v>
      </c>
      <c r="B69" s="1253">
        <f t="shared" si="13"/>
        <v>0</v>
      </c>
      <c r="C69" s="1253">
        <f t="shared" si="13"/>
        <v>0</v>
      </c>
      <c r="D69" s="1253">
        <f t="shared" si="13"/>
        <v>0</v>
      </c>
      <c r="E69" s="1253">
        <f t="shared" si="13"/>
        <v>0</v>
      </c>
      <c r="F69" s="1253">
        <f t="shared" si="13"/>
        <v>0</v>
      </c>
      <c r="G69" s="1254">
        <f t="shared" si="13"/>
        <v>0</v>
      </c>
      <c r="H69" s="128"/>
      <c r="I69" s="1255" t="str">
        <f t="shared" ref="I69:O69" si="14">I15</f>
        <v xml:space="preserve">TË ARDHURAT E PRITSHME </v>
      </c>
      <c r="J69" s="1253">
        <f t="shared" si="14"/>
        <v>0</v>
      </c>
      <c r="K69" s="1253">
        <f t="shared" si="14"/>
        <v>0</v>
      </c>
      <c r="L69" s="1253">
        <f t="shared" si="14"/>
        <v>0</v>
      </c>
      <c r="M69" s="1253">
        <f t="shared" si="14"/>
        <v>0</v>
      </c>
      <c r="N69" s="1253">
        <f t="shared" si="14"/>
        <v>0</v>
      </c>
      <c r="O69" s="1254">
        <f t="shared" si="14"/>
        <v>0</v>
      </c>
    </row>
    <row r="70" spans="1:15" ht="19.5" customHeight="1" x14ac:dyDescent="0.2">
      <c r="A70" s="202"/>
      <c r="B70" s="363">
        <f t="shared" ref="B70:G70" si="15">B16</f>
        <v>2019</v>
      </c>
      <c r="C70" s="363">
        <f t="shared" si="15"/>
        <v>2020</v>
      </c>
      <c r="D70" s="363">
        <f t="shared" si="15"/>
        <v>2021</v>
      </c>
      <c r="E70" s="238">
        <f t="shared" si="15"/>
        <v>2022</v>
      </c>
      <c r="F70" s="238">
        <f t="shared" si="15"/>
        <v>2023</v>
      </c>
      <c r="G70" s="238">
        <f t="shared" si="15"/>
        <v>2024</v>
      </c>
      <c r="H70" s="203"/>
      <c r="I70" s="360"/>
      <c r="J70" s="363">
        <f t="shared" ref="J70:O70" si="16">J16</f>
        <v>2019</v>
      </c>
      <c r="K70" s="363">
        <f t="shared" si="16"/>
        <v>2020</v>
      </c>
      <c r="L70" s="363">
        <f t="shared" si="16"/>
        <v>2021</v>
      </c>
      <c r="M70" s="238">
        <f t="shared" si="16"/>
        <v>2022</v>
      </c>
      <c r="N70" s="238">
        <f t="shared" si="16"/>
        <v>2023</v>
      </c>
      <c r="O70" s="238">
        <f t="shared" si="16"/>
        <v>2024</v>
      </c>
    </row>
    <row r="71" spans="1:15" s="10" customFormat="1" ht="12.75" x14ac:dyDescent="0.2">
      <c r="A71" s="364"/>
      <c r="B71" s="357"/>
      <c r="C71" s="357"/>
      <c r="D71" s="357"/>
      <c r="E71" s="358"/>
      <c r="F71" s="358"/>
      <c r="G71" s="359"/>
      <c r="H71" s="203"/>
      <c r="I71" s="356"/>
      <c r="J71" s="357"/>
      <c r="K71" s="357"/>
      <c r="L71" s="357"/>
      <c r="M71" s="358"/>
      <c r="N71" s="358"/>
      <c r="O71" s="359"/>
    </row>
    <row r="72" spans="1:15" ht="12.75" x14ac:dyDescent="0.2">
      <c r="A72" s="361" t="str">
        <f>A18</f>
        <v>SHPENZIME TË PRITSHME</v>
      </c>
      <c r="B72" s="301">
        <f>VLOOKUP(A67,'(C1) Shpenzimet vitet e kaluara'!A$9:O$177,5,FALSE)</f>
        <v>0</v>
      </c>
      <c r="C72" s="301">
        <f>VLOOKUP(A67,'(C1) Shpenzimet vitet e kaluara'!A$9:O$177,9,FALSE)</f>
        <v>0</v>
      </c>
      <c r="D72" s="301">
        <f>VLOOKUP(A67,'(C1) Shpenzimet vitet e kaluara'!A$9:O$177,13,FALSE)</f>
        <v>0</v>
      </c>
      <c r="E72" s="362"/>
      <c r="F72" s="362"/>
      <c r="G72" s="362"/>
      <c r="H72" s="128"/>
      <c r="I72" s="1226" t="str">
        <f>I18</f>
        <v>VLERËSIM I ARDHURAVE NGA TARIFAT</v>
      </c>
      <c r="J72" s="1227"/>
      <c r="K72" s="1227"/>
      <c r="L72" s="1227"/>
      <c r="M72" s="1227"/>
      <c r="N72" s="1227"/>
      <c r="O72" s="1228"/>
    </row>
    <row r="73" spans="1:15" ht="12.75" x14ac:dyDescent="0.2">
      <c r="A73" s="122"/>
      <c r="B73" s="201"/>
      <c r="C73" s="123"/>
      <c r="D73" s="123"/>
      <c r="E73" s="10"/>
      <c r="F73" s="10"/>
      <c r="G73" s="130"/>
      <c r="H73" s="10"/>
      <c r="I73" s="134" t="str">
        <f>I19</f>
        <v>VLERËSIM I ARDHURAVE NGA TARIFAT</v>
      </c>
      <c r="J73" s="34">
        <f>VLOOKUP($A67,'(C1) Shpenzimet vitet e kaluara'!$A$9:$O$177,6,FALSE)</f>
        <v>0</v>
      </c>
      <c r="K73" s="34">
        <f>VLOOKUP($A67,'(C1) Shpenzimet vitet e kaluara'!$A$9:$O$177,10,FALSE)</f>
        <v>0</v>
      </c>
      <c r="L73" s="34">
        <f>VLOOKUP($A67,'(C1) Shpenzimet vitet e kaluara'!$A$9:$O$177,14,FALSE)</f>
        <v>0</v>
      </c>
      <c r="M73" s="36"/>
      <c r="N73" s="36"/>
      <c r="O73" s="36"/>
    </row>
    <row r="74" spans="1:15" ht="12.75" x14ac:dyDescent="0.2">
      <c r="A74" s="1232" t="str">
        <f t="shared" ref="A74:G75" si="17">A20</f>
        <v>SHPENZIME TË PRITSHME</v>
      </c>
      <c r="B74" s="1233">
        <f t="shared" si="17"/>
        <v>0</v>
      </c>
      <c r="C74" s="1233">
        <f t="shared" si="17"/>
        <v>0</v>
      </c>
      <c r="D74" s="1233">
        <f t="shared" si="17"/>
        <v>0</v>
      </c>
      <c r="E74" s="1233">
        <f t="shared" si="17"/>
        <v>0</v>
      </c>
      <c r="F74" s="1233">
        <f t="shared" si="17"/>
        <v>0</v>
      </c>
      <c r="G74" s="1234">
        <f t="shared" si="17"/>
        <v>0</v>
      </c>
      <c r="H74" s="10"/>
    </row>
    <row r="75" spans="1:15" ht="12.75" x14ac:dyDescent="0.2">
      <c r="A75" s="1226" t="str">
        <f t="shared" si="17"/>
        <v>KOSTO DIREKTE PËR PROJEKTET DHE SHPENZIMET KAPITALE</v>
      </c>
      <c r="B75" s="1227">
        <f t="shared" si="17"/>
        <v>0</v>
      </c>
      <c r="C75" s="1227">
        <f t="shared" si="17"/>
        <v>0</v>
      </c>
      <c r="D75" s="1227">
        <f t="shared" si="17"/>
        <v>0</v>
      </c>
      <c r="E75" s="1227">
        <f t="shared" si="17"/>
        <v>0</v>
      </c>
      <c r="F75" s="1227">
        <f t="shared" si="17"/>
        <v>0</v>
      </c>
      <c r="G75" s="1228">
        <f t="shared" si="17"/>
        <v>0</v>
      </c>
      <c r="H75" s="30"/>
      <c r="I75" s="1226" t="str">
        <f t="shared" ref="I75:I80" si="18">I22</f>
        <v>VLERËSIMI I TË ARDHURAVE ME DESTINACION</v>
      </c>
      <c r="J75" s="1227"/>
      <c r="K75" s="1227"/>
      <c r="L75" s="1227"/>
      <c r="M75" s="1227"/>
      <c r="N75" s="1227"/>
      <c r="O75" s="1228"/>
    </row>
    <row r="76" spans="1:15" ht="12.75" x14ac:dyDescent="0.2">
      <c r="A76" s="121" t="str">
        <f t="shared" ref="A76:D98" si="19">A22</f>
        <v>Pagat</v>
      </c>
      <c r="B76" s="1229">
        <f t="shared" si="19"/>
        <v>600</v>
      </c>
      <c r="C76" s="1230">
        <f t="shared" si="19"/>
        <v>0</v>
      </c>
      <c r="D76" s="1231">
        <f t="shared" si="19"/>
        <v>0</v>
      </c>
      <c r="E76" s="126"/>
      <c r="F76" s="126"/>
      <c r="G76" s="126"/>
      <c r="H76" s="30"/>
      <c r="I76" s="339" t="str">
        <f t="shared" si="18"/>
        <v>Transferta e kushtëzuar</v>
      </c>
      <c r="J76" s="336"/>
      <c r="K76" s="338"/>
      <c r="L76" s="337"/>
      <c r="M76" s="125"/>
      <c r="N76" s="125"/>
      <c r="O76" s="129"/>
    </row>
    <row r="77" spans="1:15" ht="12.75" x14ac:dyDescent="0.2">
      <c r="A77" s="121" t="str">
        <f t="shared" si="19"/>
        <v>Sigurimet Shoqërore</v>
      </c>
      <c r="B77" s="1229">
        <f t="shared" si="19"/>
        <v>601</v>
      </c>
      <c r="C77" s="1230">
        <f t="shared" si="19"/>
        <v>0</v>
      </c>
      <c r="D77" s="1231">
        <f t="shared" si="19"/>
        <v>0</v>
      </c>
      <c r="E77" s="126"/>
      <c r="F77" s="126"/>
      <c r="G77" s="126"/>
      <c r="H77" s="30"/>
      <c r="I77" s="339" t="str">
        <f t="shared" si="18"/>
        <v>Trasferta Specifike</v>
      </c>
      <c r="J77" s="336"/>
      <c r="K77" s="338"/>
      <c r="L77" s="337"/>
      <c r="M77" s="125"/>
      <c r="N77" s="125"/>
      <c r="O77" s="129"/>
    </row>
    <row r="78" spans="1:15" ht="12.75" x14ac:dyDescent="0.2">
      <c r="A78" s="121" t="str">
        <f t="shared" si="19"/>
        <v>Mallra dhe shërbime</v>
      </c>
      <c r="B78" s="1229">
        <f t="shared" si="19"/>
        <v>602</v>
      </c>
      <c r="C78" s="1230">
        <f t="shared" si="19"/>
        <v>0</v>
      </c>
      <c r="D78" s="1231">
        <f t="shared" si="19"/>
        <v>0</v>
      </c>
      <c r="E78" s="126"/>
      <c r="F78" s="126"/>
      <c r="G78" s="126"/>
      <c r="H78" s="52"/>
      <c r="I78" s="339" t="str">
        <f t="shared" si="18"/>
        <v>Trashëgimi me destinacion</v>
      </c>
      <c r="J78" s="336"/>
      <c r="K78" s="338"/>
      <c r="L78" s="337"/>
      <c r="M78" s="264">
        <f>VLOOKUP($A67,'(C4) Trashëgimi me destinacion'!$A$8:$F$168,4,FALSE)</f>
        <v>0</v>
      </c>
      <c r="N78" s="479">
        <f>VLOOKUP($A67,'(C4) Trashëgimi me destinacion'!$A$8:$F$168,5,FALSE)</f>
        <v>0</v>
      </c>
      <c r="O78" s="479">
        <f>VLOOKUP($A67,'(C4) Trashëgimi me destinacion'!$A$8:$F$168,6,FALSE)</f>
        <v>0</v>
      </c>
    </row>
    <row r="79" spans="1:15" ht="12.75" x14ac:dyDescent="0.2">
      <c r="A79" s="121" t="str">
        <f t="shared" si="19"/>
        <v>Subvencione</v>
      </c>
      <c r="B79" s="1229">
        <f t="shared" si="19"/>
        <v>603</v>
      </c>
      <c r="C79" s="1230">
        <f t="shared" si="19"/>
        <v>0</v>
      </c>
      <c r="D79" s="1231">
        <f t="shared" si="19"/>
        <v>0</v>
      </c>
      <c r="E79" s="126"/>
      <c r="F79" s="126"/>
      <c r="G79" s="126"/>
      <c r="H79" s="8"/>
      <c r="I79" s="339" t="str">
        <f t="shared" si="18"/>
        <v>Burime të tjera (përfshirë gjobat)</v>
      </c>
      <c r="J79" s="336"/>
      <c r="K79" s="338"/>
      <c r="L79" s="337"/>
      <c r="M79" s="125"/>
      <c r="N79" s="125"/>
      <c r="O79" s="129"/>
    </row>
    <row r="80" spans="1:15" ht="12.75" x14ac:dyDescent="0.2">
      <c r="A80" s="121" t="str">
        <f t="shared" si="19"/>
        <v>Të tjera transferta korrente të brendshme</v>
      </c>
      <c r="B80" s="1229">
        <f t="shared" si="19"/>
        <v>604</v>
      </c>
      <c r="C80" s="1230">
        <f t="shared" si="19"/>
        <v>0</v>
      </c>
      <c r="D80" s="1231">
        <f t="shared" si="19"/>
        <v>0</v>
      </c>
      <c r="E80" s="126"/>
      <c r="F80" s="126"/>
      <c r="G80" s="126"/>
      <c r="H80" s="52"/>
      <c r="I80" s="355" t="str">
        <f t="shared" si="18"/>
        <v>VLERËSIMI I TË ARDHURAVE ME DESTINACION</v>
      </c>
      <c r="J80" s="34">
        <f>VLOOKUP($A67,'(C1) Shpenzimet vitet e kaluara'!$A$9:$O$177,7,FALSE)</f>
        <v>0</v>
      </c>
      <c r="K80" s="34">
        <f>VLOOKUP($A67,'(C1) Shpenzimet vitet e kaluara'!$A$9:$O$177,11,FALSE)</f>
        <v>0</v>
      </c>
      <c r="L80" s="34">
        <f>VLOOKUP($A67,'(C1) Shpenzimet vitet e kaluara'!$A$9:$O$177,15,FALSE)</f>
        <v>0</v>
      </c>
      <c r="M80" s="126">
        <f>SUM(M76:M79)</f>
        <v>0</v>
      </c>
      <c r="N80" s="126">
        <f>SUM(N76:N79)</f>
        <v>0</v>
      </c>
      <c r="O80" s="126">
        <f>SUM(O76:O79)</f>
        <v>0</v>
      </c>
    </row>
    <row r="81" spans="1:15" ht="12.75" x14ac:dyDescent="0.2">
      <c r="A81" s="121" t="str">
        <f t="shared" si="19"/>
        <v>Transferta korrente të huaja</v>
      </c>
      <c r="B81" s="1229">
        <f t="shared" si="19"/>
        <v>605</v>
      </c>
      <c r="C81" s="1230">
        <f t="shared" si="19"/>
        <v>0</v>
      </c>
      <c r="D81" s="1231">
        <f t="shared" si="19"/>
        <v>0</v>
      </c>
      <c r="E81" s="126"/>
      <c r="F81" s="126"/>
      <c r="G81" s="126"/>
      <c r="H81" s="52"/>
    </row>
    <row r="82" spans="1:15" ht="12.75" x14ac:dyDescent="0.2">
      <c r="A82" s="121" t="str">
        <f t="shared" si="19"/>
        <v>Transferta për Buxhetet Familiare dhe Individët</v>
      </c>
      <c r="B82" s="1229">
        <f t="shared" si="19"/>
        <v>606</v>
      </c>
      <c r="C82" s="1230">
        <f t="shared" si="19"/>
        <v>0</v>
      </c>
      <c r="D82" s="1231">
        <f t="shared" si="19"/>
        <v>0</v>
      </c>
      <c r="E82" s="126"/>
      <c r="F82" s="126"/>
      <c r="G82" s="126"/>
      <c r="H82" s="52"/>
      <c r="I82" s="134" t="str">
        <f>I29</f>
        <v xml:space="preserve">TË ARDHURAT E PRITSHME </v>
      </c>
      <c r="J82" s="33">
        <f>J73+J80</f>
        <v>0</v>
      </c>
      <c r="K82" s="33">
        <f>K73+K80</f>
        <v>0</v>
      </c>
      <c r="L82" s="33">
        <f>L73+L80</f>
        <v>0</v>
      </c>
      <c r="M82" s="126">
        <f>M80+M73</f>
        <v>0</v>
      </c>
      <c r="N82" s="126">
        <f>N80+N73</f>
        <v>0</v>
      </c>
      <c r="O82" s="126">
        <f>O80+O73</f>
        <v>0</v>
      </c>
    </row>
    <row r="83" spans="1:15" ht="12.75" x14ac:dyDescent="0.2">
      <c r="A83" s="121" t="str">
        <f t="shared" si="19"/>
        <v>Shpenzimet kapitale</v>
      </c>
      <c r="B83" s="1229" t="str">
        <f t="shared" si="19"/>
        <v>230 / 231</v>
      </c>
      <c r="C83" s="1230">
        <f t="shared" si="19"/>
        <v>0</v>
      </c>
      <c r="D83" s="1231">
        <f t="shared" si="19"/>
        <v>0</v>
      </c>
      <c r="E83" s="36"/>
      <c r="F83" s="36"/>
      <c r="G83" s="36"/>
      <c r="H83" s="52"/>
    </row>
    <row r="84" spans="1:15" ht="12.75" x14ac:dyDescent="0.2">
      <c r="A84" s="121" t="str">
        <f t="shared" si="19"/>
        <v>Rezerva</v>
      </c>
      <c r="B84" s="1229">
        <f t="shared" si="19"/>
        <v>609</v>
      </c>
      <c r="C84" s="1230">
        <f t="shared" si="19"/>
        <v>0</v>
      </c>
      <c r="D84" s="1231">
        <f t="shared" si="19"/>
        <v>0</v>
      </c>
      <c r="E84" s="126"/>
      <c r="F84" s="126"/>
      <c r="G84" s="126"/>
      <c r="H84" s="52"/>
    </row>
    <row r="85" spans="1:15" ht="12.75" x14ac:dyDescent="0.2">
      <c r="A85" s="121" t="str">
        <f t="shared" si="19"/>
        <v>Interesa per kredi direkte ose bono</v>
      </c>
      <c r="B85" s="1229">
        <f t="shared" si="19"/>
        <v>650</v>
      </c>
      <c r="C85" s="1230">
        <f t="shared" si="19"/>
        <v>0</v>
      </c>
      <c r="D85" s="1231">
        <f t="shared" si="19"/>
        <v>0</v>
      </c>
      <c r="E85" s="126"/>
      <c r="F85" s="126"/>
      <c r="G85" s="126"/>
      <c r="H85" s="52"/>
    </row>
    <row r="86" spans="1:15" ht="12.75" x14ac:dyDescent="0.2">
      <c r="A86" s="121" t="str">
        <f t="shared" si="19"/>
        <v>Të tjera</v>
      </c>
      <c r="B86" s="1229" t="str">
        <f t="shared" si="19"/>
        <v>69 / ?</v>
      </c>
      <c r="C86" s="1230">
        <f t="shared" si="19"/>
        <v>0</v>
      </c>
      <c r="D86" s="1231">
        <f t="shared" si="19"/>
        <v>0</v>
      </c>
      <c r="E86" s="126"/>
      <c r="F86" s="126"/>
      <c r="G86" s="126"/>
      <c r="H86" s="52"/>
      <c r="I86" s="1235" t="str">
        <f t="shared" ref="I86:O87" si="20">I32</f>
        <v>SHUMA E KËRKUAR NETO</v>
      </c>
      <c r="J86" s="1236">
        <f t="shared" si="20"/>
        <v>0</v>
      </c>
      <c r="K86" s="1236">
        <f t="shared" si="20"/>
        <v>0</v>
      </c>
      <c r="L86" s="1236">
        <f t="shared" si="20"/>
        <v>0</v>
      </c>
      <c r="M86" s="1236">
        <f t="shared" si="20"/>
        <v>0</v>
      </c>
      <c r="N86" s="1236">
        <f t="shared" si="20"/>
        <v>0</v>
      </c>
      <c r="O86" s="1237">
        <f t="shared" si="20"/>
        <v>0</v>
      </c>
    </row>
    <row r="87" spans="1:15" ht="12" customHeight="1" x14ac:dyDescent="0.2">
      <c r="A87" s="268" t="str">
        <f>A33</f>
        <v>KOSTO DIREKTE PËR PROJEKTET DHE SHPENZIMET KAPITALE</v>
      </c>
      <c r="B87" s="1229">
        <f t="shared" si="19"/>
        <v>0</v>
      </c>
      <c r="C87" s="1230">
        <f t="shared" si="19"/>
        <v>0</v>
      </c>
      <c r="D87" s="1231">
        <f t="shared" si="19"/>
        <v>0</v>
      </c>
      <c r="E87" s="126">
        <f>SUM(E76:E86)</f>
        <v>0</v>
      </c>
      <c r="F87" s="126">
        <f>SUM(F76:F86)</f>
        <v>0</v>
      </c>
      <c r="G87" s="126">
        <f>SUM(G76:G86)</f>
        <v>0</v>
      </c>
      <c r="H87" s="52"/>
      <c r="I87" s="1238">
        <f t="shared" si="20"/>
        <v>0</v>
      </c>
      <c r="J87" s="1239">
        <f t="shared" si="20"/>
        <v>0</v>
      </c>
      <c r="K87" s="1239">
        <f t="shared" si="20"/>
        <v>0</v>
      </c>
      <c r="L87" s="1239">
        <f t="shared" si="20"/>
        <v>0</v>
      </c>
      <c r="M87" s="1239">
        <f t="shared" si="20"/>
        <v>0</v>
      </c>
      <c r="N87" s="1239">
        <f t="shared" si="20"/>
        <v>0</v>
      </c>
      <c r="O87" s="1240">
        <f t="shared" si="20"/>
        <v>0</v>
      </c>
    </row>
    <row r="88" spans="1:15" ht="12.75" x14ac:dyDescent="0.2">
      <c r="A88" s="1226" t="str">
        <f t="shared" si="19"/>
        <v>SHPENZIME KORRENTE</v>
      </c>
      <c r="B88" s="1227">
        <f t="shared" si="19"/>
        <v>0</v>
      </c>
      <c r="C88" s="1227">
        <f t="shared" si="19"/>
        <v>0</v>
      </c>
      <c r="D88" s="1227">
        <f t="shared" si="19"/>
        <v>0</v>
      </c>
      <c r="E88" s="1227">
        <f>E34</f>
        <v>0</v>
      </c>
      <c r="F88" s="1227">
        <f>F34</f>
        <v>0</v>
      </c>
      <c r="G88" s="1228">
        <f>G34</f>
        <v>0</v>
      </c>
      <c r="H88" s="52"/>
      <c r="I88" s="17" t="str">
        <f>I34</f>
        <v>SHUMA E KËRKUAR NETO</v>
      </c>
      <c r="J88" s="18">
        <f t="shared" ref="J88:O88" si="21">B72-J82</f>
        <v>0</v>
      </c>
      <c r="K88" s="18">
        <f t="shared" si="21"/>
        <v>0</v>
      </c>
      <c r="L88" s="18">
        <f t="shared" si="21"/>
        <v>0</v>
      </c>
      <c r="M88" s="18">
        <f t="shared" si="21"/>
        <v>0</v>
      </c>
      <c r="N88" s="18">
        <f t="shared" si="21"/>
        <v>0</v>
      </c>
      <c r="O88" s="18">
        <f t="shared" si="21"/>
        <v>0</v>
      </c>
    </row>
    <row r="89" spans="1:15" ht="12.75" x14ac:dyDescent="0.2">
      <c r="A89" s="121" t="str">
        <f t="shared" si="19"/>
        <v>Pagat</v>
      </c>
      <c r="B89" s="1229">
        <f t="shared" si="19"/>
        <v>600</v>
      </c>
      <c r="C89" s="1230">
        <f t="shared" si="19"/>
        <v>0</v>
      </c>
      <c r="D89" s="1231">
        <f t="shared" si="19"/>
        <v>0</v>
      </c>
      <c r="E89" s="36"/>
      <c r="F89" s="36"/>
      <c r="G89" s="36"/>
      <c r="H89" s="52"/>
      <c r="I89" s="52"/>
      <c r="J89" s="52"/>
      <c r="K89" s="52"/>
      <c r="L89" s="14"/>
      <c r="M89" s="53"/>
    </row>
    <row r="90" spans="1:15" ht="12.75" x14ac:dyDescent="0.2">
      <c r="A90" s="121" t="str">
        <f t="shared" si="19"/>
        <v>Sigurimet Shoqërore</v>
      </c>
      <c r="B90" s="1229">
        <f t="shared" si="19"/>
        <v>601</v>
      </c>
      <c r="C90" s="1230">
        <f t="shared" si="19"/>
        <v>0</v>
      </c>
      <c r="D90" s="1231">
        <f t="shared" si="19"/>
        <v>0</v>
      </c>
      <c r="E90" s="36"/>
      <c r="F90" s="36"/>
      <c r="G90" s="36"/>
      <c r="H90" s="52"/>
    </row>
    <row r="91" spans="1:15" ht="12.75" x14ac:dyDescent="0.2">
      <c r="A91" s="121" t="str">
        <f t="shared" si="19"/>
        <v>Mallra dhe shërbime</v>
      </c>
      <c r="B91" s="1229">
        <f t="shared" si="19"/>
        <v>602</v>
      </c>
      <c r="C91" s="1230">
        <f t="shared" si="19"/>
        <v>0</v>
      </c>
      <c r="D91" s="1231">
        <f t="shared" si="19"/>
        <v>0</v>
      </c>
      <c r="E91" s="36"/>
      <c r="F91" s="36"/>
      <c r="G91" s="36"/>
      <c r="H91" s="52"/>
      <c r="I91" s="239" t="str">
        <f>I37</f>
        <v>Angazhimet</v>
      </c>
      <c r="J91" s="1290" t="str">
        <f>J37</f>
        <v>Vlera Totale për Aktivitet</v>
      </c>
      <c r="K91" s="1291"/>
      <c r="L91" s="1292"/>
      <c r="M91" s="126">
        <f>VLOOKUP($A67,'(C5) Angazhimet'!$A$8:$F$168,4,FALSE)</f>
        <v>0</v>
      </c>
      <c r="N91" s="126">
        <f>VLOOKUP($A67,'(C5) Angazhimet'!$A$8:$F$168,5,FALSE)</f>
        <v>0</v>
      </c>
      <c r="O91" s="126">
        <f>VLOOKUP($A67,'(C5) Angazhimet'!$A$8:$F$168,6,FALSE)</f>
        <v>0</v>
      </c>
    </row>
    <row r="92" spans="1:15" ht="12.75" x14ac:dyDescent="0.2">
      <c r="A92" s="121" t="str">
        <f t="shared" si="19"/>
        <v>Subvencione</v>
      </c>
      <c r="B92" s="1229">
        <f t="shared" si="19"/>
        <v>603</v>
      </c>
      <c r="C92" s="1230">
        <f t="shared" si="19"/>
        <v>0</v>
      </c>
      <c r="D92" s="1231">
        <f t="shared" si="19"/>
        <v>0</v>
      </c>
      <c r="E92" s="36"/>
      <c r="F92" s="36"/>
      <c r="G92" s="36"/>
      <c r="H92" s="52"/>
      <c r="I92" s="279" t="str">
        <f>I38</f>
        <v>Qëllime</v>
      </c>
      <c r="J92" s="1290" t="str">
        <f>J38</f>
        <v>Shpenzimet kapitale</v>
      </c>
      <c r="K92" s="1291"/>
      <c r="L92" s="1292"/>
      <c r="M92" s="125"/>
      <c r="N92" s="125"/>
      <c r="O92" s="129"/>
    </row>
    <row r="93" spans="1:15" ht="12.75" x14ac:dyDescent="0.2">
      <c r="A93" s="121" t="str">
        <f t="shared" si="19"/>
        <v>Të tjera transferta korrente të brendshme</v>
      </c>
      <c r="B93" s="1229">
        <f t="shared" si="19"/>
        <v>604</v>
      </c>
      <c r="C93" s="1230">
        <f t="shared" si="19"/>
        <v>0</v>
      </c>
      <c r="D93" s="1231">
        <f t="shared" si="19"/>
        <v>0</v>
      </c>
      <c r="E93" s="36"/>
      <c r="F93" s="36"/>
      <c r="G93" s="36"/>
      <c r="H93" s="52"/>
      <c r="I93" s="276"/>
      <c r="J93" s="1290" t="str">
        <f>J39</f>
        <v>Mallra dhe shërbime</v>
      </c>
      <c r="K93" s="1291"/>
      <c r="L93" s="1292"/>
      <c r="M93" s="125"/>
      <c r="N93" s="125"/>
      <c r="O93" s="129"/>
    </row>
    <row r="94" spans="1:15" ht="12.75" x14ac:dyDescent="0.2">
      <c r="A94" s="121" t="str">
        <f t="shared" si="19"/>
        <v>Transferta korrente të huaja</v>
      </c>
      <c r="B94" s="1229">
        <f t="shared" si="19"/>
        <v>605</v>
      </c>
      <c r="C94" s="1230">
        <f t="shared" si="19"/>
        <v>0</v>
      </c>
      <c r="D94" s="1231">
        <f t="shared" si="19"/>
        <v>0</v>
      </c>
      <c r="E94" s="36"/>
      <c r="F94" s="36"/>
      <c r="G94" s="36"/>
      <c r="H94" s="52"/>
      <c r="I94" s="276"/>
      <c r="J94" s="1290" t="str">
        <f>J40</f>
        <v>Qëllime të mëtejshme</v>
      </c>
      <c r="K94" s="1291"/>
      <c r="L94" s="1292"/>
      <c r="M94" s="125"/>
      <c r="N94" s="125"/>
      <c r="O94" s="129"/>
    </row>
    <row r="95" spans="1:15" ht="12.75" x14ac:dyDescent="0.2">
      <c r="A95" s="121" t="str">
        <f t="shared" si="19"/>
        <v>Transferta për Buxhetet Familiare dhe Individët</v>
      </c>
      <c r="B95" s="1229">
        <f t="shared" si="19"/>
        <v>606</v>
      </c>
      <c r="C95" s="1230">
        <f t="shared" si="19"/>
        <v>0</v>
      </c>
      <c r="D95" s="1231">
        <f t="shared" si="19"/>
        <v>0</v>
      </c>
      <c r="E95" s="36"/>
      <c r="F95" s="36"/>
      <c r="G95" s="36"/>
      <c r="H95" s="52"/>
      <c r="I95" s="276"/>
      <c r="J95" s="1286"/>
      <c r="K95" s="1286"/>
      <c r="L95" s="1286"/>
      <c r="M95" s="300" t="str">
        <f>IF(SUM(M92:M94)=M91,"OK","STOP")</f>
        <v>OK</v>
      </c>
      <c r="N95" s="300" t="str">
        <f>IF(SUM(N92:N94)=N91,"OK","STOP")</f>
        <v>OK</v>
      </c>
      <c r="O95" s="300" t="str">
        <f>IF(SUM(O92:O94)=O91,"OK","STOP")</f>
        <v>OK</v>
      </c>
    </row>
    <row r="96" spans="1:15" ht="12.75" x14ac:dyDescent="0.2">
      <c r="A96" s="564" t="str">
        <f t="shared" si="19"/>
        <v>Shpenzimet kapitale</v>
      </c>
      <c r="B96" s="1256" t="str">
        <f t="shared" si="19"/>
        <v>230 / 231</v>
      </c>
      <c r="C96" s="1257">
        <f t="shared" si="19"/>
        <v>0</v>
      </c>
      <c r="D96" s="1258">
        <f t="shared" si="19"/>
        <v>0</v>
      </c>
      <c r="E96" s="126"/>
      <c r="F96" s="126"/>
      <c r="G96" s="126"/>
      <c r="H96" s="52"/>
      <c r="I96" s="367" t="str">
        <f>I43</f>
        <v>Shpjegimet teknike</v>
      </c>
      <c r="J96" s="10"/>
      <c r="K96" s="10"/>
      <c r="L96" s="10"/>
      <c r="M96" s="10"/>
      <c r="N96" s="10"/>
      <c r="O96" s="10"/>
    </row>
    <row r="97" spans="1:15" ht="12.75" x14ac:dyDescent="0.2">
      <c r="A97" s="121" t="str">
        <f t="shared" si="19"/>
        <v>Rezerva</v>
      </c>
      <c r="B97" s="1229">
        <f t="shared" si="19"/>
        <v>609</v>
      </c>
      <c r="C97" s="1230">
        <f t="shared" si="19"/>
        <v>0</v>
      </c>
      <c r="D97" s="1231">
        <f t="shared" si="19"/>
        <v>0</v>
      </c>
      <c r="E97" s="36"/>
      <c r="F97" s="36"/>
      <c r="G97" s="36"/>
      <c r="H97" s="52"/>
      <c r="I97" s="365">
        <f>M70</f>
        <v>2022</v>
      </c>
      <c r="J97" s="1271"/>
      <c r="K97" s="1272"/>
      <c r="L97" s="1272"/>
      <c r="M97" s="1272"/>
      <c r="N97" s="1272"/>
      <c r="O97" s="1273"/>
    </row>
    <row r="98" spans="1:15" ht="12.75" x14ac:dyDescent="0.2">
      <c r="A98" s="121" t="str">
        <f t="shared" si="19"/>
        <v>Interesa per kredi direkte ose bono</v>
      </c>
      <c r="B98" s="1259">
        <f t="shared" si="19"/>
        <v>650</v>
      </c>
      <c r="C98" s="1260">
        <f t="shared" si="19"/>
        <v>0</v>
      </c>
      <c r="D98" s="1261">
        <f t="shared" si="19"/>
        <v>0</v>
      </c>
      <c r="E98" s="36"/>
      <c r="F98" s="36"/>
      <c r="G98" s="36"/>
      <c r="H98" s="52"/>
      <c r="I98" s="366"/>
      <c r="J98" s="1274"/>
      <c r="K98" s="1275"/>
      <c r="L98" s="1275"/>
      <c r="M98" s="1275"/>
      <c r="N98" s="1275"/>
      <c r="O98" s="1276"/>
    </row>
    <row r="99" spans="1:15" ht="12.75" x14ac:dyDescent="0.2">
      <c r="A99" s="239" t="str">
        <f>A45</f>
        <v>Të tjera</v>
      </c>
      <c r="B99" s="1229" t="str">
        <f>B45</f>
        <v>69 / ?</v>
      </c>
      <c r="C99" s="1230">
        <f>C45</f>
        <v>0</v>
      </c>
      <c r="D99" s="382" t="str">
        <f>IF(OR(E99&lt;0,F99&lt;0,G99&lt;0),"STOP","OK!")</f>
        <v>OK!</v>
      </c>
      <c r="E99" s="127">
        <f>-E87+E72-(SUM(E89:E98))</f>
        <v>0</v>
      </c>
      <c r="F99" s="270">
        <f>-F87+F72-(SUM(F89:F98))</f>
        <v>0</v>
      </c>
      <c r="G99" s="270">
        <f>-G87+G72-(SUM(G89:G98))</f>
        <v>0</v>
      </c>
      <c r="H99" s="52"/>
      <c r="I99" s="365">
        <f>N70</f>
        <v>2023</v>
      </c>
      <c r="J99" s="1271"/>
      <c r="K99" s="1272"/>
      <c r="L99" s="1272"/>
      <c r="M99" s="1272"/>
      <c r="N99" s="1272"/>
      <c r="O99" s="1273"/>
    </row>
    <row r="100" spans="1:15" ht="12.75" x14ac:dyDescent="0.2">
      <c r="A100" s="121" t="str">
        <f>A46</f>
        <v>SHPENZIME KORRENTE</v>
      </c>
      <c r="B100" s="1262"/>
      <c r="C100" s="1263"/>
      <c r="D100" s="1264"/>
      <c r="E100" s="126">
        <f>SUM(E89:E99)</f>
        <v>0</v>
      </c>
      <c r="F100" s="126">
        <f>SUM(F89:F99)</f>
        <v>0</v>
      </c>
      <c r="G100" s="126">
        <f>SUM(G89:G99)</f>
        <v>0</v>
      </c>
      <c r="H100" s="52"/>
      <c r="I100" s="366"/>
      <c r="J100" s="1277"/>
      <c r="K100" s="1278"/>
      <c r="L100" s="1278"/>
      <c r="M100" s="1278"/>
      <c r="N100" s="1278"/>
      <c r="O100" s="1279"/>
    </row>
    <row r="101" spans="1:15" ht="12.75" x14ac:dyDescent="0.2">
      <c r="A101" s="122"/>
      <c r="B101" s="201"/>
      <c r="C101" s="123"/>
      <c r="D101" s="123"/>
      <c r="E101" s="10"/>
      <c r="F101" s="10"/>
      <c r="G101" s="130"/>
      <c r="H101" s="52"/>
      <c r="I101" s="365">
        <f>O70</f>
        <v>2024</v>
      </c>
      <c r="J101" s="1271"/>
      <c r="K101" s="1272"/>
      <c r="L101" s="1272"/>
      <c r="M101" s="1272"/>
      <c r="N101" s="1272"/>
      <c r="O101" s="1273"/>
    </row>
    <row r="102" spans="1:15" ht="12.75" x14ac:dyDescent="0.2">
      <c r="A102" s="134" t="str">
        <f>A48</f>
        <v>SHPENZIME TË PRITSHME</v>
      </c>
      <c r="B102" s="33">
        <f>B72</f>
        <v>0</v>
      </c>
      <c r="C102" s="33">
        <f>C72</f>
        <v>0</v>
      </c>
      <c r="D102" s="33">
        <f>D72</f>
        <v>0</v>
      </c>
      <c r="E102" s="126">
        <f>E87+E100</f>
        <v>0</v>
      </c>
      <c r="F102" s="126">
        <f>F87+F100</f>
        <v>0</v>
      </c>
      <c r="G102" s="126">
        <f>G87+G100</f>
        <v>0</v>
      </c>
      <c r="H102" s="52"/>
      <c r="I102" s="366"/>
      <c r="J102" s="1277"/>
      <c r="K102" s="1278"/>
      <c r="L102" s="1278"/>
      <c r="M102" s="1278"/>
      <c r="N102" s="1278"/>
      <c r="O102" s="1279"/>
    </row>
    <row r="105" spans="1:15" ht="17.25" customHeight="1" x14ac:dyDescent="0.2">
      <c r="A105" s="204" t="str">
        <f t="shared" ref="A105:O105" si="22">A66</f>
        <v>Nënfunksioni 27</v>
      </c>
      <c r="B105" s="1225" t="str">
        <f t="shared" si="22"/>
        <v>106 Strehimi social</v>
      </c>
      <c r="C105" s="1225">
        <f t="shared" si="22"/>
        <v>0</v>
      </c>
      <c r="D105" s="1225">
        <f t="shared" si="22"/>
        <v>0</v>
      </c>
      <c r="E105" s="1225">
        <f t="shared" si="22"/>
        <v>0</v>
      </c>
      <c r="F105" s="1225">
        <f t="shared" si="22"/>
        <v>0</v>
      </c>
      <c r="G105" s="1225">
        <f t="shared" si="22"/>
        <v>0</v>
      </c>
      <c r="H105" s="1225">
        <f t="shared" si="22"/>
        <v>0</v>
      </c>
      <c r="I105" s="1225">
        <f t="shared" si="22"/>
        <v>0</v>
      </c>
      <c r="J105" s="1225">
        <f t="shared" si="22"/>
        <v>0</v>
      </c>
      <c r="K105" s="1225">
        <f t="shared" si="22"/>
        <v>0</v>
      </c>
      <c r="L105" s="1225">
        <f t="shared" si="22"/>
        <v>0</v>
      </c>
      <c r="M105" s="1225">
        <f t="shared" si="22"/>
        <v>0</v>
      </c>
      <c r="N105" s="1225">
        <f t="shared" si="22"/>
        <v>0</v>
      </c>
      <c r="O105" s="1225">
        <f t="shared" si="22"/>
        <v>0</v>
      </c>
    </row>
    <row r="106" spans="1:15" ht="17.25" customHeight="1" x14ac:dyDescent="0.2">
      <c r="A106" s="262" t="str">
        <f>A7</f>
        <v>Programi 28b</v>
      </c>
      <c r="B106" s="1225">
        <f>C7</f>
        <v>0</v>
      </c>
      <c r="C106" s="1225" t="e">
        <f>#REF!</f>
        <v>#REF!</v>
      </c>
      <c r="D106" s="1225" t="e">
        <f>#REF!</f>
        <v>#REF!</v>
      </c>
      <c r="E106" s="1225" t="e">
        <f>#REF!</f>
        <v>#REF!</v>
      </c>
      <c r="F106" s="1225" t="e">
        <f>#REF!</f>
        <v>#REF!</v>
      </c>
      <c r="G106" s="1225" t="e">
        <f>#REF!</f>
        <v>#REF!</v>
      </c>
      <c r="H106" s="1225" t="e">
        <f>#REF!</f>
        <v>#REF!</v>
      </c>
      <c r="I106" s="1225" t="e">
        <f>#REF!</f>
        <v>#REF!</v>
      </c>
      <c r="J106" s="1225" t="e">
        <f>#REF!</f>
        <v>#REF!</v>
      </c>
      <c r="K106" s="1225" t="e">
        <f>#REF!</f>
        <v>#REF!</v>
      </c>
      <c r="L106" s="1225" t="e">
        <f>#REF!</f>
        <v>#REF!</v>
      </c>
      <c r="M106" s="1225" t="e">
        <f>#REF!</f>
        <v>#REF!</v>
      </c>
      <c r="N106" s="1225" t="e">
        <f>#REF!</f>
        <v>#REF!</v>
      </c>
      <c r="O106" s="1225" t="e">
        <f>#REF!</f>
        <v>#REF!</v>
      </c>
    </row>
    <row r="107" spans="1:15" ht="17.25" customHeight="1" x14ac:dyDescent="0.2">
      <c r="A107" s="562">
        <f>'(B3) Struktura Funksionale'!B141</f>
        <v>0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6"/>
    </row>
    <row r="108" spans="1:15" ht="24.75" customHeight="1" x14ac:dyDescent="0.2">
      <c r="A108" s="1252" t="str">
        <f t="shared" ref="A108:G108" si="23">A69</f>
        <v>SHPENZIME TË PRITSHME</v>
      </c>
      <c r="B108" s="1253">
        <f t="shared" si="23"/>
        <v>0</v>
      </c>
      <c r="C108" s="1253">
        <f t="shared" si="23"/>
        <v>0</v>
      </c>
      <c r="D108" s="1253">
        <f t="shared" si="23"/>
        <v>0</v>
      </c>
      <c r="E108" s="1253">
        <f t="shared" si="23"/>
        <v>0</v>
      </c>
      <c r="F108" s="1253">
        <f t="shared" si="23"/>
        <v>0</v>
      </c>
      <c r="G108" s="1254">
        <f t="shared" si="23"/>
        <v>0</v>
      </c>
      <c r="H108" s="128"/>
      <c r="I108" s="1255" t="str">
        <f t="shared" ref="I108:O108" si="24">I69</f>
        <v xml:space="preserve">TË ARDHURAT E PRITSHME </v>
      </c>
      <c r="J108" s="1253">
        <f t="shared" si="24"/>
        <v>0</v>
      </c>
      <c r="K108" s="1253">
        <f t="shared" si="24"/>
        <v>0</v>
      </c>
      <c r="L108" s="1253">
        <f t="shared" si="24"/>
        <v>0</v>
      </c>
      <c r="M108" s="1253">
        <f t="shared" si="24"/>
        <v>0</v>
      </c>
      <c r="N108" s="1253">
        <f t="shared" si="24"/>
        <v>0</v>
      </c>
      <c r="O108" s="1254">
        <f t="shared" si="24"/>
        <v>0</v>
      </c>
    </row>
    <row r="109" spans="1:15" ht="21" customHeight="1" x14ac:dyDescent="0.2">
      <c r="A109" s="202"/>
      <c r="B109" s="363">
        <f t="shared" ref="B109:G109" si="25">B70</f>
        <v>2019</v>
      </c>
      <c r="C109" s="363">
        <f t="shared" si="25"/>
        <v>2020</v>
      </c>
      <c r="D109" s="363">
        <f t="shared" si="25"/>
        <v>2021</v>
      </c>
      <c r="E109" s="238">
        <f t="shared" si="25"/>
        <v>2022</v>
      </c>
      <c r="F109" s="238">
        <f t="shared" si="25"/>
        <v>2023</v>
      </c>
      <c r="G109" s="238">
        <f t="shared" si="25"/>
        <v>2024</v>
      </c>
      <c r="H109" s="203"/>
      <c r="I109" s="360"/>
      <c r="J109" s="363">
        <f t="shared" ref="J109:O109" si="26">J70</f>
        <v>2019</v>
      </c>
      <c r="K109" s="363">
        <f t="shared" si="26"/>
        <v>2020</v>
      </c>
      <c r="L109" s="363">
        <f t="shared" si="26"/>
        <v>2021</v>
      </c>
      <c r="M109" s="238">
        <f t="shared" si="26"/>
        <v>2022</v>
      </c>
      <c r="N109" s="238">
        <f t="shared" si="26"/>
        <v>2023</v>
      </c>
      <c r="O109" s="238">
        <f t="shared" si="26"/>
        <v>2024</v>
      </c>
    </row>
    <row r="110" spans="1:15" ht="12.75" x14ac:dyDescent="0.2">
      <c r="A110" s="369"/>
      <c r="B110" s="340"/>
      <c r="C110" s="371"/>
      <c r="D110" s="372"/>
      <c r="E110" s="305"/>
      <c r="F110" s="305"/>
      <c r="G110" s="306"/>
      <c r="H110" s="128"/>
      <c r="I110" s="369"/>
      <c r="J110" s="370"/>
      <c r="K110" s="303"/>
      <c r="L110" s="304"/>
      <c r="M110" s="305"/>
      <c r="N110" s="305"/>
      <c r="O110" s="306"/>
    </row>
    <row r="111" spans="1:15" ht="12.75" x14ac:dyDescent="0.2">
      <c r="A111" s="134" t="str">
        <f>A72</f>
        <v>SHPENZIME TË PRITSHME</v>
      </c>
      <c r="B111" s="33">
        <f>VLOOKUP(A106,'(C1) Shpenzimet vitet e kaluara'!A$9:O$177,5,FALSE)</f>
        <v>0</v>
      </c>
      <c r="C111" s="33">
        <f>VLOOKUP(A106,'(C1) Shpenzimet vitet e kaluara'!A$9:O$177,9,FALSE)</f>
        <v>0</v>
      </c>
      <c r="D111" s="33">
        <f>VLOOKUP(A106,'(C1) Shpenzimet vitet e kaluara'!A$9:O$177,13,FALSE)</f>
        <v>0</v>
      </c>
      <c r="E111" s="36"/>
      <c r="F111" s="36"/>
      <c r="G111" s="36"/>
      <c r="H111" s="128"/>
      <c r="I111" s="1226" t="str">
        <f>I72</f>
        <v>VLERËSIM I ARDHURAVE NGA TARIFAT</v>
      </c>
      <c r="J111" s="1227"/>
      <c r="K111" s="1227"/>
      <c r="L111" s="1227"/>
      <c r="M111" s="1227"/>
      <c r="N111" s="1227"/>
      <c r="O111" s="1228"/>
    </row>
    <row r="112" spans="1:15" ht="12.75" x14ac:dyDescent="0.2">
      <c r="A112" s="122"/>
      <c r="B112" s="201"/>
      <c r="C112" s="123"/>
      <c r="D112" s="123"/>
      <c r="E112" s="10"/>
      <c r="F112" s="10"/>
      <c r="G112" s="130"/>
      <c r="H112" s="10"/>
      <c r="I112" s="134" t="str">
        <f>I73</f>
        <v>VLERËSIM I ARDHURAVE NGA TARIFAT</v>
      </c>
      <c r="J112" s="34">
        <f>VLOOKUP($A106,'(C1) Shpenzimet vitet e kaluara'!$A$9:$O$177,6,FALSE)</f>
        <v>0</v>
      </c>
      <c r="K112" s="34">
        <f>VLOOKUP($A106,'(C1) Shpenzimet vitet e kaluara'!$A$9:$O$177,10,FALSE)</f>
        <v>0</v>
      </c>
      <c r="L112" s="34">
        <f>VLOOKUP($A106,'(C1) Shpenzimet vitet e kaluara'!$A$9:$O$177,14,FALSE)</f>
        <v>0</v>
      </c>
      <c r="M112" s="36"/>
      <c r="N112" s="36"/>
      <c r="O112" s="36"/>
    </row>
    <row r="113" spans="1:15" ht="12.75" x14ac:dyDescent="0.2">
      <c r="A113" s="1232" t="str">
        <f t="shared" ref="A113:G114" si="27">A74</f>
        <v>SHPENZIME TË PRITSHME</v>
      </c>
      <c r="B113" s="1233">
        <f t="shared" si="27"/>
        <v>0</v>
      </c>
      <c r="C113" s="1233">
        <f t="shared" si="27"/>
        <v>0</v>
      </c>
      <c r="D113" s="1233">
        <f t="shared" si="27"/>
        <v>0</v>
      </c>
      <c r="E113" s="1233">
        <f t="shared" si="27"/>
        <v>0</v>
      </c>
      <c r="F113" s="1233">
        <f t="shared" si="27"/>
        <v>0</v>
      </c>
      <c r="G113" s="1234">
        <f t="shared" si="27"/>
        <v>0</v>
      </c>
      <c r="H113" s="10"/>
    </row>
    <row r="114" spans="1:15" ht="12.75" x14ac:dyDescent="0.2">
      <c r="A114" s="1226" t="str">
        <f t="shared" si="27"/>
        <v>KOSTO DIREKTE PËR PROJEKTET DHE SHPENZIMET KAPITALE</v>
      </c>
      <c r="B114" s="1227">
        <f t="shared" si="27"/>
        <v>0</v>
      </c>
      <c r="C114" s="1227">
        <f t="shared" si="27"/>
        <v>0</v>
      </c>
      <c r="D114" s="1227">
        <f t="shared" si="27"/>
        <v>0</v>
      </c>
      <c r="E114" s="1227">
        <f t="shared" si="27"/>
        <v>0</v>
      </c>
      <c r="F114" s="1227">
        <f t="shared" si="27"/>
        <v>0</v>
      </c>
      <c r="G114" s="1228">
        <f t="shared" si="27"/>
        <v>0</v>
      </c>
      <c r="H114" s="30"/>
      <c r="I114" s="1226" t="str">
        <f t="shared" ref="I114:I119" si="28">I75</f>
        <v>VLERËSIMI I TË ARDHURAVE ME DESTINACION</v>
      </c>
      <c r="J114" s="1227"/>
      <c r="K114" s="1227"/>
      <c r="L114" s="1227"/>
      <c r="M114" s="1227"/>
      <c r="N114" s="1227"/>
      <c r="O114" s="1228"/>
    </row>
    <row r="115" spans="1:15" ht="12.75" x14ac:dyDescent="0.2">
      <c r="A115" s="121" t="str">
        <f t="shared" ref="A115:D137" si="29">A76</f>
        <v>Pagat</v>
      </c>
      <c r="B115" s="1229">
        <f t="shared" si="29"/>
        <v>600</v>
      </c>
      <c r="C115" s="1230">
        <f t="shared" si="29"/>
        <v>0</v>
      </c>
      <c r="D115" s="1231">
        <f t="shared" si="29"/>
        <v>0</v>
      </c>
      <c r="E115" s="126"/>
      <c r="F115" s="126"/>
      <c r="G115" s="126"/>
      <c r="H115" s="30"/>
      <c r="I115" s="339" t="str">
        <f t="shared" si="28"/>
        <v>Transferta e kushtëzuar</v>
      </c>
      <c r="J115" s="336"/>
      <c r="K115" s="338"/>
      <c r="L115" s="337"/>
      <c r="M115" s="125"/>
      <c r="N115" s="125"/>
      <c r="O115" s="129"/>
    </row>
    <row r="116" spans="1:15" ht="12.75" x14ac:dyDescent="0.2">
      <c r="A116" s="121" t="str">
        <f t="shared" si="29"/>
        <v>Sigurimet Shoqërore</v>
      </c>
      <c r="B116" s="1229">
        <f t="shared" si="29"/>
        <v>601</v>
      </c>
      <c r="C116" s="1230">
        <f t="shared" si="29"/>
        <v>0</v>
      </c>
      <c r="D116" s="1231">
        <f t="shared" si="29"/>
        <v>0</v>
      </c>
      <c r="E116" s="126"/>
      <c r="F116" s="126"/>
      <c r="G116" s="126"/>
      <c r="H116" s="30"/>
      <c r="I116" s="339" t="str">
        <f t="shared" si="28"/>
        <v>Trasferta Specifike</v>
      </c>
      <c r="J116" s="336"/>
      <c r="K116" s="338"/>
      <c r="L116" s="337"/>
      <c r="M116" s="125"/>
      <c r="N116" s="125"/>
      <c r="O116" s="129"/>
    </row>
    <row r="117" spans="1:15" ht="12.75" x14ac:dyDescent="0.2">
      <c r="A117" s="121" t="str">
        <f t="shared" si="29"/>
        <v>Mallra dhe shërbime</v>
      </c>
      <c r="B117" s="1229">
        <f t="shared" si="29"/>
        <v>602</v>
      </c>
      <c r="C117" s="1230">
        <f t="shared" si="29"/>
        <v>0</v>
      </c>
      <c r="D117" s="1231">
        <f t="shared" si="29"/>
        <v>0</v>
      </c>
      <c r="E117" s="126"/>
      <c r="F117" s="126"/>
      <c r="G117" s="126"/>
      <c r="H117" s="52"/>
      <c r="I117" s="339" t="str">
        <f t="shared" si="28"/>
        <v>Trashëgimi me destinacion</v>
      </c>
      <c r="J117" s="336"/>
      <c r="K117" s="338"/>
      <c r="L117" s="337"/>
      <c r="M117" s="264">
        <f>VLOOKUP($A106,'(C4) Trashëgimi me destinacion'!$A$8:$F$168,4,FALSE)</f>
        <v>0</v>
      </c>
      <c r="N117" s="479">
        <f>VLOOKUP($A106,'(C4) Trashëgimi me destinacion'!$A$8:$F$168,5,FALSE)</f>
        <v>0</v>
      </c>
      <c r="O117" s="479">
        <f>VLOOKUP($A106,'(C4) Trashëgimi me destinacion'!$A$8:$F$168,6,FALSE)</f>
        <v>0</v>
      </c>
    </row>
    <row r="118" spans="1:15" ht="12.75" x14ac:dyDescent="0.2">
      <c r="A118" s="121" t="str">
        <f t="shared" si="29"/>
        <v>Subvencione</v>
      </c>
      <c r="B118" s="1229">
        <f t="shared" si="29"/>
        <v>603</v>
      </c>
      <c r="C118" s="1230">
        <f t="shared" si="29"/>
        <v>0</v>
      </c>
      <c r="D118" s="1231">
        <f t="shared" si="29"/>
        <v>0</v>
      </c>
      <c r="E118" s="126"/>
      <c r="F118" s="126"/>
      <c r="G118" s="126"/>
      <c r="H118" s="8"/>
      <c r="I118" s="339" t="str">
        <f t="shared" si="28"/>
        <v>Burime të tjera (përfshirë gjobat)</v>
      </c>
      <c r="J118" s="336"/>
      <c r="K118" s="338"/>
      <c r="L118" s="337"/>
      <c r="M118" s="125"/>
      <c r="N118" s="125"/>
      <c r="O118" s="129"/>
    </row>
    <row r="119" spans="1:15" ht="12.75" x14ac:dyDescent="0.2">
      <c r="A119" s="121" t="str">
        <f t="shared" si="29"/>
        <v>Të tjera transferta korrente të brendshme</v>
      </c>
      <c r="B119" s="1229">
        <f t="shared" si="29"/>
        <v>604</v>
      </c>
      <c r="C119" s="1230">
        <f t="shared" si="29"/>
        <v>0</v>
      </c>
      <c r="D119" s="1231">
        <f t="shared" si="29"/>
        <v>0</v>
      </c>
      <c r="E119" s="126"/>
      <c r="F119" s="126"/>
      <c r="G119" s="126"/>
      <c r="H119" s="52"/>
      <c r="I119" s="339" t="str">
        <f t="shared" si="28"/>
        <v>VLERËSIMI I TË ARDHURAVE ME DESTINACION</v>
      </c>
      <c r="J119" s="34">
        <f>VLOOKUP($A106,'(C1) Shpenzimet vitet e kaluara'!$A$9:$O$177,7,FALSE)</f>
        <v>0</v>
      </c>
      <c r="K119" s="34">
        <f>VLOOKUP($A106,'(C1) Shpenzimet vitet e kaluara'!$A$9:$O$177,11,FALSE)</f>
        <v>0</v>
      </c>
      <c r="L119" s="34">
        <f>VLOOKUP($A106,'(C1) Shpenzimet vitet e kaluara'!$A$9:$O$177,15,FALSE)</f>
        <v>0</v>
      </c>
      <c r="M119" s="126">
        <f>SUM(M115:M118)</f>
        <v>0</v>
      </c>
      <c r="N119" s="126">
        <f>SUM(N115:N118)</f>
        <v>0</v>
      </c>
      <c r="O119" s="126">
        <f>SUM(O115:O118)</f>
        <v>0</v>
      </c>
    </row>
    <row r="120" spans="1:15" ht="12.75" x14ac:dyDescent="0.2">
      <c r="A120" s="121" t="str">
        <f t="shared" si="29"/>
        <v>Transferta korrente të huaja</v>
      </c>
      <c r="B120" s="1229">
        <f t="shared" si="29"/>
        <v>605</v>
      </c>
      <c r="C120" s="1230">
        <f t="shared" si="29"/>
        <v>0</v>
      </c>
      <c r="D120" s="1231">
        <f t="shared" si="29"/>
        <v>0</v>
      </c>
      <c r="E120" s="126"/>
      <c r="F120" s="126"/>
      <c r="G120" s="126"/>
      <c r="H120" s="52"/>
    </row>
    <row r="121" spans="1:15" ht="12.75" x14ac:dyDescent="0.2">
      <c r="A121" s="121" t="str">
        <f t="shared" si="29"/>
        <v>Transferta për Buxhetet Familiare dhe Individët</v>
      </c>
      <c r="B121" s="1229">
        <f t="shared" si="29"/>
        <v>606</v>
      </c>
      <c r="C121" s="1230">
        <f t="shared" si="29"/>
        <v>0</v>
      </c>
      <c r="D121" s="1231">
        <f t="shared" si="29"/>
        <v>0</v>
      </c>
      <c r="E121" s="126"/>
      <c r="F121" s="126"/>
      <c r="G121" s="126"/>
      <c r="H121" s="52"/>
      <c r="I121" s="134" t="str">
        <f>I82</f>
        <v xml:space="preserve">TË ARDHURAT E PRITSHME </v>
      </c>
      <c r="J121" s="33">
        <f>J112+J119</f>
        <v>0</v>
      </c>
      <c r="K121" s="33">
        <f>K112+K119</f>
        <v>0</v>
      </c>
      <c r="L121" s="33">
        <f>L112+L119</f>
        <v>0</v>
      </c>
      <c r="M121" s="126">
        <f>M119+M112</f>
        <v>0</v>
      </c>
      <c r="N121" s="126">
        <f>N119+N112</f>
        <v>0</v>
      </c>
      <c r="O121" s="126">
        <f>O119+O112</f>
        <v>0</v>
      </c>
    </row>
    <row r="122" spans="1:15" ht="12.75" x14ac:dyDescent="0.2">
      <c r="A122" s="121" t="str">
        <f t="shared" si="29"/>
        <v>Shpenzimet kapitale</v>
      </c>
      <c r="B122" s="1229" t="str">
        <f t="shared" si="29"/>
        <v>230 / 231</v>
      </c>
      <c r="C122" s="1230">
        <f t="shared" si="29"/>
        <v>0</v>
      </c>
      <c r="D122" s="1231">
        <f t="shared" si="29"/>
        <v>0</v>
      </c>
      <c r="E122" s="36"/>
      <c r="F122" s="36"/>
      <c r="G122" s="36"/>
      <c r="H122" s="52"/>
    </row>
    <row r="123" spans="1:15" ht="12.75" x14ac:dyDescent="0.2">
      <c r="A123" s="121" t="str">
        <f t="shared" si="29"/>
        <v>Rezerva</v>
      </c>
      <c r="B123" s="1229">
        <f t="shared" si="29"/>
        <v>609</v>
      </c>
      <c r="C123" s="1230">
        <f t="shared" si="29"/>
        <v>0</v>
      </c>
      <c r="D123" s="1231">
        <f t="shared" si="29"/>
        <v>0</v>
      </c>
      <c r="E123" s="126"/>
      <c r="F123" s="126"/>
      <c r="G123" s="126"/>
      <c r="H123" s="52"/>
    </row>
    <row r="124" spans="1:15" ht="12.75" x14ac:dyDescent="0.2">
      <c r="A124" s="121" t="str">
        <f t="shared" si="29"/>
        <v>Interesa per kredi direkte ose bono</v>
      </c>
      <c r="B124" s="1229">
        <f t="shared" si="29"/>
        <v>650</v>
      </c>
      <c r="C124" s="1230">
        <f t="shared" si="29"/>
        <v>0</v>
      </c>
      <c r="D124" s="1231">
        <f t="shared" si="29"/>
        <v>0</v>
      </c>
      <c r="E124" s="126"/>
      <c r="F124" s="126"/>
      <c r="G124" s="126"/>
      <c r="H124" s="52"/>
    </row>
    <row r="125" spans="1:15" ht="12.75" x14ac:dyDescent="0.2">
      <c r="A125" s="121" t="str">
        <f t="shared" si="29"/>
        <v>Të tjera</v>
      </c>
      <c r="B125" s="1229" t="str">
        <f t="shared" si="29"/>
        <v>69 / ?</v>
      </c>
      <c r="C125" s="1230">
        <f t="shared" si="29"/>
        <v>0</v>
      </c>
      <c r="D125" s="1231">
        <f t="shared" si="29"/>
        <v>0</v>
      </c>
      <c r="E125" s="126"/>
      <c r="F125" s="126"/>
      <c r="G125" s="126"/>
      <c r="H125" s="52"/>
      <c r="I125" s="1235" t="str">
        <f t="shared" ref="I125:O126" si="30">I86</f>
        <v>SHUMA E KËRKUAR NETO</v>
      </c>
      <c r="J125" s="1236">
        <f t="shared" si="30"/>
        <v>0</v>
      </c>
      <c r="K125" s="1236">
        <f t="shared" si="30"/>
        <v>0</v>
      </c>
      <c r="L125" s="1236">
        <f t="shared" si="30"/>
        <v>0</v>
      </c>
      <c r="M125" s="1236">
        <f t="shared" si="30"/>
        <v>0</v>
      </c>
      <c r="N125" s="1236">
        <f t="shared" si="30"/>
        <v>0</v>
      </c>
      <c r="O125" s="1237">
        <f t="shared" si="30"/>
        <v>0</v>
      </c>
    </row>
    <row r="126" spans="1:15" ht="12.75" customHeight="1" x14ac:dyDescent="0.2">
      <c r="A126" s="268" t="str">
        <f t="shared" si="29"/>
        <v>KOSTO DIREKTE PËR PROJEKTET DHE SHPENZIMET KAPITALE</v>
      </c>
      <c r="B126" s="1229">
        <f t="shared" si="29"/>
        <v>0</v>
      </c>
      <c r="C126" s="1230">
        <f t="shared" si="29"/>
        <v>0</v>
      </c>
      <c r="D126" s="1231">
        <f t="shared" si="29"/>
        <v>0</v>
      </c>
      <c r="E126" s="126">
        <f>SUM(E115:E125)</f>
        <v>0</v>
      </c>
      <c r="F126" s="126">
        <f>SUM(F115:F125)</f>
        <v>0</v>
      </c>
      <c r="G126" s="126">
        <f>SUM(G115:G125)</f>
        <v>0</v>
      </c>
      <c r="H126" s="52"/>
      <c r="I126" s="1238">
        <f t="shared" si="30"/>
        <v>0</v>
      </c>
      <c r="J126" s="1239">
        <f t="shared" si="30"/>
        <v>0</v>
      </c>
      <c r="K126" s="1239">
        <f t="shared" si="30"/>
        <v>0</v>
      </c>
      <c r="L126" s="1239">
        <f t="shared" si="30"/>
        <v>0</v>
      </c>
      <c r="M126" s="1239">
        <f t="shared" si="30"/>
        <v>0</v>
      </c>
      <c r="N126" s="1239">
        <f t="shared" si="30"/>
        <v>0</v>
      </c>
      <c r="O126" s="1240">
        <f t="shared" si="30"/>
        <v>0</v>
      </c>
    </row>
    <row r="127" spans="1:15" ht="12.75" x14ac:dyDescent="0.2">
      <c r="A127" s="1226" t="str">
        <f t="shared" si="29"/>
        <v>SHPENZIME KORRENTE</v>
      </c>
      <c r="B127" s="1227">
        <f t="shared" si="29"/>
        <v>0</v>
      </c>
      <c r="C127" s="1227">
        <f t="shared" si="29"/>
        <v>0</v>
      </c>
      <c r="D127" s="1227">
        <f t="shared" si="29"/>
        <v>0</v>
      </c>
      <c r="E127" s="1227">
        <f>E88</f>
        <v>0</v>
      </c>
      <c r="F127" s="1227">
        <f>F88</f>
        <v>0</v>
      </c>
      <c r="G127" s="1228">
        <f>G88</f>
        <v>0</v>
      </c>
      <c r="H127" s="52"/>
      <c r="I127" s="17" t="str">
        <f>I88</f>
        <v>SHUMA E KËRKUAR NETO</v>
      </c>
      <c r="J127" s="18">
        <f t="shared" ref="J127:O127" si="31">B111-J121</f>
        <v>0</v>
      </c>
      <c r="K127" s="18">
        <f t="shared" si="31"/>
        <v>0</v>
      </c>
      <c r="L127" s="18">
        <f t="shared" si="31"/>
        <v>0</v>
      </c>
      <c r="M127" s="18">
        <f t="shared" si="31"/>
        <v>0</v>
      </c>
      <c r="N127" s="18">
        <f t="shared" si="31"/>
        <v>0</v>
      </c>
      <c r="O127" s="18">
        <f t="shared" si="31"/>
        <v>0</v>
      </c>
    </row>
    <row r="128" spans="1:15" ht="12.75" x14ac:dyDescent="0.2">
      <c r="A128" s="121" t="str">
        <f t="shared" si="29"/>
        <v>Pagat</v>
      </c>
      <c r="B128" s="1229">
        <f t="shared" si="29"/>
        <v>600</v>
      </c>
      <c r="C128" s="1230">
        <f t="shared" si="29"/>
        <v>0</v>
      </c>
      <c r="D128" s="1231">
        <f t="shared" si="29"/>
        <v>0</v>
      </c>
      <c r="E128" s="36"/>
      <c r="F128" s="36"/>
      <c r="G128" s="36"/>
      <c r="H128" s="52"/>
      <c r="I128" s="52"/>
      <c r="J128" s="52"/>
      <c r="K128" s="52"/>
      <c r="L128" s="14"/>
      <c r="M128" s="53"/>
    </row>
    <row r="129" spans="1:15" ht="12.75" x14ac:dyDescent="0.2">
      <c r="A129" s="121" t="str">
        <f t="shared" si="29"/>
        <v>Sigurimet Shoqërore</v>
      </c>
      <c r="B129" s="1229">
        <f t="shared" si="29"/>
        <v>601</v>
      </c>
      <c r="C129" s="1230">
        <f t="shared" si="29"/>
        <v>0</v>
      </c>
      <c r="D129" s="1231">
        <f t="shared" si="29"/>
        <v>0</v>
      </c>
      <c r="E129" s="36"/>
      <c r="F129" s="36"/>
      <c r="G129" s="36"/>
      <c r="H129" s="52"/>
    </row>
    <row r="130" spans="1:15" ht="12.75" x14ac:dyDescent="0.2">
      <c r="A130" s="121" t="str">
        <f t="shared" si="29"/>
        <v>Mallra dhe shërbime</v>
      </c>
      <c r="B130" s="1229">
        <f t="shared" si="29"/>
        <v>602</v>
      </c>
      <c r="C130" s="1230">
        <f t="shared" si="29"/>
        <v>0</v>
      </c>
      <c r="D130" s="1231">
        <f t="shared" si="29"/>
        <v>0</v>
      </c>
      <c r="E130" s="36"/>
      <c r="F130" s="36"/>
      <c r="G130" s="36"/>
      <c r="H130" s="52"/>
      <c r="I130" s="239" t="str">
        <f>I91</f>
        <v>Angazhimet</v>
      </c>
      <c r="J130" s="1290" t="str">
        <f>J91</f>
        <v>Vlera Totale për Aktivitet</v>
      </c>
      <c r="K130" s="1291"/>
      <c r="L130" s="1292"/>
      <c r="M130" s="126">
        <f>VLOOKUP($A106,'(C5) Angazhimet'!$A$8:$F$168,4,FALSE)</f>
        <v>0</v>
      </c>
      <c r="N130" s="126">
        <f>VLOOKUP($A106,'(C5) Angazhimet'!$A$8:$F$168,5,FALSE)</f>
        <v>0</v>
      </c>
      <c r="O130" s="126">
        <f>VLOOKUP($A106,'(C5) Angazhimet'!$A$8:$F$168,6,FALSE)</f>
        <v>0</v>
      </c>
    </row>
    <row r="131" spans="1:15" ht="12.75" x14ac:dyDescent="0.2">
      <c r="A131" s="121" t="str">
        <f t="shared" si="29"/>
        <v>Subvencione</v>
      </c>
      <c r="B131" s="1229">
        <f t="shared" si="29"/>
        <v>603</v>
      </c>
      <c r="C131" s="1230">
        <f t="shared" si="29"/>
        <v>0</v>
      </c>
      <c r="D131" s="1231">
        <f t="shared" si="29"/>
        <v>0</v>
      </c>
      <c r="E131" s="36"/>
      <c r="F131" s="36"/>
      <c r="G131" s="36"/>
      <c r="H131" s="52"/>
      <c r="I131" s="279" t="str">
        <f>I92</f>
        <v>Qëllime</v>
      </c>
      <c r="J131" s="1290" t="str">
        <f>J92</f>
        <v>Shpenzimet kapitale</v>
      </c>
      <c r="K131" s="1291"/>
      <c r="L131" s="1292"/>
      <c r="M131" s="125"/>
      <c r="N131" s="125"/>
      <c r="O131" s="129"/>
    </row>
    <row r="132" spans="1:15" ht="12.75" x14ac:dyDescent="0.2">
      <c r="A132" s="121" t="str">
        <f t="shared" si="29"/>
        <v>Të tjera transferta korrente të brendshme</v>
      </c>
      <c r="B132" s="1229">
        <f t="shared" si="29"/>
        <v>604</v>
      </c>
      <c r="C132" s="1230">
        <f t="shared" si="29"/>
        <v>0</v>
      </c>
      <c r="D132" s="1231">
        <f t="shared" si="29"/>
        <v>0</v>
      </c>
      <c r="E132" s="36"/>
      <c r="F132" s="36"/>
      <c r="G132" s="36"/>
      <c r="H132" s="52"/>
      <c r="I132" s="276"/>
      <c r="J132" s="1290" t="str">
        <f>J93</f>
        <v>Mallra dhe shërbime</v>
      </c>
      <c r="K132" s="1291"/>
      <c r="L132" s="1292"/>
      <c r="M132" s="125"/>
      <c r="N132" s="125"/>
      <c r="O132" s="129"/>
    </row>
    <row r="133" spans="1:15" ht="12.75" x14ac:dyDescent="0.2">
      <c r="A133" s="121" t="str">
        <f t="shared" si="29"/>
        <v>Transferta korrente të huaja</v>
      </c>
      <c r="B133" s="1229">
        <f t="shared" si="29"/>
        <v>605</v>
      </c>
      <c r="C133" s="1230">
        <f t="shared" si="29"/>
        <v>0</v>
      </c>
      <c r="D133" s="1231">
        <f t="shared" si="29"/>
        <v>0</v>
      </c>
      <c r="E133" s="36"/>
      <c r="F133" s="36"/>
      <c r="G133" s="36"/>
      <c r="H133" s="52"/>
      <c r="I133" s="276"/>
      <c r="J133" s="1290" t="str">
        <f>J94</f>
        <v>Qëllime të mëtejshme</v>
      </c>
      <c r="K133" s="1291"/>
      <c r="L133" s="1292"/>
      <c r="M133" s="125"/>
      <c r="N133" s="125"/>
      <c r="O133" s="129"/>
    </row>
    <row r="134" spans="1:15" ht="12.75" x14ac:dyDescent="0.2">
      <c r="A134" s="121" t="str">
        <f t="shared" si="29"/>
        <v>Transferta për Buxhetet Familiare dhe Individët</v>
      </c>
      <c r="B134" s="1229">
        <f t="shared" si="29"/>
        <v>606</v>
      </c>
      <c r="C134" s="1230">
        <f t="shared" si="29"/>
        <v>0</v>
      </c>
      <c r="D134" s="1231">
        <f t="shared" si="29"/>
        <v>0</v>
      </c>
      <c r="E134" s="36"/>
      <c r="F134" s="36"/>
      <c r="G134" s="36"/>
      <c r="H134" s="52"/>
      <c r="I134" s="276"/>
      <c r="J134" s="1286"/>
      <c r="K134" s="1286"/>
      <c r="L134" s="1286"/>
      <c r="M134" s="300" t="str">
        <f>IF(SUM(M131:M133)=M130,"OK","STOP")</f>
        <v>OK</v>
      </c>
      <c r="N134" s="300" t="str">
        <f>IF(SUM(N131:N133)=N130,"OK","STOP")</f>
        <v>OK</v>
      </c>
      <c r="O134" s="300" t="str">
        <f>IF(SUM(O131:O133)=O130,"OK","STOP")</f>
        <v>OK</v>
      </c>
    </row>
    <row r="135" spans="1:15" ht="12.75" x14ac:dyDescent="0.2">
      <c r="A135" s="564" t="str">
        <f t="shared" si="29"/>
        <v>Shpenzimet kapitale</v>
      </c>
      <c r="B135" s="1256" t="str">
        <f t="shared" si="29"/>
        <v>230 / 231</v>
      </c>
      <c r="C135" s="1257">
        <f t="shared" si="29"/>
        <v>0</v>
      </c>
      <c r="D135" s="1258">
        <f t="shared" si="29"/>
        <v>0</v>
      </c>
      <c r="E135" s="126"/>
      <c r="F135" s="126"/>
      <c r="G135" s="126"/>
      <c r="H135" s="52"/>
      <c r="I135" s="367" t="str">
        <f>I96</f>
        <v>Shpjegimet teknike</v>
      </c>
      <c r="J135" s="10"/>
      <c r="K135" s="10"/>
      <c r="L135" s="10"/>
      <c r="M135" s="10"/>
      <c r="N135" s="10"/>
      <c r="O135" s="10"/>
    </row>
    <row r="136" spans="1:15" ht="12.75" x14ac:dyDescent="0.2">
      <c r="A136" s="121" t="str">
        <f t="shared" si="29"/>
        <v>Rezerva</v>
      </c>
      <c r="B136" s="1229">
        <f t="shared" si="29"/>
        <v>609</v>
      </c>
      <c r="C136" s="1230">
        <f t="shared" si="29"/>
        <v>0</v>
      </c>
      <c r="D136" s="1231">
        <f t="shared" si="29"/>
        <v>0</v>
      </c>
      <c r="E136" s="36"/>
      <c r="F136" s="36"/>
      <c r="G136" s="36"/>
      <c r="H136" s="52"/>
      <c r="I136" s="365">
        <f>M109</f>
        <v>2022</v>
      </c>
      <c r="J136" s="1271"/>
      <c r="K136" s="1272"/>
      <c r="L136" s="1272"/>
      <c r="M136" s="1272"/>
      <c r="N136" s="1272"/>
      <c r="O136" s="1273"/>
    </row>
    <row r="137" spans="1:15" ht="12.75" x14ac:dyDescent="0.2">
      <c r="A137" s="121" t="str">
        <f t="shared" si="29"/>
        <v>Interesa per kredi direkte ose bono</v>
      </c>
      <c r="B137" s="1259">
        <f t="shared" si="29"/>
        <v>650</v>
      </c>
      <c r="C137" s="1260">
        <f t="shared" si="29"/>
        <v>0</v>
      </c>
      <c r="D137" s="1261">
        <f t="shared" si="29"/>
        <v>0</v>
      </c>
      <c r="E137" s="36"/>
      <c r="F137" s="36"/>
      <c r="G137" s="36"/>
      <c r="H137" s="52"/>
      <c r="I137" s="366"/>
      <c r="J137" s="1274"/>
      <c r="K137" s="1275"/>
      <c r="L137" s="1275"/>
      <c r="M137" s="1275"/>
      <c r="N137" s="1275"/>
      <c r="O137" s="1276"/>
    </row>
    <row r="138" spans="1:15" ht="12.75" x14ac:dyDescent="0.2">
      <c r="A138" s="239" t="str">
        <f>A99</f>
        <v>Të tjera</v>
      </c>
      <c r="B138" s="1229" t="str">
        <f>B99</f>
        <v>69 / ?</v>
      </c>
      <c r="C138" s="1230">
        <f>C99</f>
        <v>0</v>
      </c>
      <c r="D138" s="382" t="str">
        <f>IF(OR(E138&lt;0,F138&lt;0,G138&lt;0),"STOP","OK!")</f>
        <v>OK!</v>
      </c>
      <c r="E138" s="127">
        <f>-E126+E111-(SUM(E128:E137))</f>
        <v>0</v>
      </c>
      <c r="F138" s="270">
        <f>-F126+F111-(SUM(F128:F137))</f>
        <v>0</v>
      </c>
      <c r="G138" s="270">
        <f>-G126+G111-(SUM(G128:G137))</f>
        <v>0</v>
      </c>
      <c r="H138" s="52"/>
      <c r="I138" s="365">
        <f>N109</f>
        <v>2023</v>
      </c>
      <c r="J138" s="1271"/>
      <c r="K138" s="1272"/>
      <c r="L138" s="1272"/>
      <c r="M138" s="1272"/>
      <c r="N138" s="1272"/>
      <c r="O138" s="1273"/>
    </row>
    <row r="139" spans="1:15" ht="12.75" x14ac:dyDescent="0.2">
      <c r="A139" s="121" t="str">
        <f>A100</f>
        <v>SHPENZIME KORRENTE</v>
      </c>
      <c r="B139" s="1262"/>
      <c r="C139" s="1263"/>
      <c r="D139" s="1264"/>
      <c r="E139" s="126">
        <f>SUM(E128:E138)</f>
        <v>0</v>
      </c>
      <c r="F139" s="126">
        <f>SUM(F128:F138)</f>
        <v>0</v>
      </c>
      <c r="G139" s="126">
        <f>SUM(G128:G138)</f>
        <v>0</v>
      </c>
      <c r="H139" s="52"/>
      <c r="I139" s="366"/>
      <c r="J139" s="1277"/>
      <c r="K139" s="1278"/>
      <c r="L139" s="1278"/>
      <c r="M139" s="1278"/>
      <c r="N139" s="1278"/>
      <c r="O139" s="1279"/>
    </row>
    <row r="140" spans="1:15" ht="12.75" x14ac:dyDescent="0.2">
      <c r="A140" s="122"/>
      <c r="B140" s="201"/>
      <c r="C140" s="123"/>
      <c r="D140" s="123"/>
      <c r="E140" s="10"/>
      <c r="F140" s="10"/>
      <c r="G140" s="130"/>
      <c r="H140" s="52"/>
      <c r="I140" s="365">
        <f>O109</f>
        <v>2024</v>
      </c>
      <c r="J140" s="1271"/>
      <c r="K140" s="1272"/>
      <c r="L140" s="1272"/>
      <c r="M140" s="1272"/>
      <c r="N140" s="1272"/>
      <c r="O140" s="1273"/>
    </row>
    <row r="141" spans="1:15" ht="12.75" x14ac:dyDescent="0.2">
      <c r="A141" s="134" t="str">
        <f>A102</f>
        <v>SHPENZIME TË PRITSHME</v>
      </c>
      <c r="B141" s="33">
        <f>B111</f>
        <v>0</v>
      </c>
      <c r="C141" s="33">
        <f>C111</f>
        <v>0</v>
      </c>
      <c r="D141" s="33">
        <f>D111</f>
        <v>0</v>
      </c>
      <c r="E141" s="126">
        <f>E126+E139</f>
        <v>0</v>
      </c>
      <c r="F141" s="126">
        <f>F126+F139</f>
        <v>0</v>
      </c>
      <c r="G141" s="126">
        <f>G126+G139</f>
        <v>0</v>
      </c>
      <c r="H141" s="52"/>
      <c r="I141" s="366"/>
      <c r="J141" s="1277"/>
      <c r="K141" s="1278"/>
      <c r="L141" s="1278"/>
      <c r="M141" s="1278"/>
      <c r="N141" s="1278"/>
      <c r="O141" s="1279"/>
    </row>
    <row r="144" spans="1:15" ht="17.25" customHeight="1" x14ac:dyDescent="0.2">
      <c r="A144" s="204" t="str">
        <f t="shared" ref="A144:O144" si="32">A66</f>
        <v>Nënfunksioni 27</v>
      </c>
      <c r="B144" s="1225" t="str">
        <f t="shared" si="32"/>
        <v>106 Strehimi social</v>
      </c>
      <c r="C144" s="1225">
        <f t="shared" si="32"/>
        <v>0</v>
      </c>
      <c r="D144" s="1225">
        <f t="shared" si="32"/>
        <v>0</v>
      </c>
      <c r="E144" s="1225">
        <f t="shared" si="32"/>
        <v>0</v>
      </c>
      <c r="F144" s="1225">
        <f t="shared" si="32"/>
        <v>0</v>
      </c>
      <c r="G144" s="1225">
        <f t="shared" si="32"/>
        <v>0</v>
      </c>
      <c r="H144" s="1225">
        <f t="shared" si="32"/>
        <v>0</v>
      </c>
      <c r="I144" s="1225">
        <f t="shared" si="32"/>
        <v>0</v>
      </c>
      <c r="J144" s="1225">
        <f t="shared" si="32"/>
        <v>0</v>
      </c>
      <c r="K144" s="1225">
        <f t="shared" si="32"/>
        <v>0</v>
      </c>
      <c r="L144" s="1225">
        <f t="shared" si="32"/>
        <v>0</v>
      </c>
      <c r="M144" s="1225">
        <f t="shared" si="32"/>
        <v>0</v>
      </c>
      <c r="N144" s="1225">
        <f t="shared" si="32"/>
        <v>0</v>
      </c>
      <c r="O144" s="1225">
        <f t="shared" si="32"/>
        <v>0</v>
      </c>
    </row>
    <row r="145" spans="1:15" ht="17.25" customHeight="1" x14ac:dyDescent="0.2">
      <c r="A145" s="262" t="str">
        <f>A8</f>
        <v>Programi 28c</v>
      </c>
      <c r="B145" s="1225">
        <f>C8</f>
        <v>0</v>
      </c>
      <c r="C145" s="1225" t="e">
        <f>#REF!</f>
        <v>#REF!</v>
      </c>
      <c r="D145" s="1225" t="e">
        <f>#REF!</f>
        <v>#REF!</v>
      </c>
      <c r="E145" s="1225" t="e">
        <f>#REF!</f>
        <v>#REF!</v>
      </c>
      <c r="F145" s="1225" t="e">
        <f>#REF!</f>
        <v>#REF!</v>
      </c>
      <c r="G145" s="1225" t="e">
        <f>#REF!</f>
        <v>#REF!</v>
      </c>
      <c r="H145" s="1225" t="e">
        <f>#REF!</f>
        <v>#REF!</v>
      </c>
      <c r="I145" s="1225" t="e">
        <f>#REF!</f>
        <v>#REF!</v>
      </c>
      <c r="J145" s="1225" t="e">
        <f>#REF!</f>
        <v>#REF!</v>
      </c>
      <c r="K145" s="1225" t="e">
        <f>#REF!</f>
        <v>#REF!</v>
      </c>
      <c r="L145" s="1225" t="e">
        <f>#REF!</f>
        <v>#REF!</v>
      </c>
      <c r="M145" s="1225" t="e">
        <f>#REF!</f>
        <v>#REF!</v>
      </c>
      <c r="N145" s="1225" t="e">
        <f>#REF!</f>
        <v>#REF!</v>
      </c>
      <c r="O145" s="1225" t="e">
        <f>#REF!</f>
        <v>#REF!</v>
      </c>
    </row>
    <row r="146" spans="1:15" ht="17.25" customHeight="1" x14ac:dyDescent="0.2">
      <c r="A146" s="562">
        <f>'(B3) Struktura Funksionale'!B142</f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6"/>
    </row>
    <row r="147" spans="1:15" ht="22.5" customHeight="1" x14ac:dyDescent="0.2">
      <c r="A147" s="1252" t="str">
        <f t="shared" ref="A147:G147" si="33">A69</f>
        <v>SHPENZIME TË PRITSHME</v>
      </c>
      <c r="B147" s="1253">
        <f t="shared" si="33"/>
        <v>0</v>
      </c>
      <c r="C147" s="1253">
        <f t="shared" si="33"/>
        <v>0</v>
      </c>
      <c r="D147" s="1253">
        <f t="shared" si="33"/>
        <v>0</v>
      </c>
      <c r="E147" s="1253">
        <f t="shared" si="33"/>
        <v>0</v>
      </c>
      <c r="F147" s="1253">
        <f t="shared" si="33"/>
        <v>0</v>
      </c>
      <c r="G147" s="1254">
        <f t="shared" si="33"/>
        <v>0</v>
      </c>
      <c r="H147" s="128"/>
      <c r="I147" s="1255" t="str">
        <f t="shared" ref="I147:O147" si="34">I69</f>
        <v xml:space="preserve">TË ARDHURAT E PRITSHME </v>
      </c>
      <c r="J147" s="1253">
        <f t="shared" si="34"/>
        <v>0</v>
      </c>
      <c r="K147" s="1253">
        <f t="shared" si="34"/>
        <v>0</v>
      </c>
      <c r="L147" s="1253">
        <f t="shared" si="34"/>
        <v>0</v>
      </c>
      <c r="M147" s="1253">
        <f t="shared" si="34"/>
        <v>0</v>
      </c>
      <c r="N147" s="1253">
        <f t="shared" si="34"/>
        <v>0</v>
      </c>
      <c r="O147" s="1254">
        <f t="shared" si="34"/>
        <v>0</v>
      </c>
    </row>
    <row r="148" spans="1:15" ht="20.25" customHeight="1" x14ac:dyDescent="0.2">
      <c r="A148" s="202"/>
      <c r="B148" s="363">
        <f t="shared" ref="B148:G148" si="35">B70</f>
        <v>2019</v>
      </c>
      <c r="C148" s="363">
        <f t="shared" si="35"/>
        <v>2020</v>
      </c>
      <c r="D148" s="363">
        <f t="shared" si="35"/>
        <v>2021</v>
      </c>
      <c r="E148" s="238">
        <f t="shared" si="35"/>
        <v>2022</v>
      </c>
      <c r="F148" s="238">
        <f t="shared" si="35"/>
        <v>2023</v>
      </c>
      <c r="G148" s="238">
        <f t="shared" si="35"/>
        <v>2024</v>
      </c>
      <c r="H148" s="203"/>
      <c r="I148" s="269"/>
      <c r="J148" s="236">
        <f t="shared" ref="J148:O148" si="36">J70</f>
        <v>2019</v>
      </c>
      <c r="K148" s="236">
        <f t="shared" si="36"/>
        <v>2020</v>
      </c>
      <c r="L148" s="236">
        <f t="shared" si="36"/>
        <v>2021</v>
      </c>
      <c r="M148" s="237">
        <f t="shared" si="36"/>
        <v>2022</v>
      </c>
      <c r="N148" s="237">
        <f t="shared" si="36"/>
        <v>2023</v>
      </c>
      <c r="O148" s="237">
        <f t="shared" si="36"/>
        <v>2024</v>
      </c>
    </row>
    <row r="149" spans="1:15" ht="12.75" x14ac:dyDescent="0.2">
      <c r="A149" s="369"/>
      <c r="B149" s="373"/>
      <c r="C149" s="374"/>
      <c r="D149" s="372"/>
      <c r="E149" s="305"/>
      <c r="F149" s="305"/>
      <c r="G149" s="306"/>
      <c r="H149" s="128"/>
      <c r="I149" s="369"/>
      <c r="J149" s="305"/>
      <c r="K149" s="305"/>
      <c r="L149" s="305"/>
      <c r="M149" s="305"/>
      <c r="N149" s="305"/>
      <c r="O149" s="306"/>
    </row>
    <row r="150" spans="1:15" ht="12.75" x14ac:dyDescent="0.2">
      <c r="A150" s="134" t="str">
        <f>A72</f>
        <v>SHPENZIME TË PRITSHME</v>
      </c>
      <c r="B150" s="33">
        <f>VLOOKUP(A145,'(C1) Shpenzimet vitet e kaluara'!A$9:O$177,5,FALSE)</f>
        <v>0</v>
      </c>
      <c r="C150" s="33">
        <f>VLOOKUP(A145,'(C1) Shpenzimet vitet e kaluara'!A$9:O$177,9,FALSE)</f>
        <v>0</v>
      </c>
      <c r="D150" s="33">
        <f>VLOOKUP(A145,'(C1) Shpenzimet vitet e kaluara'!A$9:O$177,13,FALSE)</f>
        <v>0</v>
      </c>
      <c r="E150" s="36"/>
      <c r="F150" s="36"/>
      <c r="G150" s="36"/>
      <c r="I150" s="1226" t="str">
        <f t="shared" ref="I150:O150" si="37">I72</f>
        <v>VLERËSIM I ARDHURAVE NGA TARIFAT</v>
      </c>
      <c r="J150" s="1227">
        <f t="shared" si="37"/>
        <v>0</v>
      </c>
      <c r="K150" s="1227">
        <f t="shared" si="37"/>
        <v>0</v>
      </c>
      <c r="L150" s="1227">
        <f t="shared" si="37"/>
        <v>0</v>
      </c>
      <c r="M150" s="1227">
        <f t="shared" si="37"/>
        <v>0</v>
      </c>
      <c r="N150" s="1227">
        <f t="shared" si="37"/>
        <v>0</v>
      </c>
      <c r="O150" s="1228">
        <f t="shared" si="37"/>
        <v>0</v>
      </c>
    </row>
    <row r="151" spans="1:15" ht="12.75" x14ac:dyDescent="0.2">
      <c r="A151" s="122"/>
      <c r="B151" s="201"/>
      <c r="C151" s="123"/>
      <c r="D151" s="123"/>
      <c r="E151" s="10"/>
      <c r="F151" s="10"/>
      <c r="G151" s="130"/>
      <c r="I151" s="134" t="str">
        <f>I73</f>
        <v>VLERËSIM I ARDHURAVE NGA TARIFAT</v>
      </c>
      <c r="J151" s="34">
        <f>VLOOKUP($A145,'(C1) Shpenzimet vitet e kaluara'!$A$9:$O$177,6,FALSE)</f>
        <v>0</v>
      </c>
      <c r="K151" s="34">
        <f>VLOOKUP($A145,'(C1) Shpenzimet vitet e kaluara'!$A$9:$O$177,10,FALSE)</f>
        <v>0</v>
      </c>
      <c r="L151" s="34">
        <f>VLOOKUP($A145,'(C1) Shpenzimet vitet e kaluara'!$A$9:$O$177,14,FALSE)</f>
        <v>0</v>
      </c>
      <c r="M151" s="36"/>
      <c r="N151" s="36"/>
      <c r="O151" s="36"/>
    </row>
    <row r="152" spans="1:15" ht="12.75" x14ac:dyDescent="0.2">
      <c r="A152" s="1232" t="str">
        <f t="shared" ref="A152:G153" si="38">A74</f>
        <v>SHPENZIME TË PRITSHME</v>
      </c>
      <c r="B152" s="1233">
        <f t="shared" si="38"/>
        <v>0</v>
      </c>
      <c r="C152" s="1233">
        <f t="shared" si="38"/>
        <v>0</v>
      </c>
      <c r="D152" s="1233">
        <f t="shared" si="38"/>
        <v>0</v>
      </c>
      <c r="E152" s="1233">
        <f t="shared" si="38"/>
        <v>0</v>
      </c>
      <c r="F152" s="1233">
        <f t="shared" si="38"/>
        <v>0</v>
      </c>
      <c r="G152" s="1234">
        <f t="shared" si="38"/>
        <v>0</v>
      </c>
      <c r="H152" s="10"/>
    </row>
    <row r="153" spans="1:15" ht="12.75" x14ac:dyDescent="0.2">
      <c r="A153" s="1226" t="str">
        <f t="shared" si="38"/>
        <v>KOSTO DIREKTE PËR PROJEKTET DHE SHPENZIMET KAPITALE</v>
      </c>
      <c r="B153" s="1227">
        <f t="shared" si="38"/>
        <v>0</v>
      </c>
      <c r="C153" s="1227">
        <f t="shared" si="38"/>
        <v>0</v>
      </c>
      <c r="D153" s="1227">
        <f t="shared" si="38"/>
        <v>0</v>
      </c>
      <c r="E153" s="1227">
        <f t="shared" si="38"/>
        <v>0</v>
      </c>
      <c r="F153" s="1227">
        <f t="shared" si="38"/>
        <v>0</v>
      </c>
      <c r="G153" s="1228">
        <f t="shared" si="38"/>
        <v>0</v>
      </c>
      <c r="H153" s="30"/>
      <c r="I153" s="1226" t="str">
        <f t="shared" ref="I153:I158" si="39">I75</f>
        <v>VLERËSIMI I TË ARDHURAVE ME DESTINACION</v>
      </c>
      <c r="J153" s="1227"/>
      <c r="K153" s="1227"/>
      <c r="L153" s="1227"/>
      <c r="M153" s="1227"/>
      <c r="N153" s="1227"/>
      <c r="O153" s="1228"/>
    </row>
    <row r="154" spans="1:15" ht="12.75" x14ac:dyDescent="0.2">
      <c r="A154" s="121" t="str">
        <f t="shared" ref="A154:D176" si="40">A76</f>
        <v>Pagat</v>
      </c>
      <c r="B154" s="1229">
        <f t="shared" si="40"/>
        <v>600</v>
      </c>
      <c r="C154" s="1230">
        <f t="shared" si="40"/>
        <v>0</v>
      </c>
      <c r="D154" s="1231">
        <f t="shared" si="40"/>
        <v>0</v>
      </c>
      <c r="E154" s="126"/>
      <c r="F154" s="126"/>
      <c r="G154" s="126"/>
      <c r="H154" s="30"/>
      <c r="I154" s="339" t="str">
        <f t="shared" si="39"/>
        <v>Transferta e kushtëzuar</v>
      </c>
      <c r="J154" s="336"/>
      <c r="K154" s="338"/>
      <c r="L154" s="337"/>
      <c r="M154" s="125"/>
      <c r="N154" s="125"/>
      <c r="O154" s="129"/>
    </row>
    <row r="155" spans="1:15" ht="12.75" x14ac:dyDescent="0.2">
      <c r="A155" s="121" t="str">
        <f t="shared" si="40"/>
        <v>Sigurimet Shoqërore</v>
      </c>
      <c r="B155" s="1229">
        <f t="shared" si="40"/>
        <v>601</v>
      </c>
      <c r="C155" s="1230">
        <f t="shared" si="40"/>
        <v>0</v>
      </c>
      <c r="D155" s="1231">
        <f t="shared" si="40"/>
        <v>0</v>
      </c>
      <c r="E155" s="126"/>
      <c r="F155" s="126"/>
      <c r="G155" s="126"/>
      <c r="H155" s="30"/>
      <c r="I155" s="339" t="str">
        <f t="shared" si="39"/>
        <v>Trasferta Specifike</v>
      </c>
      <c r="J155" s="336"/>
      <c r="K155" s="338"/>
      <c r="L155" s="337"/>
      <c r="M155" s="125"/>
      <c r="N155" s="125"/>
      <c r="O155" s="129"/>
    </row>
    <row r="156" spans="1:15" ht="12.75" x14ac:dyDescent="0.2">
      <c r="A156" s="121" t="str">
        <f t="shared" si="40"/>
        <v>Mallra dhe shërbime</v>
      </c>
      <c r="B156" s="1229">
        <f t="shared" si="40"/>
        <v>602</v>
      </c>
      <c r="C156" s="1230">
        <f t="shared" si="40"/>
        <v>0</v>
      </c>
      <c r="D156" s="1231">
        <f t="shared" si="40"/>
        <v>0</v>
      </c>
      <c r="E156" s="126"/>
      <c r="F156" s="126"/>
      <c r="G156" s="126"/>
      <c r="H156" s="52"/>
      <c r="I156" s="339" t="str">
        <f t="shared" si="39"/>
        <v>Trashëgimi me destinacion</v>
      </c>
      <c r="J156" s="336"/>
      <c r="K156" s="338"/>
      <c r="L156" s="337"/>
      <c r="M156" s="264">
        <f>VLOOKUP($A145,'(C4) Trashëgimi me destinacion'!$A$8:$F$168,4,FALSE)</f>
        <v>0</v>
      </c>
      <c r="N156" s="479">
        <f>VLOOKUP($A145,'(C4) Trashëgimi me destinacion'!$A$8:$F$168,5,FALSE)</f>
        <v>0</v>
      </c>
      <c r="O156" s="479">
        <f>VLOOKUP($A145,'(C4) Trashëgimi me destinacion'!$A$8:$F$168,6,FALSE)</f>
        <v>0</v>
      </c>
    </row>
    <row r="157" spans="1:15" ht="12.75" x14ac:dyDescent="0.2">
      <c r="A157" s="121" t="str">
        <f t="shared" si="40"/>
        <v>Subvencione</v>
      </c>
      <c r="B157" s="1229">
        <f t="shared" si="40"/>
        <v>603</v>
      </c>
      <c r="C157" s="1230">
        <f t="shared" si="40"/>
        <v>0</v>
      </c>
      <c r="D157" s="1231">
        <f t="shared" si="40"/>
        <v>0</v>
      </c>
      <c r="E157" s="126"/>
      <c r="F157" s="126"/>
      <c r="G157" s="126"/>
      <c r="H157" s="8"/>
      <c r="I157" s="339" t="str">
        <f t="shared" si="39"/>
        <v>Burime të tjera (përfshirë gjobat)</v>
      </c>
      <c r="J157" s="336"/>
      <c r="K157" s="338"/>
      <c r="L157" s="337"/>
      <c r="M157" s="125"/>
      <c r="N157" s="125"/>
      <c r="O157" s="129"/>
    </row>
    <row r="158" spans="1:15" ht="12.75" x14ac:dyDescent="0.2">
      <c r="A158" s="121" t="str">
        <f t="shared" si="40"/>
        <v>Të tjera transferta korrente të brendshme</v>
      </c>
      <c r="B158" s="1229">
        <f t="shared" si="40"/>
        <v>604</v>
      </c>
      <c r="C158" s="1230">
        <f t="shared" si="40"/>
        <v>0</v>
      </c>
      <c r="D158" s="1231">
        <f t="shared" si="40"/>
        <v>0</v>
      </c>
      <c r="E158" s="126"/>
      <c r="F158" s="126"/>
      <c r="G158" s="126"/>
      <c r="H158" s="52"/>
      <c r="I158" s="339" t="str">
        <f t="shared" si="39"/>
        <v>VLERËSIMI I TË ARDHURAVE ME DESTINACION</v>
      </c>
      <c r="J158" s="34">
        <f>VLOOKUP($A145,'(C1) Shpenzimet vitet e kaluara'!$A$9:$O$177,7,FALSE)</f>
        <v>0</v>
      </c>
      <c r="K158" s="34">
        <f>VLOOKUP($A145,'(C1) Shpenzimet vitet e kaluara'!$A$9:$O$177,11,FALSE)</f>
        <v>0</v>
      </c>
      <c r="L158" s="34">
        <f>VLOOKUP($A145,'(C1) Shpenzimet vitet e kaluara'!$A$9:$O$177,15,FALSE)</f>
        <v>0</v>
      </c>
      <c r="M158" s="126">
        <f>SUM(M154:M157)</f>
        <v>0</v>
      </c>
      <c r="N158" s="126">
        <f>SUM(N154:N157)</f>
        <v>0</v>
      </c>
      <c r="O158" s="126">
        <f>SUM(O154:O157)</f>
        <v>0</v>
      </c>
    </row>
    <row r="159" spans="1:15" ht="12.75" x14ac:dyDescent="0.2">
      <c r="A159" s="121" t="str">
        <f t="shared" si="40"/>
        <v>Transferta korrente të huaja</v>
      </c>
      <c r="B159" s="1229">
        <f t="shared" si="40"/>
        <v>605</v>
      </c>
      <c r="C159" s="1230">
        <f t="shared" si="40"/>
        <v>0</v>
      </c>
      <c r="D159" s="1231">
        <f t="shared" si="40"/>
        <v>0</v>
      </c>
      <c r="E159" s="126"/>
      <c r="F159" s="126"/>
      <c r="G159" s="126"/>
      <c r="H159" s="52"/>
    </row>
    <row r="160" spans="1:15" ht="12.75" x14ac:dyDescent="0.2">
      <c r="A160" s="121" t="str">
        <f t="shared" si="40"/>
        <v>Transferta për Buxhetet Familiare dhe Individët</v>
      </c>
      <c r="B160" s="1229">
        <f t="shared" si="40"/>
        <v>606</v>
      </c>
      <c r="C160" s="1230">
        <f t="shared" si="40"/>
        <v>0</v>
      </c>
      <c r="D160" s="1231">
        <f t="shared" si="40"/>
        <v>0</v>
      </c>
      <c r="E160" s="126"/>
      <c r="F160" s="126"/>
      <c r="G160" s="126"/>
      <c r="H160" s="52"/>
      <c r="I160" s="134" t="str">
        <f>I82</f>
        <v xml:space="preserve">TË ARDHURAT E PRITSHME </v>
      </c>
      <c r="J160" s="33">
        <f>J151+J158</f>
        <v>0</v>
      </c>
      <c r="K160" s="33">
        <f>K151+K158</f>
        <v>0</v>
      </c>
      <c r="L160" s="33">
        <f>L151+L158</f>
        <v>0</v>
      </c>
      <c r="M160" s="126">
        <f>M158+M151</f>
        <v>0</v>
      </c>
      <c r="N160" s="126">
        <f>N158+N151</f>
        <v>0</v>
      </c>
      <c r="O160" s="126">
        <f>O158+O151</f>
        <v>0</v>
      </c>
    </row>
    <row r="161" spans="1:15" ht="12.75" x14ac:dyDescent="0.2">
      <c r="A161" s="121" t="str">
        <f t="shared" si="40"/>
        <v>Shpenzimet kapitale</v>
      </c>
      <c r="B161" s="1229" t="str">
        <f t="shared" si="40"/>
        <v>230 / 231</v>
      </c>
      <c r="C161" s="1230">
        <f t="shared" si="40"/>
        <v>0</v>
      </c>
      <c r="D161" s="1231">
        <f t="shared" si="40"/>
        <v>0</v>
      </c>
      <c r="E161" s="36"/>
      <c r="F161" s="36"/>
      <c r="G161" s="36"/>
      <c r="H161" s="52"/>
    </row>
    <row r="162" spans="1:15" ht="12.75" x14ac:dyDescent="0.2">
      <c r="A162" s="121" t="str">
        <f t="shared" si="40"/>
        <v>Rezerva</v>
      </c>
      <c r="B162" s="1229">
        <f t="shared" si="40"/>
        <v>609</v>
      </c>
      <c r="C162" s="1230">
        <f t="shared" si="40"/>
        <v>0</v>
      </c>
      <c r="D162" s="1231">
        <f t="shared" si="40"/>
        <v>0</v>
      </c>
      <c r="E162" s="126"/>
      <c r="F162" s="126"/>
      <c r="G162" s="126"/>
      <c r="H162" s="52"/>
    </row>
    <row r="163" spans="1:15" ht="12.75" x14ac:dyDescent="0.2">
      <c r="A163" s="121" t="str">
        <f t="shared" si="40"/>
        <v>Interesa per kredi direkte ose bono</v>
      </c>
      <c r="B163" s="1229">
        <f t="shared" si="40"/>
        <v>650</v>
      </c>
      <c r="C163" s="1230">
        <f t="shared" si="40"/>
        <v>0</v>
      </c>
      <c r="D163" s="1231">
        <f t="shared" si="40"/>
        <v>0</v>
      </c>
      <c r="E163" s="126"/>
      <c r="F163" s="126"/>
      <c r="G163" s="126"/>
      <c r="H163" s="52"/>
    </row>
    <row r="164" spans="1:15" ht="12.75" x14ac:dyDescent="0.2">
      <c r="A164" s="121" t="str">
        <f t="shared" si="40"/>
        <v>Të tjera</v>
      </c>
      <c r="B164" s="1229" t="str">
        <f t="shared" si="40"/>
        <v>69 / ?</v>
      </c>
      <c r="C164" s="1230">
        <f t="shared" si="40"/>
        <v>0</v>
      </c>
      <c r="D164" s="1231">
        <f t="shared" si="40"/>
        <v>0</v>
      </c>
      <c r="E164" s="126"/>
      <c r="F164" s="126"/>
      <c r="G164" s="126"/>
      <c r="H164" s="52"/>
      <c r="I164" s="1235" t="str">
        <f t="shared" ref="I164:O165" si="41">I86</f>
        <v>SHUMA E KËRKUAR NETO</v>
      </c>
      <c r="J164" s="1236">
        <f t="shared" si="41"/>
        <v>0</v>
      </c>
      <c r="K164" s="1236">
        <f t="shared" si="41"/>
        <v>0</v>
      </c>
      <c r="L164" s="1236">
        <f t="shared" si="41"/>
        <v>0</v>
      </c>
      <c r="M164" s="1236">
        <f t="shared" si="41"/>
        <v>0</v>
      </c>
      <c r="N164" s="1236">
        <f t="shared" si="41"/>
        <v>0</v>
      </c>
      <c r="O164" s="1237">
        <f t="shared" si="41"/>
        <v>0</v>
      </c>
    </row>
    <row r="165" spans="1:15" ht="12.75" customHeight="1" x14ac:dyDescent="0.2">
      <c r="A165" s="268" t="str">
        <f t="shared" si="40"/>
        <v>KOSTO DIREKTE PËR PROJEKTET DHE SHPENZIMET KAPITALE</v>
      </c>
      <c r="B165" s="1229">
        <f t="shared" si="40"/>
        <v>0</v>
      </c>
      <c r="C165" s="1230">
        <f t="shared" si="40"/>
        <v>0</v>
      </c>
      <c r="D165" s="1231">
        <f t="shared" si="40"/>
        <v>0</v>
      </c>
      <c r="E165" s="126">
        <f>SUM(E154:E164)</f>
        <v>0</v>
      </c>
      <c r="F165" s="126">
        <f>SUM(F154:F164)</f>
        <v>0</v>
      </c>
      <c r="G165" s="126">
        <f>SUM(G154:G164)</f>
        <v>0</v>
      </c>
      <c r="H165" s="52"/>
      <c r="I165" s="1238">
        <f t="shared" si="41"/>
        <v>0</v>
      </c>
      <c r="J165" s="1239">
        <f t="shared" si="41"/>
        <v>0</v>
      </c>
      <c r="K165" s="1239">
        <f t="shared" si="41"/>
        <v>0</v>
      </c>
      <c r="L165" s="1239">
        <f t="shared" si="41"/>
        <v>0</v>
      </c>
      <c r="M165" s="1239">
        <f t="shared" si="41"/>
        <v>0</v>
      </c>
      <c r="N165" s="1239">
        <f t="shared" si="41"/>
        <v>0</v>
      </c>
      <c r="O165" s="1240">
        <f t="shared" si="41"/>
        <v>0</v>
      </c>
    </row>
    <row r="166" spans="1:15" ht="12.75" x14ac:dyDescent="0.2">
      <c r="A166" s="1226" t="str">
        <f t="shared" si="40"/>
        <v>SHPENZIME KORRENTE</v>
      </c>
      <c r="B166" s="1227">
        <f t="shared" si="40"/>
        <v>0</v>
      </c>
      <c r="C166" s="1227">
        <f t="shared" si="40"/>
        <v>0</v>
      </c>
      <c r="D166" s="1227">
        <f t="shared" si="40"/>
        <v>0</v>
      </c>
      <c r="E166" s="1227">
        <f>E88</f>
        <v>0</v>
      </c>
      <c r="F166" s="1227">
        <f>F88</f>
        <v>0</v>
      </c>
      <c r="G166" s="1228">
        <f>G88</f>
        <v>0</v>
      </c>
      <c r="H166" s="52"/>
      <c r="I166" s="17" t="str">
        <f>I88</f>
        <v>SHUMA E KËRKUAR NETO</v>
      </c>
      <c r="J166" s="18">
        <f t="shared" ref="J166:O166" si="42">B150-J160</f>
        <v>0</v>
      </c>
      <c r="K166" s="18">
        <f t="shared" si="42"/>
        <v>0</v>
      </c>
      <c r="L166" s="18">
        <f t="shared" si="42"/>
        <v>0</v>
      </c>
      <c r="M166" s="18">
        <f t="shared" si="42"/>
        <v>0</v>
      </c>
      <c r="N166" s="18">
        <f t="shared" si="42"/>
        <v>0</v>
      </c>
      <c r="O166" s="18">
        <f t="shared" si="42"/>
        <v>0</v>
      </c>
    </row>
    <row r="167" spans="1:15" ht="12.75" x14ac:dyDescent="0.2">
      <c r="A167" s="121" t="str">
        <f t="shared" si="40"/>
        <v>Pagat</v>
      </c>
      <c r="B167" s="1229">
        <f t="shared" si="40"/>
        <v>600</v>
      </c>
      <c r="C167" s="1230">
        <f t="shared" si="40"/>
        <v>0</v>
      </c>
      <c r="D167" s="1231">
        <f t="shared" si="40"/>
        <v>0</v>
      </c>
      <c r="E167" s="36"/>
      <c r="F167" s="36"/>
      <c r="G167" s="36"/>
      <c r="H167" s="52"/>
      <c r="I167" s="52"/>
      <c r="J167" s="52"/>
      <c r="K167" s="52"/>
      <c r="L167" s="14"/>
      <c r="M167" s="53"/>
    </row>
    <row r="168" spans="1:15" ht="12.75" x14ac:dyDescent="0.2">
      <c r="A168" s="121" t="str">
        <f t="shared" si="40"/>
        <v>Sigurimet Shoqërore</v>
      </c>
      <c r="B168" s="1229">
        <f t="shared" si="40"/>
        <v>601</v>
      </c>
      <c r="C168" s="1230">
        <f t="shared" si="40"/>
        <v>0</v>
      </c>
      <c r="D168" s="1231">
        <f t="shared" si="40"/>
        <v>0</v>
      </c>
      <c r="E168" s="36"/>
      <c r="F168" s="36"/>
      <c r="G168" s="36"/>
      <c r="H168" s="52"/>
    </row>
    <row r="169" spans="1:15" ht="12.75" x14ac:dyDescent="0.2">
      <c r="A169" s="121" t="str">
        <f t="shared" si="40"/>
        <v>Mallra dhe shërbime</v>
      </c>
      <c r="B169" s="1229">
        <f t="shared" si="40"/>
        <v>602</v>
      </c>
      <c r="C169" s="1230">
        <f t="shared" si="40"/>
        <v>0</v>
      </c>
      <c r="D169" s="1231">
        <f t="shared" si="40"/>
        <v>0</v>
      </c>
      <c r="E169" s="36"/>
      <c r="F169" s="36"/>
      <c r="G169" s="36"/>
      <c r="H169" s="52"/>
      <c r="I169" s="239" t="str">
        <f>I130</f>
        <v>Angazhimet</v>
      </c>
      <c r="J169" s="1290" t="str">
        <f>J130</f>
        <v>Vlera Totale për Aktivitet</v>
      </c>
      <c r="K169" s="1291"/>
      <c r="L169" s="1292"/>
      <c r="M169" s="126">
        <f>VLOOKUP($A145,'(C5) Angazhimet'!$A$8:$F$168,4,FALSE)</f>
        <v>0</v>
      </c>
      <c r="N169" s="126">
        <f>VLOOKUP($A145,'(C5) Angazhimet'!$A$8:$F$168,5,FALSE)</f>
        <v>0</v>
      </c>
      <c r="O169" s="126">
        <f>VLOOKUP($A145,'(C5) Angazhimet'!$A$8:$F$168,6,FALSE)</f>
        <v>0</v>
      </c>
    </row>
    <row r="170" spans="1:15" ht="12.75" x14ac:dyDescent="0.2">
      <c r="A170" s="121" t="str">
        <f t="shared" si="40"/>
        <v>Subvencione</v>
      </c>
      <c r="B170" s="1229">
        <f t="shared" si="40"/>
        <v>603</v>
      </c>
      <c r="C170" s="1230">
        <f t="shared" si="40"/>
        <v>0</v>
      </c>
      <c r="D170" s="1231">
        <f t="shared" si="40"/>
        <v>0</v>
      </c>
      <c r="E170" s="36"/>
      <c r="F170" s="36"/>
      <c r="G170" s="36"/>
      <c r="H170" s="52"/>
      <c r="I170" s="279" t="str">
        <f>I131</f>
        <v>Qëllime</v>
      </c>
      <c r="J170" s="1290" t="str">
        <f>J131</f>
        <v>Shpenzimet kapitale</v>
      </c>
      <c r="K170" s="1291"/>
      <c r="L170" s="1292"/>
      <c r="M170" s="125"/>
      <c r="N170" s="125"/>
      <c r="O170" s="129"/>
    </row>
    <row r="171" spans="1:15" ht="12.75" x14ac:dyDescent="0.2">
      <c r="A171" s="121" t="str">
        <f t="shared" si="40"/>
        <v>Të tjera transferta korrente të brendshme</v>
      </c>
      <c r="B171" s="1229">
        <f t="shared" si="40"/>
        <v>604</v>
      </c>
      <c r="C171" s="1230">
        <f t="shared" si="40"/>
        <v>0</v>
      </c>
      <c r="D171" s="1231">
        <f t="shared" si="40"/>
        <v>0</v>
      </c>
      <c r="E171" s="36"/>
      <c r="F171" s="36"/>
      <c r="G171" s="36"/>
      <c r="H171" s="52"/>
      <c r="I171" s="276"/>
      <c r="J171" s="1290" t="str">
        <f>J132</f>
        <v>Mallra dhe shërbime</v>
      </c>
      <c r="K171" s="1291"/>
      <c r="L171" s="1292"/>
      <c r="M171" s="125"/>
      <c r="N171" s="125"/>
      <c r="O171" s="129"/>
    </row>
    <row r="172" spans="1:15" ht="12.75" x14ac:dyDescent="0.2">
      <c r="A172" s="121" t="str">
        <f t="shared" si="40"/>
        <v>Transferta korrente të huaja</v>
      </c>
      <c r="B172" s="1229">
        <f t="shared" si="40"/>
        <v>605</v>
      </c>
      <c r="C172" s="1230">
        <f t="shared" si="40"/>
        <v>0</v>
      </c>
      <c r="D172" s="1231">
        <f t="shared" si="40"/>
        <v>0</v>
      </c>
      <c r="E172" s="36"/>
      <c r="F172" s="36"/>
      <c r="G172" s="36"/>
      <c r="H172" s="52"/>
      <c r="I172" s="276"/>
      <c r="J172" s="1290" t="str">
        <f>J133</f>
        <v>Qëllime të mëtejshme</v>
      </c>
      <c r="K172" s="1291"/>
      <c r="L172" s="1292"/>
      <c r="M172" s="125"/>
      <c r="N172" s="125"/>
      <c r="O172" s="129"/>
    </row>
    <row r="173" spans="1:15" ht="12.75" x14ac:dyDescent="0.2">
      <c r="A173" s="121" t="str">
        <f t="shared" si="40"/>
        <v>Transferta për Buxhetet Familiare dhe Individët</v>
      </c>
      <c r="B173" s="1229">
        <f t="shared" si="40"/>
        <v>606</v>
      </c>
      <c r="C173" s="1230">
        <f t="shared" si="40"/>
        <v>0</v>
      </c>
      <c r="D173" s="1231">
        <f t="shared" si="40"/>
        <v>0</v>
      </c>
      <c r="E173" s="36"/>
      <c r="F173" s="36"/>
      <c r="G173" s="36"/>
      <c r="H173" s="52"/>
      <c r="I173" s="276"/>
      <c r="J173" s="1286"/>
      <c r="K173" s="1286"/>
      <c r="L173" s="1286"/>
      <c r="M173" s="300" t="str">
        <f>IF(SUM(M170:M172)=M169,"OK","STOP")</f>
        <v>OK</v>
      </c>
      <c r="N173" s="300" t="str">
        <f>IF(SUM(N170:N172)=N169,"OK","STOP")</f>
        <v>OK</v>
      </c>
      <c r="O173" s="300" t="str">
        <f>IF(SUM(O170:O172)=O169,"OK","STOP")</f>
        <v>OK</v>
      </c>
    </row>
    <row r="174" spans="1:15" ht="12.75" x14ac:dyDescent="0.2">
      <c r="A174" s="564" t="str">
        <f t="shared" si="40"/>
        <v>Shpenzimet kapitale</v>
      </c>
      <c r="B174" s="1256" t="str">
        <f t="shared" si="40"/>
        <v>230 / 231</v>
      </c>
      <c r="C174" s="1257">
        <f t="shared" si="40"/>
        <v>0</v>
      </c>
      <c r="D174" s="1258">
        <f t="shared" si="40"/>
        <v>0</v>
      </c>
      <c r="E174" s="126"/>
      <c r="F174" s="126"/>
      <c r="G174" s="126"/>
      <c r="H174" s="52"/>
      <c r="I174" s="367" t="str">
        <f>I96</f>
        <v>Shpjegimet teknike</v>
      </c>
      <c r="J174" s="10"/>
      <c r="K174" s="10"/>
      <c r="L174" s="10"/>
      <c r="M174" s="10"/>
      <c r="N174" s="10"/>
      <c r="O174" s="10"/>
    </row>
    <row r="175" spans="1:15" ht="12.75" x14ac:dyDescent="0.2">
      <c r="A175" s="121" t="str">
        <f t="shared" si="40"/>
        <v>Rezerva</v>
      </c>
      <c r="B175" s="1229">
        <f t="shared" si="40"/>
        <v>609</v>
      </c>
      <c r="C175" s="1230">
        <f t="shared" si="40"/>
        <v>0</v>
      </c>
      <c r="D175" s="1231">
        <f t="shared" si="40"/>
        <v>0</v>
      </c>
      <c r="E175" s="36"/>
      <c r="F175" s="36"/>
      <c r="G175" s="36"/>
      <c r="H175" s="52"/>
      <c r="I175" s="365">
        <f>M148</f>
        <v>2022</v>
      </c>
      <c r="J175" s="1271"/>
      <c r="K175" s="1272"/>
      <c r="L175" s="1272"/>
      <c r="M175" s="1272"/>
      <c r="N175" s="1272"/>
      <c r="O175" s="1273"/>
    </row>
    <row r="176" spans="1:15" ht="12.75" x14ac:dyDescent="0.2">
      <c r="A176" s="121" t="str">
        <f t="shared" si="40"/>
        <v>Interesa per kredi direkte ose bono</v>
      </c>
      <c r="B176" s="1259">
        <f t="shared" si="40"/>
        <v>650</v>
      </c>
      <c r="C176" s="1260">
        <f t="shared" si="40"/>
        <v>0</v>
      </c>
      <c r="D176" s="1261">
        <f t="shared" si="40"/>
        <v>0</v>
      </c>
      <c r="E176" s="36"/>
      <c r="F176" s="36"/>
      <c r="G176" s="36"/>
      <c r="H176" s="52"/>
      <c r="I176" s="366"/>
      <c r="J176" s="1274"/>
      <c r="K176" s="1275"/>
      <c r="L176" s="1275"/>
      <c r="M176" s="1275"/>
      <c r="N176" s="1275"/>
      <c r="O176" s="1276"/>
    </row>
    <row r="177" spans="1:15" ht="12.75" x14ac:dyDescent="0.2">
      <c r="A177" s="239" t="str">
        <f>A99</f>
        <v>Të tjera</v>
      </c>
      <c r="B177" s="1229" t="str">
        <f>B99</f>
        <v>69 / ?</v>
      </c>
      <c r="C177" s="1230">
        <f>C99</f>
        <v>0</v>
      </c>
      <c r="D177" s="382" t="str">
        <f>IF(OR(E177&lt;0,F177&lt;0,G177&lt;0),"STOP","OK!")</f>
        <v>OK!</v>
      </c>
      <c r="E177" s="127">
        <f>-E165+E150-(SUM(E167:E176))</f>
        <v>0</v>
      </c>
      <c r="F177" s="270">
        <f>-F165+F150-(SUM(F167:F176))</f>
        <v>0</v>
      </c>
      <c r="G177" s="270">
        <f>-G165+G150-(SUM(G167:G176))</f>
        <v>0</v>
      </c>
      <c r="H177" s="52"/>
      <c r="I177" s="365">
        <f>N148</f>
        <v>2023</v>
      </c>
      <c r="J177" s="1271"/>
      <c r="K177" s="1272"/>
      <c r="L177" s="1272"/>
      <c r="M177" s="1272"/>
      <c r="N177" s="1272"/>
      <c r="O177" s="1273"/>
    </row>
    <row r="178" spans="1:15" ht="12.75" x14ac:dyDescent="0.2">
      <c r="A178" s="121" t="str">
        <f>A100</f>
        <v>SHPENZIME KORRENTE</v>
      </c>
      <c r="B178" s="1262"/>
      <c r="C178" s="1263"/>
      <c r="D178" s="1264"/>
      <c r="E178" s="126">
        <f>SUM(E167:E177)</f>
        <v>0</v>
      </c>
      <c r="F178" s="126">
        <f>SUM(F167:F177)</f>
        <v>0</v>
      </c>
      <c r="G178" s="126">
        <f>SUM(G167:G177)</f>
        <v>0</v>
      </c>
      <c r="H178" s="52"/>
      <c r="I178" s="366"/>
      <c r="J178" s="1277"/>
      <c r="K178" s="1278"/>
      <c r="L178" s="1278"/>
      <c r="M178" s="1278"/>
      <c r="N178" s="1278"/>
      <c r="O178" s="1279"/>
    </row>
    <row r="179" spans="1:15" ht="12.75" x14ac:dyDescent="0.2">
      <c r="A179" s="122"/>
      <c r="B179" s="201"/>
      <c r="C179" s="123"/>
      <c r="D179" s="123"/>
      <c r="E179" s="10"/>
      <c r="F179" s="10"/>
      <c r="G179" s="130"/>
      <c r="H179" s="52"/>
      <c r="I179" s="365">
        <f>O148</f>
        <v>2024</v>
      </c>
      <c r="J179" s="1271"/>
      <c r="K179" s="1272"/>
      <c r="L179" s="1272"/>
      <c r="M179" s="1272"/>
      <c r="N179" s="1272"/>
      <c r="O179" s="1273"/>
    </row>
    <row r="180" spans="1:15" ht="12.75" x14ac:dyDescent="0.2">
      <c r="A180" s="134" t="str">
        <f>A102</f>
        <v>SHPENZIME TË PRITSHME</v>
      </c>
      <c r="B180" s="33">
        <f>B150</f>
        <v>0</v>
      </c>
      <c r="C180" s="33">
        <f>C150</f>
        <v>0</v>
      </c>
      <c r="D180" s="33">
        <f>D150</f>
        <v>0</v>
      </c>
      <c r="E180" s="126">
        <f>E165+E178</f>
        <v>0</v>
      </c>
      <c r="F180" s="126">
        <f>F165+F178</f>
        <v>0</v>
      </c>
      <c r="G180" s="126">
        <f>G165+G178</f>
        <v>0</v>
      </c>
      <c r="H180" s="52"/>
      <c r="I180" s="366"/>
      <c r="J180" s="1277"/>
      <c r="K180" s="1278"/>
      <c r="L180" s="1278"/>
      <c r="M180" s="1278"/>
      <c r="N180" s="1278"/>
      <c r="O180" s="1279"/>
    </row>
    <row r="181" spans="1:15" ht="12.75" x14ac:dyDescent="0.2"/>
    <row r="182" spans="1:15" ht="12.75" x14ac:dyDescent="0.2"/>
    <row r="183" spans="1:15" ht="18.75" hidden="1" x14ac:dyDescent="0.2">
      <c r="A183" s="204"/>
      <c r="B183" s="1225"/>
      <c r="C183" s="1225"/>
      <c r="D183" s="1225"/>
      <c r="E183" s="1225"/>
      <c r="F183" s="1225"/>
      <c r="G183" s="1225"/>
      <c r="H183" s="1225"/>
      <c r="I183" s="1225"/>
      <c r="J183" s="1225"/>
      <c r="K183" s="1225"/>
      <c r="L183" s="1225"/>
      <c r="M183" s="1225"/>
      <c r="N183" s="1225"/>
      <c r="O183" s="1225"/>
    </row>
    <row r="184" spans="1:15" ht="18.75" hidden="1" x14ac:dyDescent="0.2">
      <c r="A184" s="262"/>
      <c r="B184" s="1225"/>
      <c r="C184" s="1225"/>
      <c r="D184" s="1225"/>
      <c r="E184" s="1225"/>
      <c r="F184" s="1225"/>
      <c r="G184" s="1225"/>
      <c r="H184" s="1225"/>
      <c r="I184" s="1225"/>
      <c r="J184" s="1225"/>
      <c r="K184" s="1225"/>
      <c r="L184" s="1225"/>
      <c r="M184" s="1225"/>
      <c r="N184" s="1225"/>
      <c r="O184" s="1225"/>
    </row>
    <row r="185" spans="1:15" ht="22.5" hidden="1" customHeight="1" x14ac:dyDescent="0.2">
      <c r="A185" s="1221"/>
      <c r="B185" s="1222"/>
      <c r="C185" s="1222"/>
      <c r="D185" s="1222"/>
      <c r="E185" s="1222"/>
      <c r="F185" s="1222"/>
      <c r="G185" s="1242"/>
      <c r="H185" s="128"/>
      <c r="I185" s="1243"/>
      <c r="J185" s="1222"/>
      <c r="K185" s="1222"/>
      <c r="L185" s="1222"/>
      <c r="M185" s="1222"/>
      <c r="N185" s="1222"/>
      <c r="O185" s="1242"/>
    </row>
    <row r="186" spans="1:15" ht="21.75" hidden="1" customHeight="1" x14ac:dyDescent="0.2">
      <c r="A186" s="202"/>
      <c r="B186" s="363"/>
      <c r="C186" s="363"/>
      <c r="D186" s="363"/>
      <c r="E186" s="238"/>
      <c r="F186" s="238"/>
      <c r="G186" s="238"/>
      <c r="H186" s="203"/>
      <c r="I186" s="360"/>
      <c r="J186" s="363"/>
      <c r="K186" s="363"/>
      <c r="L186" s="363"/>
      <c r="M186" s="238"/>
      <c r="N186" s="238"/>
      <c r="O186" s="238"/>
    </row>
    <row r="187" spans="1:15" ht="12.75" hidden="1" x14ac:dyDescent="0.2">
      <c r="A187" s="377"/>
      <c r="B187" s="370"/>
      <c r="C187" s="303"/>
      <c r="D187" s="304"/>
      <c r="E187" s="378"/>
      <c r="F187" s="378"/>
      <c r="G187" s="379"/>
      <c r="H187" s="128"/>
      <c r="I187" s="302"/>
      <c r="J187" s="1250"/>
      <c r="K187" s="1250"/>
      <c r="L187" s="375"/>
      <c r="M187" s="375"/>
      <c r="N187" s="375"/>
      <c r="O187" s="376"/>
    </row>
    <row r="188" spans="1:15" ht="12.75" hidden="1" x14ac:dyDescent="0.2">
      <c r="A188" s="134"/>
      <c r="B188" s="33"/>
      <c r="C188" s="33"/>
      <c r="D188" s="33"/>
      <c r="E188" s="36"/>
      <c r="F188" s="36"/>
      <c r="G188" s="36"/>
      <c r="H188" s="128"/>
      <c r="I188" s="1226"/>
      <c r="J188" s="1227"/>
      <c r="K188" s="1227"/>
      <c r="L188" s="1227"/>
      <c r="M188" s="1227"/>
      <c r="N188" s="1227"/>
      <c r="O188" s="1228"/>
    </row>
    <row r="189" spans="1:15" ht="12.75" hidden="1" x14ac:dyDescent="0.2">
      <c r="A189" s="122"/>
      <c r="B189" s="201"/>
      <c r="C189" s="123"/>
      <c r="D189" s="123"/>
      <c r="E189" s="10"/>
      <c r="F189" s="10"/>
      <c r="G189" s="130"/>
      <c r="H189" s="10"/>
      <c r="I189" s="134"/>
      <c r="J189" s="34"/>
      <c r="K189" s="34"/>
      <c r="L189" s="34"/>
      <c r="M189" s="36"/>
      <c r="N189" s="36"/>
      <c r="O189" s="36"/>
    </row>
    <row r="190" spans="1:15" ht="12.75" hidden="1" x14ac:dyDescent="0.2">
      <c r="A190" s="1232"/>
      <c r="B190" s="1233"/>
      <c r="C190" s="1233"/>
      <c r="D190" s="1233"/>
      <c r="E190" s="1233"/>
      <c r="F190" s="1233"/>
      <c r="G190" s="1234"/>
      <c r="H190" s="10"/>
    </row>
    <row r="191" spans="1:15" ht="12.75" hidden="1" x14ac:dyDescent="0.2">
      <c r="A191" s="1226"/>
      <c r="B191" s="1227"/>
      <c r="C191" s="1227"/>
      <c r="D191" s="1227"/>
      <c r="E191" s="1227"/>
      <c r="F191" s="1227"/>
      <c r="G191" s="1228"/>
      <c r="H191" s="30"/>
      <c r="I191" s="1226"/>
      <c r="J191" s="1227"/>
      <c r="K191" s="1227"/>
      <c r="L191" s="1227"/>
      <c r="M191" s="1227"/>
      <c r="N191" s="1227"/>
      <c r="O191" s="1228"/>
    </row>
    <row r="192" spans="1:15" ht="12.75" hidden="1" x14ac:dyDescent="0.2">
      <c r="A192" s="121"/>
      <c r="B192" s="1229"/>
      <c r="C192" s="1230"/>
      <c r="D192" s="1231"/>
      <c r="E192" s="36"/>
      <c r="F192" s="36"/>
      <c r="G192" s="36"/>
      <c r="H192" s="30"/>
      <c r="I192" s="339"/>
      <c r="J192" s="336"/>
      <c r="K192" s="338"/>
      <c r="L192" s="337"/>
      <c r="M192" s="125"/>
      <c r="N192" s="125"/>
      <c r="O192" s="129"/>
    </row>
    <row r="193" spans="1:15" ht="12.75" hidden="1" x14ac:dyDescent="0.2">
      <c r="A193" s="121"/>
      <c r="B193" s="1229"/>
      <c r="C193" s="1230"/>
      <c r="D193" s="1231"/>
      <c r="E193" s="36"/>
      <c r="F193" s="36"/>
      <c r="G193" s="36"/>
      <c r="H193" s="30"/>
      <c r="I193" s="339"/>
      <c r="J193" s="336"/>
      <c r="K193" s="338"/>
      <c r="L193" s="337"/>
      <c r="M193" s="125"/>
      <c r="N193" s="125"/>
      <c r="O193" s="129"/>
    </row>
    <row r="194" spans="1:15" ht="12.75" hidden="1" x14ac:dyDescent="0.2">
      <c r="A194" s="121"/>
      <c r="B194" s="1229"/>
      <c r="C194" s="1230"/>
      <c r="D194" s="1231"/>
      <c r="E194" s="36"/>
      <c r="F194" s="36"/>
      <c r="G194" s="36"/>
      <c r="H194" s="52"/>
      <c r="I194" s="339"/>
      <c r="J194" s="336"/>
      <c r="K194" s="338"/>
      <c r="L194" s="337"/>
      <c r="M194" s="264"/>
      <c r="N194" s="479"/>
      <c r="O194" s="479"/>
    </row>
    <row r="195" spans="1:15" ht="12.75" hidden="1" x14ac:dyDescent="0.2">
      <c r="A195" s="121"/>
      <c r="B195" s="1229"/>
      <c r="C195" s="1230"/>
      <c r="D195" s="1231"/>
      <c r="E195" s="36"/>
      <c r="F195" s="36"/>
      <c r="G195" s="36"/>
      <c r="H195" s="8"/>
      <c r="I195" s="339"/>
      <c r="J195" s="336"/>
      <c r="K195" s="338"/>
      <c r="L195" s="337"/>
      <c r="M195" s="125"/>
      <c r="N195" s="125"/>
      <c r="O195" s="129"/>
    </row>
    <row r="196" spans="1:15" ht="12.75" hidden="1" x14ac:dyDescent="0.2">
      <c r="A196" s="121"/>
      <c r="B196" s="1229"/>
      <c r="C196" s="1230"/>
      <c r="D196" s="1231"/>
      <c r="E196" s="36"/>
      <c r="F196" s="36"/>
      <c r="G196" s="36"/>
      <c r="H196" s="52"/>
      <c r="I196" s="339"/>
      <c r="J196" s="34"/>
      <c r="K196" s="34"/>
      <c r="L196" s="34"/>
      <c r="M196" s="126"/>
      <c r="N196" s="126"/>
      <c r="O196" s="126"/>
    </row>
    <row r="197" spans="1:15" ht="12.75" hidden="1" x14ac:dyDescent="0.2">
      <c r="A197" s="121"/>
      <c r="B197" s="1229"/>
      <c r="C197" s="1230"/>
      <c r="D197" s="1231"/>
      <c r="E197" s="36"/>
      <c r="F197" s="36"/>
      <c r="G197" s="36"/>
      <c r="H197" s="52"/>
    </row>
    <row r="198" spans="1:15" ht="12.75" hidden="1" x14ac:dyDescent="0.2">
      <c r="A198" s="121"/>
      <c r="B198" s="1229"/>
      <c r="C198" s="1230"/>
      <c r="D198" s="1231"/>
      <c r="E198" s="36"/>
      <c r="F198" s="36"/>
      <c r="G198" s="36"/>
      <c r="H198" s="52"/>
      <c r="I198" s="134"/>
      <c r="J198" s="33"/>
      <c r="K198" s="33"/>
      <c r="L198" s="33"/>
      <c r="M198" s="126"/>
      <c r="N198" s="126"/>
      <c r="O198" s="126"/>
    </row>
    <row r="199" spans="1:15" ht="12.75" hidden="1" x14ac:dyDescent="0.2">
      <c r="A199" s="121"/>
      <c r="B199" s="1229"/>
      <c r="C199" s="1230"/>
      <c r="D199" s="1231"/>
      <c r="E199" s="36"/>
      <c r="F199" s="36"/>
      <c r="G199" s="36"/>
      <c r="H199" s="52"/>
    </row>
    <row r="200" spans="1:15" ht="12.75" hidden="1" x14ac:dyDescent="0.2">
      <c r="A200" s="121"/>
      <c r="B200" s="1229"/>
      <c r="C200" s="1230"/>
      <c r="D200" s="1231"/>
      <c r="E200" s="36"/>
      <c r="F200" s="36"/>
      <c r="G200" s="36"/>
      <c r="H200" s="52"/>
    </row>
    <row r="201" spans="1:15" ht="12.75" hidden="1" x14ac:dyDescent="0.2">
      <c r="A201" s="121"/>
      <c r="B201" s="1229"/>
      <c r="C201" s="1230"/>
      <c r="D201" s="1231"/>
      <c r="E201" s="36"/>
      <c r="F201" s="36"/>
      <c r="G201" s="36"/>
      <c r="H201" s="52"/>
    </row>
    <row r="202" spans="1:15" ht="12.75" hidden="1" x14ac:dyDescent="0.2">
      <c r="A202" s="121"/>
      <c r="B202" s="1229"/>
      <c r="C202" s="1230"/>
      <c r="D202" s="1231"/>
      <c r="E202" s="36"/>
      <c r="F202" s="36"/>
      <c r="G202" s="36"/>
      <c r="H202" s="52"/>
      <c r="I202" s="1235"/>
      <c r="J202" s="1236"/>
      <c r="K202" s="1236"/>
      <c r="L202" s="1236"/>
      <c r="M202" s="1236"/>
      <c r="N202" s="1236"/>
      <c r="O202" s="1237"/>
    </row>
    <row r="203" spans="1:15" ht="12.75" hidden="1" customHeight="1" x14ac:dyDescent="0.2">
      <c r="A203" s="268"/>
      <c r="B203" s="1229"/>
      <c r="C203" s="1230"/>
      <c r="D203" s="1231"/>
      <c r="E203" s="126"/>
      <c r="F203" s="126"/>
      <c r="G203" s="126"/>
      <c r="H203" s="52"/>
      <c r="I203" s="1238"/>
      <c r="J203" s="1239"/>
      <c r="K203" s="1239"/>
      <c r="L203" s="1239"/>
      <c r="M203" s="1239"/>
      <c r="N203" s="1239"/>
      <c r="O203" s="1240"/>
    </row>
    <row r="204" spans="1:15" ht="12.75" hidden="1" x14ac:dyDescent="0.2">
      <c r="A204" s="1226"/>
      <c r="B204" s="1227"/>
      <c r="C204" s="1227"/>
      <c r="D204" s="1227"/>
      <c r="E204" s="1227"/>
      <c r="F204" s="1227"/>
      <c r="G204" s="1228"/>
      <c r="H204" s="52"/>
      <c r="I204" s="17"/>
      <c r="J204" s="18"/>
      <c r="K204" s="18"/>
      <c r="L204" s="18"/>
      <c r="M204" s="18"/>
      <c r="N204" s="18"/>
      <c r="O204" s="18"/>
    </row>
    <row r="205" spans="1:15" ht="12.75" hidden="1" x14ac:dyDescent="0.2">
      <c r="A205" s="121"/>
      <c r="B205" s="1229"/>
      <c r="C205" s="1230"/>
      <c r="D205" s="1231"/>
      <c r="E205" s="36"/>
      <c r="F205" s="36"/>
      <c r="G205" s="36"/>
      <c r="H205" s="52"/>
      <c r="I205" s="52"/>
      <c r="J205" s="52"/>
      <c r="K205" s="52"/>
      <c r="L205" s="14"/>
      <c r="M205" s="53"/>
    </row>
    <row r="206" spans="1:15" ht="12.75" hidden="1" x14ac:dyDescent="0.2">
      <c r="A206" s="121"/>
      <c r="B206" s="1229"/>
      <c r="C206" s="1230"/>
      <c r="D206" s="1231"/>
      <c r="E206" s="36"/>
      <c r="F206" s="36"/>
      <c r="G206" s="36"/>
      <c r="H206" s="52"/>
    </row>
    <row r="207" spans="1:15" ht="12.75" hidden="1" x14ac:dyDescent="0.2">
      <c r="A207" s="121"/>
      <c r="B207" s="1229"/>
      <c r="C207" s="1230"/>
      <c r="D207" s="1231"/>
      <c r="E207" s="36"/>
      <c r="F207" s="36"/>
      <c r="G207" s="36"/>
      <c r="H207" s="52"/>
      <c r="I207" s="239"/>
      <c r="J207" s="1290"/>
      <c r="K207" s="1291"/>
      <c r="L207" s="1292"/>
      <c r="M207" s="126"/>
      <c r="N207" s="126"/>
      <c r="O207" s="126"/>
    </row>
    <row r="208" spans="1:15" ht="12.75" hidden="1" x14ac:dyDescent="0.2">
      <c r="A208" s="121"/>
      <c r="B208" s="1229"/>
      <c r="C208" s="1230"/>
      <c r="D208" s="1231"/>
      <c r="E208" s="36"/>
      <c r="F208" s="36"/>
      <c r="G208" s="36"/>
      <c r="H208" s="52"/>
      <c r="I208" s="279"/>
      <c r="J208" s="1290"/>
      <c r="K208" s="1291"/>
      <c r="L208" s="1292"/>
      <c r="M208" s="125"/>
      <c r="N208" s="125"/>
      <c r="O208" s="129"/>
    </row>
    <row r="209" spans="1:15" ht="12.75" hidden="1" x14ac:dyDescent="0.2">
      <c r="A209" s="121"/>
      <c r="B209" s="1229"/>
      <c r="C209" s="1230"/>
      <c r="D209" s="1231"/>
      <c r="E209" s="36"/>
      <c r="F209" s="36"/>
      <c r="G209" s="36"/>
      <c r="H209" s="52"/>
      <c r="I209" s="276"/>
      <c r="J209" s="1290"/>
      <c r="K209" s="1291"/>
      <c r="L209" s="1292"/>
      <c r="M209" s="125"/>
      <c r="N209" s="125"/>
      <c r="O209" s="129"/>
    </row>
    <row r="210" spans="1:15" ht="12.75" hidden="1" x14ac:dyDescent="0.2">
      <c r="A210" s="121"/>
      <c r="B210" s="1229"/>
      <c r="C210" s="1230"/>
      <c r="D210" s="1231"/>
      <c r="E210" s="36"/>
      <c r="F210" s="36"/>
      <c r="G210" s="36"/>
      <c r="H210" s="52"/>
      <c r="I210" s="276"/>
      <c r="J210" s="1290"/>
      <c r="K210" s="1291"/>
      <c r="L210" s="1292"/>
      <c r="M210" s="125"/>
      <c r="N210" s="125"/>
      <c r="O210" s="129"/>
    </row>
    <row r="211" spans="1:15" ht="12.75" hidden="1" x14ac:dyDescent="0.2">
      <c r="A211" s="121"/>
      <c r="B211" s="1229"/>
      <c r="C211" s="1230"/>
      <c r="D211" s="1231"/>
      <c r="E211" s="36"/>
      <c r="F211" s="36"/>
      <c r="G211" s="36"/>
      <c r="H211" s="52"/>
      <c r="I211" s="276"/>
      <c r="J211" s="1286"/>
      <c r="K211" s="1286"/>
      <c r="L211" s="1286"/>
      <c r="M211" s="300" t="str">
        <f>IF(SUM(M208:M210)=M207,"OK","STOP")</f>
        <v>OK</v>
      </c>
      <c r="N211" s="300" t="str">
        <f>IF(SUM(N208:N210)=N207,"OK","STOP")</f>
        <v>OK</v>
      </c>
      <c r="O211" s="300" t="str">
        <f>IF(SUM(O208:O210)=O207,"OK","STOP")</f>
        <v>OK</v>
      </c>
    </row>
    <row r="212" spans="1:15" ht="12.75" hidden="1" x14ac:dyDescent="0.2">
      <c r="A212" s="121"/>
      <c r="B212" s="1229"/>
      <c r="C212" s="1230"/>
      <c r="D212" s="1231"/>
      <c r="E212" s="126"/>
      <c r="F212" s="126"/>
      <c r="G212" s="126"/>
      <c r="H212" s="52"/>
      <c r="I212" s="367" t="str">
        <f>I96</f>
        <v>Shpjegimet teknike</v>
      </c>
      <c r="J212" s="10"/>
      <c r="K212" s="10"/>
      <c r="L212" s="10"/>
      <c r="M212" s="10"/>
      <c r="N212" s="10"/>
      <c r="O212" s="10"/>
    </row>
    <row r="213" spans="1:15" ht="12.75" hidden="1" x14ac:dyDescent="0.2">
      <c r="A213" s="564"/>
      <c r="B213" s="1256"/>
      <c r="C213" s="1257"/>
      <c r="D213" s="1258"/>
      <c r="E213" s="36"/>
      <c r="F213" s="36"/>
      <c r="G213" s="36"/>
      <c r="H213" s="52"/>
      <c r="I213" s="365">
        <f>M186</f>
        <v>0</v>
      </c>
      <c r="J213" s="1271"/>
      <c r="K213" s="1272"/>
      <c r="L213" s="1272"/>
      <c r="M213" s="1272"/>
      <c r="N213" s="1272"/>
      <c r="O213" s="1273"/>
    </row>
    <row r="214" spans="1:15" ht="12.75" hidden="1" x14ac:dyDescent="0.2">
      <c r="A214" s="121"/>
      <c r="B214" s="1259"/>
      <c r="C214" s="1260"/>
      <c r="D214" s="1261"/>
      <c r="E214" s="36"/>
      <c r="F214" s="36"/>
      <c r="G214" s="36"/>
      <c r="H214" s="52"/>
      <c r="I214" s="366"/>
      <c r="J214" s="1274"/>
      <c r="K214" s="1275"/>
      <c r="L214" s="1275"/>
      <c r="M214" s="1275"/>
      <c r="N214" s="1275"/>
      <c r="O214" s="1276"/>
    </row>
    <row r="215" spans="1:15" ht="12.75" hidden="1" x14ac:dyDescent="0.2">
      <c r="A215" s="239"/>
      <c r="B215" s="1229"/>
      <c r="C215" s="1230"/>
      <c r="D215" s="273"/>
      <c r="E215" s="270"/>
      <c r="F215" s="270"/>
      <c r="G215" s="270"/>
      <c r="H215" s="52"/>
      <c r="I215" s="365">
        <f>N186</f>
        <v>0</v>
      </c>
      <c r="J215" s="1271"/>
      <c r="K215" s="1272"/>
      <c r="L215" s="1272"/>
      <c r="M215" s="1272"/>
      <c r="N215" s="1272"/>
      <c r="O215" s="1273"/>
    </row>
    <row r="216" spans="1:15" ht="12.75" hidden="1" x14ac:dyDescent="0.2">
      <c r="A216" s="121"/>
      <c r="B216" s="1262"/>
      <c r="C216" s="1263"/>
      <c r="D216" s="1264"/>
      <c r="E216" s="126"/>
      <c r="F216" s="126"/>
      <c r="G216" s="126"/>
      <c r="H216" s="52"/>
      <c r="I216" s="366"/>
      <c r="J216" s="1277"/>
      <c r="K216" s="1278"/>
      <c r="L216" s="1278"/>
      <c r="M216" s="1278"/>
      <c r="N216" s="1278"/>
      <c r="O216" s="1279"/>
    </row>
    <row r="217" spans="1:15" ht="12.75" hidden="1" x14ac:dyDescent="0.2">
      <c r="A217" s="122"/>
      <c r="B217" s="201"/>
      <c r="C217" s="123"/>
      <c r="D217" s="123"/>
      <c r="E217" s="10"/>
      <c r="F217" s="10"/>
      <c r="G217" s="130"/>
      <c r="H217" s="52"/>
      <c r="I217" s="365">
        <f>O186</f>
        <v>0</v>
      </c>
      <c r="J217" s="1271"/>
      <c r="K217" s="1272"/>
      <c r="L217" s="1272"/>
      <c r="M217" s="1272"/>
      <c r="N217" s="1272"/>
      <c r="O217" s="1273"/>
    </row>
    <row r="218" spans="1:15" ht="12.75" hidden="1" x14ac:dyDescent="0.2">
      <c r="A218" s="134"/>
      <c r="B218" s="33"/>
      <c r="C218" s="33"/>
      <c r="D218" s="33"/>
      <c r="E218" s="126"/>
      <c r="F218" s="126"/>
      <c r="G218" s="126"/>
      <c r="H218" s="52"/>
      <c r="I218" s="366"/>
      <c r="J218" s="1277"/>
      <c r="K218" s="1278"/>
      <c r="L218" s="1278"/>
      <c r="M218" s="1278"/>
      <c r="N218" s="1278"/>
      <c r="O218" s="1279"/>
    </row>
    <row r="219" spans="1:15" ht="17.25" hidden="1" customHeight="1" x14ac:dyDescent="0.2"/>
    <row r="220" spans="1:15" ht="17.25" hidden="1" customHeight="1" x14ac:dyDescent="0.2"/>
    <row r="221" spans="1:15" ht="17.25" hidden="1" customHeight="1" x14ac:dyDescent="0.2">
      <c r="A221" s="204"/>
      <c r="B221" s="1225"/>
      <c r="C221" s="1225"/>
      <c r="D221" s="1225"/>
      <c r="E221" s="1225"/>
      <c r="F221" s="1225"/>
      <c r="G221" s="1225"/>
      <c r="H221" s="1225"/>
      <c r="I221" s="1225"/>
      <c r="J221" s="1225"/>
      <c r="K221" s="1225"/>
      <c r="L221" s="1225"/>
      <c r="M221" s="1225"/>
      <c r="N221" s="1225"/>
      <c r="O221" s="1225"/>
    </row>
    <row r="222" spans="1:15" ht="17.25" hidden="1" customHeight="1" x14ac:dyDescent="0.2">
      <c r="A222" s="262"/>
      <c r="B222" s="1225"/>
      <c r="C222" s="1225"/>
      <c r="D222" s="1225"/>
      <c r="E222" s="1225"/>
      <c r="F222" s="1225"/>
      <c r="G222" s="1225"/>
      <c r="H222" s="1225"/>
      <c r="I222" s="1225"/>
      <c r="J222" s="1225"/>
      <c r="K222" s="1225"/>
      <c r="L222" s="1225"/>
      <c r="M222" s="1225"/>
      <c r="N222" s="1225"/>
      <c r="O222" s="1225"/>
    </row>
    <row r="223" spans="1:15" ht="21.75" hidden="1" customHeight="1" x14ac:dyDescent="0.2">
      <c r="A223" s="1221"/>
      <c r="B223" s="1222"/>
      <c r="C223" s="1222"/>
      <c r="D223" s="1222"/>
      <c r="E223" s="1222"/>
      <c r="F223" s="1222"/>
      <c r="G223" s="1242"/>
      <c r="H223" s="128"/>
      <c r="I223" s="1243"/>
      <c r="J223" s="1222"/>
      <c r="K223" s="1222"/>
      <c r="L223" s="1222"/>
      <c r="M223" s="1222"/>
      <c r="N223" s="1222"/>
      <c r="O223" s="1242"/>
    </row>
    <row r="224" spans="1:15" ht="18.75" hidden="1" customHeight="1" x14ac:dyDescent="0.2">
      <c r="A224" s="202"/>
      <c r="B224" s="363"/>
      <c r="C224" s="363"/>
      <c r="D224" s="363"/>
      <c r="E224" s="238"/>
      <c r="F224" s="238"/>
      <c r="G224" s="238"/>
      <c r="H224" s="203"/>
      <c r="I224" s="360"/>
      <c r="J224" s="363"/>
      <c r="K224" s="363"/>
      <c r="L224" s="363"/>
      <c r="M224" s="238"/>
      <c r="N224" s="238"/>
      <c r="O224" s="238"/>
    </row>
    <row r="225" spans="1:15" ht="12.75" hidden="1" x14ac:dyDescent="0.2">
      <c r="A225" s="380"/>
      <c r="B225" s="200"/>
      <c r="C225" s="368"/>
      <c r="D225" s="281"/>
      <c r="E225" s="8"/>
      <c r="F225" s="8"/>
      <c r="G225" s="381"/>
      <c r="H225" s="128"/>
      <c r="I225" s="369"/>
      <c r="J225" s="305"/>
      <c r="K225" s="305"/>
      <c r="L225" s="305"/>
      <c r="M225" s="305"/>
      <c r="N225" s="305"/>
      <c r="O225" s="306"/>
    </row>
    <row r="226" spans="1:15" ht="12.75" hidden="1" x14ac:dyDescent="0.2">
      <c r="A226" s="134"/>
      <c r="B226" s="33"/>
      <c r="C226" s="33"/>
      <c r="D226" s="33"/>
      <c r="E226" s="36"/>
      <c r="F226" s="36"/>
      <c r="G226" s="36"/>
      <c r="H226" s="128"/>
      <c r="I226" s="1226"/>
      <c r="J226" s="1227"/>
      <c r="K226" s="1227"/>
      <c r="L226" s="1227"/>
      <c r="M226" s="1227"/>
      <c r="N226" s="1227"/>
      <c r="O226" s="1228"/>
    </row>
    <row r="227" spans="1:15" ht="12.75" hidden="1" x14ac:dyDescent="0.2">
      <c r="A227" s="122"/>
      <c r="B227" s="201"/>
      <c r="C227" s="123"/>
      <c r="D227" s="123"/>
      <c r="E227" s="10"/>
      <c r="F227" s="10"/>
      <c r="G227" s="130"/>
      <c r="H227" s="10"/>
      <c r="I227" s="134"/>
      <c r="J227" s="34"/>
      <c r="K227" s="34"/>
      <c r="L227" s="34"/>
      <c r="M227" s="36"/>
      <c r="N227" s="36"/>
      <c r="O227" s="36"/>
    </row>
    <row r="228" spans="1:15" ht="12.75" hidden="1" x14ac:dyDescent="0.2">
      <c r="A228" s="1232"/>
      <c r="B228" s="1233"/>
      <c r="C228" s="1233"/>
      <c r="D228" s="1233"/>
      <c r="E228" s="1233"/>
      <c r="F228" s="1233"/>
      <c r="G228" s="1234"/>
      <c r="H228" s="10"/>
    </row>
    <row r="229" spans="1:15" ht="12.75" hidden="1" x14ac:dyDescent="0.2">
      <c r="A229" s="1226"/>
      <c r="B229" s="1227"/>
      <c r="C229" s="1227"/>
      <c r="D229" s="1227"/>
      <c r="E229" s="1227"/>
      <c r="F229" s="1227"/>
      <c r="G229" s="1228"/>
      <c r="H229" s="30"/>
      <c r="I229" s="1226"/>
      <c r="J229" s="1227"/>
      <c r="K229" s="1227"/>
      <c r="L229" s="1227"/>
      <c r="M229" s="1227"/>
      <c r="N229" s="1227"/>
      <c r="O229" s="1228"/>
    </row>
    <row r="230" spans="1:15" ht="12.75" hidden="1" x14ac:dyDescent="0.2">
      <c r="A230" s="121"/>
      <c r="B230" s="1229"/>
      <c r="C230" s="1230"/>
      <c r="D230" s="1231"/>
      <c r="E230" s="36"/>
      <c r="F230" s="36"/>
      <c r="G230" s="36"/>
      <c r="H230" s="30"/>
      <c r="I230" s="339"/>
      <c r="J230" s="336"/>
      <c r="K230" s="338"/>
      <c r="L230" s="337"/>
      <c r="M230" s="125"/>
      <c r="N230" s="125"/>
      <c r="O230" s="129"/>
    </row>
    <row r="231" spans="1:15" ht="12.75" hidden="1" x14ac:dyDescent="0.2">
      <c r="A231" s="121"/>
      <c r="B231" s="1229"/>
      <c r="C231" s="1230"/>
      <c r="D231" s="1231"/>
      <c r="E231" s="36"/>
      <c r="F231" s="36"/>
      <c r="G231" s="36"/>
      <c r="H231" s="30"/>
      <c r="I231" s="339"/>
      <c r="J231" s="336"/>
      <c r="K231" s="338"/>
      <c r="L231" s="337"/>
      <c r="M231" s="125"/>
      <c r="N231" s="125"/>
      <c r="O231" s="129"/>
    </row>
    <row r="232" spans="1:15" ht="12.75" hidden="1" x14ac:dyDescent="0.2">
      <c r="A232" s="121"/>
      <c r="B232" s="1229"/>
      <c r="C232" s="1230"/>
      <c r="D232" s="1231"/>
      <c r="E232" s="36"/>
      <c r="F232" s="36"/>
      <c r="G232" s="36"/>
      <c r="H232" s="52"/>
      <c r="I232" s="339"/>
      <c r="J232" s="336"/>
      <c r="K232" s="338"/>
      <c r="L232" s="337"/>
      <c r="M232" s="264"/>
      <c r="N232" s="479"/>
      <c r="O232" s="481"/>
    </row>
    <row r="233" spans="1:15" ht="12.75" hidden="1" x14ac:dyDescent="0.2">
      <c r="A233" s="121"/>
      <c r="B233" s="1229"/>
      <c r="C233" s="1230"/>
      <c r="D233" s="1231"/>
      <c r="E233" s="36"/>
      <c r="F233" s="36"/>
      <c r="G233" s="36"/>
      <c r="H233" s="8"/>
      <c r="I233" s="339"/>
      <c r="J233" s="336"/>
      <c r="K233" s="338"/>
      <c r="L233" s="337"/>
      <c r="M233" s="125"/>
      <c r="N233" s="125"/>
      <c r="O233" s="129"/>
    </row>
    <row r="234" spans="1:15" ht="12.75" hidden="1" x14ac:dyDescent="0.2">
      <c r="A234" s="121"/>
      <c r="B234" s="1229"/>
      <c r="C234" s="1230"/>
      <c r="D234" s="1231"/>
      <c r="E234" s="36"/>
      <c r="F234" s="36"/>
      <c r="G234" s="36"/>
      <c r="H234" s="52"/>
      <c r="I234" s="339"/>
      <c r="J234" s="34"/>
      <c r="K234" s="34"/>
      <c r="L234" s="34"/>
      <c r="M234" s="126"/>
      <c r="N234" s="126"/>
      <c r="O234" s="126"/>
    </row>
    <row r="235" spans="1:15" ht="12.75" hidden="1" x14ac:dyDescent="0.2">
      <c r="A235" s="121"/>
      <c r="B235" s="1229"/>
      <c r="C235" s="1230"/>
      <c r="D235" s="1231"/>
      <c r="E235" s="36"/>
      <c r="F235" s="36"/>
      <c r="G235" s="36"/>
      <c r="H235" s="52"/>
    </row>
    <row r="236" spans="1:15" ht="12.75" hidden="1" x14ac:dyDescent="0.2">
      <c r="A236" s="121"/>
      <c r="B236" s="1229"/>
      <c r="C236" s="1230"/>
      <c r="D236" s="1231"/>
      <c r="E236" s="36"/>
      <c r="F236" s="36"/>
      <c r="G236" s="36"/>
      <c r="H236" s="52"/>
      <c r="I236" s="134"/>
      <c r="J236" s="33"/>
      <c r="K236" s="33"/>
      <c r="L236" s="33"/>
      <c r="M236" s="126"/>
      <c r="N236" s="126"/>
      <c r="O236" s="126"/>
    </row>
    <row r="237" spans="1:15" ht="12.75" hidden="1" x14ac:dyDescent="0.2">
      <c r="A237" s="121"/>
      <c r="B237" s="1229"/>
      <c r="C237" s="1230"/>
      <c r="D237" s="1231"/>
      <c r="E237" s="36"/>
      <c r="F237" s="36"/>
      <c r="G237" s="36"/>
      <c r="H237" s="52"/>
    </row>
    <row r="238" spans="1:15" ht="12.75" hidden="1" x14ac:dyDescent="0.2">
      <c r="A238" s="121"/>
      <c r="B238" s="1229"/>
      <c r="C238" s="1230"/>
      <c r="D238" s="1231"/>
      <c r="E238" s="36"/>
      <c r="F238" s="36"/>
      <c r="G238" s="36"/>
      <c r="H238" s="52"/>
    </row>
    <row r="239" spans="1:15" ht="12.75" hidden="1" x14ac:dyDescent="0.2">
      <c r="A239" s="121"/>
      <c r="B239" s="1229"/>
      <c r="C239" s="1230"/>
      <c r="D239" s="1231"/>
      <c r="E239" s="36"/>
      <c r="F239" s="36"/>
      <c r="G239" s="36"/>
      <c r="H239" s="52"/>
    </row>
    <row r="240" spans="1:15" ht="12.75" hidden="1" x14ac:dyDescent="0.2">
      <c r="A240" s="121"/>
      <c r="B240" s="1229"/>
      <c r="C240" s="1230"/>
      <c r="D240" s="1231"/>
      <c r="E240" s="36"/>
      <c r="F240" s="36"/>
      <c r="G240" s="36"/>
      <c r="H240" s="52"/>
      <c r="I240" s="1235"/>
      <c r="J240" s="1236"/>
      <c r="K240" s="1236"/>
      <c r="L240" s="1236"/>
      <c r="M240" s="1236"/>
      <c r="N240" s="1236"/>
      <c r="O240" s="1237"/>
    </row>
    <row r="241" spans="1:15" ht="12.75" hidden="1" customHeight="1" x14ac:dyDescent="0.2">
      <c r="A241" s="268"/>
      <c r="B241" s="1229"/>
      <c r="C241" s="1230"/>
      <c r="D241" s="1231"/>
      <c r="E241" s="126"/>
      <c r="F241" s="126"/>
      <c r="G241" s="126"/>
      <c r="H241" s="52"/>
      <c r="I241" s="1238"/>
      <c r="J241" s="1239"/>
      <c r="K241" s="1239"/>
      <c r="L241" s="1239"/>
      <c r="M241" s="1239"/>
      <c r="N241" s="1239"/>
      <c r="O241" s="1240"/>
    </row>
    <row r="242" spans="1:15" ht="12.75" hidden="1" x14ac:dyDescent="0.2">
      <c r="A242" s="1226"/>
      <c r="B242" s="1227"/>
      <c r="C242" s="1227"/>
      <c r="D242" s="1227"/>
      <c r="E242" s="1227"/>
      <c r="F242" s="1227"/>
      <c r="G242" s="1228"/>
      <c r="H242" s="52"/>
      <c r="I242" s="17"/>
      <c r="J242" s="18"/>
      <c r="K242" s="18"/>
      <c r="L242" s="18"/>
      <c r="M242" s="18"/>
      <c r="N242" s="18"/>
      <c r="O242" s="18"/>
    </row>
    <row r="243" spans="1:15" ht="12.75" hidden="1" x14ac:dyDescent="0.2">
      <c r="A243" s="121"/>
      <c r="B243" s="1229"/>
      <c r="C243" s="1230"/>
      <c r="D243" s="1231"/>
      <c r="E243" s="36"/>
      <c r="F243" s="36"/>
      <c r="G243" s="36"/>
      <c r="H243" s="52"/>
      <c r="I243" s="52"/>
      <c r="J243" s="52"/>
      <c r="K243" s="52"/>
      <c r="L243" s="14"/>
      <c r="M243" s="53"/>
    </row>
    <row r="244" spans="1:15" ht="12.75" hidden="1" x14ac:dyDescent="0.2">
      <c r="A244" s="121"/>
      <c r="B244" s="1229"/>
      <c r="C244" s="1230"/>
      <c r="D244" s="1231"/>
      <c r="E244" s="36"/>
      <c r="F244" s="36"/>
      <c r="G244" s="36"/>
      <c r="H244" s="52"/>
    </row>
    <row r="245" spans="1:15" ht="12.75" hidden="1" x14ac:dyDescent="0.2">
      <c r="A245" s="121"/>
      <c r="B245" s="1229"/>
      <c r="C245" s="1230"/>
      <c r="D245" s="1231"/>
      <c r="E245" s="36"/>
      <c r="F245" s="36"/>
      <c r="G245" s="36"/>
      <c r="H245" s="52"/>
      <c r="I245" s="239"/>
      <c r="J245" s="1290"/>
      <c r="K245" s="1291"/>
      <c r="L245" s="1292"/>
      <c r="M245" s="126"/>
      <c r="N245" s="126"/>
      <c r="O245" s="126"/>
    </row>
    <row r="246" spans="1:15" ht="12.75" hidden="1" x14ac:dyDescent="0.2">
      <c r="A246" s="121"/>
      <c r="B246" s="1229"/>
      <c r="C246" s="1230"/>
      <c r="D246" s="1231"/>
      <c r="E246" s="36"/>
      <c r="F246" s="36"/>
      <c r="G246" s="36"/>
      <c r="H246" s="52"/>
      <c r="I246" s="279"/>
      <c r="J246" s="1290"/>
      <c r="K246" s="1291"/>
      <c r="L246" s="1292"/>
      <c r="M246" s="125"/>
      <c r="N246" s="125"/>
      <c r="O246" s="129"/>
    </row>
    <row r="247" spans="1:15" ht="12.75" hidden="1" x14ac:dyDescent="0.2">
      <c r="A247" s="121"/>
      <c r="B247" s="1229"/>
      <c r="C247" s="1230"/>
      <c r="D247" s="1231"/>
      <c r="E247" s="36"/>
      <c r="F247" s="36"/>
      <c r="G247" s="36"/>
      <c r="H247" s="52"/>
      <c r="I247" s="276"/>
      <c r="J247" s="1290"/>
      <c r="K247" s="1291"/>
      <c r="L247" s="1292"/>
      <c r="M247" s="125"/>
      <c r="N247" s="125"/>
      <c r="O247" s="129"/>
    </row>
    <row r="248" spans="1:15" ht="12.75" hidden="1" x14ac:dyDescent="0.2">
      <c r="A248" s="121"/>
      <c r="B248" s="1229"/>
      <c r="C248" s="1230"/>
      <c r="D248" s="1231"/>
      <c r="E248" s="36"/>
      <c r="F248" s="36"/>
      <c r="G248" s="36"/>
      <c r="H248" s="52"/>
      <c r="I248" s="276"/>
      <c r="J248" s="1290"/>
      <c r="K248" s="1291"/>
      <c r="L248" s="1292"/>
      <c r="M248" s="125"/>
      <c r="N248" s="125"/>
      <c r="O248" s="129"/>
    </row>
    <row r="249" spans="1:15" ht="12.75" hidden="1" x14ac:dyDescent="0.2">
      <c r="A249" s="121"/>
      <c r="B249" s="1229"/>
      <c r="C249" s="1230"/>
      <c r="D249" s="1231"/>
      <c r="E249" s="36"/>
      <c r="F249" s="36"/>
      <c r="G249" s="36"/>
      <c r="H249" s="52"/>
      <c r="I249" s="276"/>
      <c r="J249" s="1286"/>
      <c r="K249" s="1286"/>
      <c r="L249" s="1286"/>
      <c r="M249" s="300" t="str">
        <f>IF(SUM(M246:M248)=M245,"OK","STOP")</f>
        <v>OK</v>
      </c>
      <c r="N249" s="300" t="str">
        <f>IF(SUM(N246:N248)=N245,"OK","STOP")</f>
        <v>OK</v>
      </c>
      <c r="O249" s="300" t="str">
        <f>IF(SUM(O246:O248)=O245,"OK","STOP")</f>
        <v>OK</v>
      </c>
    </row>
    <row r="250" spans="1:15" ht="12.75" hidden="1" x14ac:dyDescent="0.2">
      <c r="A250" s="121"/>
      <c r="B250" s="1229"/>
      <c r="C250" s="1230"/>
      <c r="D250" s="1231"/>
      <c r="E250" s="126"/>
      <c r="F250" s="126"/>
      <c r="G250" s="126"/>
      <c r="H250" s="52"/>
      <c r="I250" s="367" t="str">
        <f>I212</f>
        <v>Shpjegimet teknike</v>
      </c>
      <c r="J250" s="10"/>
      <c r="K250" s="10"/>
      <c r="L250" s="10"/>
      <c r="M250" s="10"/>
      <c r="N250" s="10"/>
      <c r="O250" s="10"/>
    </row>
    <row r="251" spans="1:15" ht="12.75" hidden="1" x14ac:dyDescent="0.2">
      <c r="A251" s="121"/>
      <c r="B251" s="1229"/>
      <c r="C251" s="1230"/>
      <c r="D251" s="1231"/>
      <c r="E251" s="36"/>
      <c r="F251" s="36"/>
      <c r="G251" s="36"/>
      <c r="H251" s="52"/>
      <c r="I251" s="365">
        <f>M224</f>
        <v>0</v>
      </c>
      <c r="J251" s="1271"/>
      <c r="K251" s="1272"/>
      <c r="L251" s="1272"/>
      <c r="M251" s="1272"/>
      <c r="N251" s="1272"/>
      <c r="O251" s="1273"/>
    </row>
    <row r="252" spans="1:15" ht="12.75" hidden="1" x14ac:dyDescent="0.2">
      <c r="A252" s="121"/>
      <c r="B252" s="1259"/>
      <c r="C252" s="1260"/>
      <c r="D252" s="1261"/>
      <c r="E252" s="36"/>
      <c r="F252" s="36"/>
      <c r="G252" s="36"/>
      <c r="H252" s="52"/>
      <c r="I252" s="366"/>
      <c r="J252" s="1274"/>
      <c r="K252" s="1275"/>
      <c r="L252" s="1275"/>
      <c r="M252" s="1275"/>
      <c r="N252" s="1275"/>
      <c r="O252" s="1276"/>
    </row>
    <row r="253" spans="1:15" ht="12.75" hidden="1" x14ac:dyDescent="0.2">
      <c r="A253" s="239"/>
      <c r="B253" s="1229"/>
      <c r="C253" s="1230"/>
      <c r="D253" s="273"/>
      <c r="E253" s="270"/>
      <c r="F253" s="270"/>
      <c r="G253" s="270"/>
      <c r="H253" s="52"/>
      <c r="I253" s="365">
        <f>N224</f>
        <v>0</v>
      </c>
      <c r="J253" s="1271"/>
      <c r="K253" s="1272"/>
      <c r="L253" s="1272"/>
      <c r="M253" s="1272"/>
      <c r="N253" s="1272"/>
      <c r="O253" s="1273"/>
    </row>
    <row r="254" spans="1:15" ht="12.75" hidden="1" x14ac:dyDescent="0.2">
      <c r="A254" s="121"/>
      <c r="B254" s="1262"/>
      <c r="C254" s="1263"/>
      <c r="D254" s="1264"/>
      <c r="E254" s="126"/>
      <c r="F254" s="126"/>
      <c r="G254" s="126"/>
      <c r="H254" s="52"/>
      <c r="I254" s="366"/>
      <c r="J254" s="1277"/>
      <c r="K254" s="1278"/>
      <c r="L254" s="1278"/>
      <c r="M254" s="1278"/>
      <c r="N254" s="1278"/>
      <c r="O254" s="1279"/>
    </row>
    <row r="255" spans="1:15" ht="12.75" hidden="1" x14ac:dyDescent="0.2">
      <c r="A255" s="122"/>
      <c r="B255" s="201"/>
      <c r="C255" s="123"/>
      <c r="D255" s="123"/>
      <c r="E255" s="10"/>
      <c r="F255" s="10"/>
      <c r="G255" s="130"/>
      <c r="H255" s="52"/>
      <c r="I255" s="365">
        <f>O224</f>
        <v>0</v>
      </c>
      <c r="J255" s="1271"/>
      <c r="K255" s="1272"/>
      <c r="L255" s="1272"/>
      <c r="M255" s="1272"/>
      <c r="N255" s="1272"/>
      <c r="O255" s="1273"/>
    </row>
    <row r="256" spans="1:15" ht="12.75" hidden="1" x14ac:dyDescent="0.2">
      <c r="A256" s="134"/>
      <c r="B256" s="33"/>
      <c r="C256" s="33"/>
      <c r="D256" s="33"/>
      <c r="E256" s="126"/>
      <c r="F256" s="126"/>
      <c r="G256" s="126"/>
      <c r="H256" s="52"/>
      <c r="I256" s="366"/>
      <c r="J256" s="1277"/>
      <c r="K256" s="1278"/>
      <c r="L256" s="1278"/>
      <c r="M256" s="1278"/>
      <c r="N256" s="1278"/>
      <c r="O256" s="1279"/>
    </row>
    <row r="257" spans="1:15" ht="17.25" hidden="1" customHeight="1" x14ac:dyDescent="0.2"/>
    <row r="258" spans="1:15" ht="17.25" hidden="1" customHeight="1" x14ac:dyDescent="0.2"/>
    <row r="259" spans="1:15" ht="17.25" hidden="1" customHeight="1" x14ac:dyDescent="0.2">
      <c r="A259" s="204"/>
      <c r="B259" s="1225"/>
      <c r="C259" s="1225"/>
      <c r="D259" s="1225"/>
      <c r="E259" s="1225"/>
      <c r="F259" s="1225"/>
      <c r="G259" s="1225"/>
      <c r="H259" s="1225"/>
      <c r="I259" s="1225"/>
      <c r="J259" s="1225"/>
      <c r="K259" s="1225"/>
      <c r="L259" s="1225"/>
      <c r="M259" s="1225"/>
      <c r="N259" s="1225"/>
      <c r="O259" s="1225"/>
    </row>
    <row r="260" spans="1:15" ht="17.25" hidden="1" customHeight="1" x14ac:dyDescent="0.2">
      <c r="A260" s="262"/>
      <c r="B260" s="1225"/>
      <c r="C260" s="1225"/>
      <c r="D260" s="1225"/>
      <c r="E260" s="1225"/>
      <c r="F260" s="1225"/>
      <c r="G260" s="1225"/>
      <c r="H260" s="1225"/>
      <c r="I260" s="1225"/>
      <c r="J260" s="1225"/>
      <c r="K260" s="1225"/>
      <c r="L260" s="1225"/>
      <c r="M260" s="1225"/>
      <c r="N260" s="1225"/>
      <c r="O260" s="1225"/>
    </row>
    <row r="261" spans="1:15" ht="22.5" hidden="1" customHeight="1" x14ac:dyDescent="0.2">
      <c r="A261" s="1221"/>
      <c r="B261" s="1222"/>
      <c r="C261" s="1222"/>
      <c r="D261" s="1222"/>
      <c r="E261" s="1222"/>
      <c r="F261" s="1222"/>
      <c r="G261" s="1242"/>
      <c r="H261" s="128"/>
      <c r="I261" s="1243"/>
      <c r="J261" s="1222"/>
      <c r="K261" s="1222"/>
      <c r="L261" s="1222"/>
      <c r="M261" s="1222"/>
      <c r="N261" s="1222"/>
      <c r="O261" s="1242"/>
    </row>
    <row r="262" spans="1:15" ht="20.25" hidden="1" customHeight="1" x14ac:dyDescent="0.2">
      <c r="A262" s="202"/>
      <c r="B262" s="236"/>
      <c r="C262" s="236"/>
      <c r="D262" s="236"/>
      <c r="E262" s="237"/>
      <c r="F262" s="237"/>
      <c r="G262" s="237"/>
      <c r="H262" s="203"/>
      <c r="I262" s="269"/>
      <c r="J262" s="236"/>
      <c r="K262" s="236"/>
      <c r="L262" s="236"/>
      <c r="M262" s="237"/>
      <c r="N262" s="237"/>
      <c r="O262" s="237"/>
    </row>
    <row r="263" spans="1:15" ht="12.75" hidden="1" x14ac:dyDescent="0.2">
      <c r="A263" s="122"/>
      <c r="B263" s="201"/>
      <c r="C263" s="123"/>
      <c r="D263" s="123"/>
      <c r="E263" s="10"/>
      <c r="F263" s="10"/>
      <c r="G263" s="130"/>
      <c r="H263" s="128"/>
    </row>
    <row r="264" spans="1:15" ht="12.75" hidden="1" x14ac:dyDescent="0.2">
      <c r="A264" s="134"/>
      <c r="B264" s="33"/>
      <c r="C264" s="33"/>
      <c r="D264" s="33"/>
      <c r="E264" s="36"/>
      <c r="F264" s="36"/>
      <c r="G264" s="36"/>
      <c r="H264" s="128"/>
      <c r="I264" s="1226"/>
      <c r="J264" s="1227"/>
      <c r="K264" s="1227"/>
      <c r="L264" s="1227"/>
      <c r="M264" s="1227"/>
      <c r="N264" s="1227"/>
      <c r="O264" s="1228"/>
    </row>
    <row r="265" spans="1:15" ht="12.75" hidden="1" x14ac:dyDescent="0.2">
      <c r="A265" s="122"/>
      <c r="B265" s="201"/>
      <c r="C265" s="123"/>
      <c r="D265" s="123"/>
      <c r="E265" s="10"/>
      <c r="F265" s="10"/>
      <c r="G265" s="130"/>
      <c r="H265" s="10"/>
      <c r="I265" s="134"/>
      <c r="J265" s="34"/>
      <c r="K265" s="34"/>
      <c r="L265" s="34"/>
      <c r="M265" s="36"/>
      <c r="N265" s="36"/>
      <c r="O265" s="36"/>
    </row>
    <row r="266" spans="1:15" ht="12.75" hidden="1" x14ac:dyDescent="0.2">
      <c r="A266" s="1293"/>
      <c r="B266" s="1294"/>
      <c r="C266" s="1294"/>
      <c r="D266" s="1294"/>
      <c r="E266" s="1294"/>
      <c r="F266" s="1294"/>
      <c r="G266" s="1295"/>
      <c r="H266" s="10"/>
    </row>
    <row r="267" spans="1:15" ht="12.75" hidden="1" x14ac:dyDescent="0.2">
      <c r="A267" s="1226"/>
      <c r="B267" s="1227"/>
      <c r="C267" s="1227"/>
      <c r="D267" s="1227"/>
      <c r="E267" s="1227"/>
      <c r="F267" s="1227"/>
      <c r="G267" s="1228"/>
      <c r="H267" s="30"/>
      <c r="I267" s="333"/>
      <c r="J267" s="334"/>
      <c r="K267" s="334"/>
      <c r="L267" s="334"/>
      <c r="M267" s="334"/>
      <c r="N267" s="334"/>
      <c r="O267" s="335"/>
    </row>
    <row r="268" spans="1:15" ht="12.75" hidden="1" x14ac:dyDescent="0.2">
      <c r="A268" s="121"/>
      <c r="B268" s="1229"/>
      <c r="C268" s="1230"/>
      <c r="D268" s="1231"/>
      <c r="E268" s="36"/>
      <c r="F268" s="36"/>
      <c r="G268" s="36"/>
      <c r="H268" s="30"/>
      <c r="I268" s="339"/>
      <c r="J268" s="336"/>
      <c r="K268" s="338"/>
      <c r="L268" s="337"/>
      <c r="M268" s="125"/>
      <c r="N268" s="125"/>
      <c r="O268" s="129"/>
    </row>
    <row r="269" spans="1:15" ht="12.75" hidden="1" x14ac:dyDescent="0.2">
      <c r="A269" s="121"/>
      <c r="B269" s="1229"/>
      <c r="C269" s="1230"/>
      <c r="D269" s="1231"/>
      <c r="E269" s="36"/>
      <c r="F269" s="36"/>
      <c r="G269" s="36"/>
      <c r="H269" s="30"/>
      <c r="I269" s="339"/>
      <c r="J269" s="336"/>
      <c r="K269" s="338"/>
      <c r="L269" s="337"/>
      <c r="M269" s="125"/>
      <c r="N269" s="125"/>
      <c r="O269" s="129"/>
    </row>
    <row r="270" spans="1:15" ht="12.75" hidden="1" x14ac:dyDescent="0.2">
      <c r="A270" s="121"/>
      <c r="B270" s="1229"/>
      <c r="C270" s="1230"/>
      <c r="D270" s="1231"/>
      <c r="E270" s="36"/>
      <c r="F270" s="36"/>
      <c r="G270" s="36"/>
      <c r="H270" s="52"/>
      <c r="I270" s="339"/>
      <c r="J270" s="336"/>
      <c r="K270" s="338"/>
      <c r="L270" s="337"/>
      <c r="M270" s="264"/>
      <c r="N270" s="479"/>
      <c r="O270" s="479"/>
    </row>
    <row r="271" spans="1:15" ht="12.75" hidden="1" x14ac:dyDescent="0.2">
      <c r="A271" s="121"/>
      <c r="B271" s="1229"/>
      <c r="C271" s="1230"/>
      <c r="D271" s="1231"/>
      <c r="E271" s="36"/>
      <c r="F271" s="36"/>
      <c r="G271" s="36"/>
      <c r="H271" s="8"/>
      <c r="I271" s="339"/>
      <c r="J271" s="336"/>
      <c r="K271" s="338"/>
      <c r="L271" s="337"/>
      <c r="M271" s="125"/>
      <c r="N271" s="125"/>
      <c r="O271" s="129"/>
    </row>
    <row r="272" spans="1:15" ht="12.75" hidden="1" x14ac:dyDescent="0.2">
      <c r="A272" s="121"/>
      <c r="B272" s="1229"/>
      <c r="C272" s="1230"/>
      <c r="D272" s="1231"/>
      <c r="E272" s="36"/>
      <c r="F272" s="36"/>
      <c r="G272" s="36"/>
      <c r="H272" s="52"/>
      <c r="I272" s="339"/>
      <c r="J272" s="34"/>
      <c r="K272" s="34"/>
      <c r="L272" s="34"/>
      <c r="M272" s="126"/>
      <c r="N272" s="126"/>
      <c r="O272" s="126"/>
    </row>
    <row r="273" spans="1:15" ht="12.75" hidden="1" x14ac:dyDescent="0.2">
      <c r="A273" s="121"/>
      <c r="B273" s="1229"/>
      <c r="C273" s="1230"/>
      <c r="D273" s="1231"/>
      <c r="E273" s="36"/>
      <c r="F273" s="36"/>
      <c r="G273" s="36"/>
      <c r="H273" s="52"/>
    </row>
    <row r="274" spans="1:15" ht="12.75" hidden="1" x14ac:dyDescent="0.2">
      <c r="A274" s="121"/>
      <c r="B274" s="1229"/>
      <c r="C274" s="1230"/>
      <c r="D274" s="1231"/>
      <c r="E274" s="36"/>
      <c r="F274" s="36"/>
      <c r="G274" s="36"/>
      <c r="H274" s="52"/>
      <c r="I274" s="134"/>
      <c r="J274" s="33"/>
      <c r="K274" s="33"/>
      <c r="L274" s="33"/>
      <c r="M274" s="126"/>
      <c r="N274" s="126"/>
      <c r="O274" s="126"/>
    </row>
    <row r="275" spans="1:15" ht="12.75" hidden="1" x14ac:dyDescent="0.2">
      <c r="A275" s="121"/>
      <c r="B275" s="1229"/>
      <c r="C275" s="1230"/>
      <c r="D275" s="1231"/>
      <c r="E275" s="36"/>
      <c r="F275" s="36"/>
      <c r="G275" s="36"/>
      <c r="H275" s="52"/>
    </row>
    <row r="276" spans="1:15" ht="12.75" hidden="1" x14ac:dyDescent="0.2">
      <c r="A276" s="121"/>
      <c r="B276" s="1229"/>
      <c r="C276" s="1230"/>
      <c r="D276" s="1231"/>
      <c r="E276" s="36"/>
      <c r="F276" s="36"/>
      <c r="G276" s="36"/>
      <c r="H276" s="52"/>
    </row>
    <row r="277" spans="1:15" ht="12.75" hidden="1" x14ac:dyDescent="0.2">
      <c r="A277" s="121"/>
      <c r="B277" s="1229"/>
      <c r="C277" s="1230"/>
      <c r="D277" s="1231"/>
      <c r="E277" s="36"/>
      <c r="F277" s="36"/>
      <c r="G277" s="36"/>
      <c r="H277" s="52"/>
    </row>
    <row r="278" spans="1:15" ht="12.75" hidden="1" x14ac:dyDescent="0.2">
      <c r="A278" s="121"/>
      <c r="B278" s="1229"/>
      <c r="C278" s="1230"/>
      <c r="D278" s="1231"/>
      <c r="E278" s="36"/>
      <c r="F278" s="36"/>
      <c r="G278" s="36"/>
      <c r="H278" s="52"/>
      <c r="I278" s="1235"/>
      <c r="J278" s="1236"/>
      <c r="K278" s="1236"/>
      <c r="L278" s="1236"/>
      <c r="M278" s="1236"/>
      <c r="N278" s="1236"/>
      <c r="O278" s="1237"/>
    </row>
    <row r="279" spans="1:15" ht="12.75" hidden="1" customHeight="1" x14ac:dyDescent="0.2">
      <c r="A279" s="268"/>
      <c r="B279" s="1229"/>
      <c r="C279" s="1230"/>
      <c r="D279" s="1231"/>
      <c r="E279" s="126"/>
      <c r="F279" s="126"/>
      <c r="G279" s="126"/>
      <c r="H279" s="52"/>
      <c r="I279" s="1238"/>
      <c r="J279" s="1239"/>
      <c r="K279" s="1239"/>
      <c r="L279" s="1239"/>
      <c r="M279" s="1239"/>
      <c r="N279" s="1239"/>
      <c r="O279" s="1240"/>
    </row>
    <row r="280" spans="1:15" ht="12.75" hidden="1" x14ac:dyDescent="0.2">
      <c r="A280" s="1226"/>
      <c r="B280" s="1227"/>
      <c r="C280" s="1227"/>
      <c r="D280" s="1227"/>
      <c r="E280" s="1227"/>
      <c r="F280" s="1227"/>
      <c r="G280" s="1228"/>
      <c r="H280" s="52"/>
      <c r="I280" s="17"/>
      <c r="J280" s="18"/>
      <c r="K280" s="18"/>
      <c r="L280" s="18"/>
      <c r="M280" s="18"/>
      <c r="N280" s="18"/>
      <c r="O280" s="18"/>
    </row>
    <row r="281" spans="1:15" ht="12.75" hidden="1" x14ac:dyDescent="0.2">
      <c r="A281" s="121"/>
      <c r="B281" s="1229"/>
      <c r="C281" s="1230"/>
      <c r="D281" s="1231"/>
      <c r="E281" s="36"/>
      <c r="F281" s="36"/>
      <c r="G281" s="36"/>
      <c r="H281" s="52"/>
      <c r="I281" s="52"/>
      <c r="J281" s="52"/>
      <c r="K281" s="52"/>
      <c r="L281" s="14"/>
      <c r="M281" s="53"/>
    </row>
    <row r="282" spans="1:15" ht="12.75" hidden="1" x14ac:dyDescent="0.2">
      <c r="A282" s="121"/>
      <c r="B282" s="1229"/>
      <c r="C282" s="1230"/>
      <c r="D282" s="1231"/>
      <c r="E282" s="36"/>
      <c r="F282" s="36"/>
      <c r="G282" s="36"/>
      <c r="H282" s="52"/>
    </row>
    <row r="283" spans="1:15" ht="12.75" hidden="1" x14ac:dyDescent="0.2">
      <c r="A283" s="121"/>
      <c r="B283" s="1229"/>
      <c r="C283" s="1230"/>
      <c r="D283" s="1231"/>
      <c r="E283" s="36"/>
      <c r="F283" s="36"/>
      <c r="G283" s="36"/>
      <c r="H283" s="52"/>
      <c r="I283" s="239"/>
      <c r="J283" s="1297"/>
      <c r="K283" s="1298"/>
      <c r="L283" s="1299"/>
      <c r="M283" s="126"/>
      <c r="N283" s="126"/>
      <c r="O283" s="126"/>
    </row>
    <row r="284" spans="1:15" ht="12.75" hidden="1" x14ac:dyDescent="0.2">
      <c r="A284" s="121"/>
      <c r="B284" s="1229"/>
      <c r="C284" s="1230"/>
      <c r="D284" s="1231"/>
      <c r="E284" s="36"/>
      <c r="F284" s="36"/>
      <c r="G284" s="36"/>
      <c r="H284" s="52"/>
      <c r="I284" s="279"/>
      <c r="J284" s="1297"/>
      <c r="K284" s="1298"/>
      <c r="L284" s="1299"/>
      <c r="M284" s="125"/>
      <c r="N284" s="125"/>
      <c r="O284" s="129"/>
    </row>
    <row r="285" spans="1:15" ht="12.75" hidden="1" x14ac:dyDescent="0.2">
      <c r="A285" s="121"/>
      <c r="B285" s="1229"/>
      <c r="C285" s="1230"/>
      <c r="D285" s="1231"/>
      <c r="E285" s="36"/>
      <c r="F285" s="36"/>
      <c r="G285" s="36"/>
      <c r="H285" s="52"/>
      <c r="I285" s="276"/>
      <c r="J285" s="1297"/>
      <c r="K285" s="1298"/>
      <c r="L285" s="1299"/>
      <c r="M285" s="125"/>
      <c r="N285" s="125"/>
      <c r="O285" s="129"/>
    </row>
    <row r="286" spans="1:15" ht="12.75" hidden="1" x14ac:dyDescent="0.2">
      <c r="A286" s="121"/>
      <c r="B286" s="1229"/>
      <c r="C286" s="1230"/>
      <c r="D286" s="1231"/>
      <c r="E286" s="36"/>
      <c r="F286" s="36"/>
      <c r="G286" s="36"/>
      <c r="H286" s="52"/>
      <c r="I286" s="276"/>
      <c r="J286" s="1297"/>
      <c r="K286" s="1298"/>
      <c r="L286" s="1299"/>
      <c r="M286" s="125"/>
      <c r="N286" s="125"/>
      <c r="O286" s="129"/>
    </row>
    <row r="287" spans="1:15" ht="12.75" hidden="1" x14ac:dyDescent="0.2">
      <c r="A287" s="121"/>
      <c r="B287" s="1229"/>
      <c r="C287" s="1230"/>
      <c r="D287" s="1231"/>
      <c r="E287" s="36"/>
      <c r="F287" s="36"/>
      <c r="G287" s="36"/>
      <c r="H287" s="52"/>
      <c r="I287" s="276"/>
      <c r="J287" s="1286"/>
      <c r="K287" s="1286"/>
      <c r="L287" s="1286"/>
      <c r="M287" s="300" t="str">
        <f>IF(SUM(M284:M286)=M283,"OK","STOP")</f>
        <v>OK</v>
      </c>
      <c r="N287" s="300" t="str">
        <f>IF(SUM(N284:N286)=N283,"OK","STOP")</f>
        <v>OK</v>
      </c>
      <c r="O287" s="300" t="str">
        <f>IF(SUM(O284:O286)=O283,"OK","STOP")</f>
        <v>OK</v>
      </c>
    </row>
    <row r="288" spans="1:15" ht="12.75" hidden="1" x14ac:dyDescent="0.2">
      <c r="A288" s="121"/>
      <c r="B288" s="1229"/>
      <c r="C288" s="1230"/>
      <c r="D288" s="1231"/>
      <c r="E288" s="126"/>
      <c r="F288" s="126"/>
      <c r="G288" s="126"/>
      <c r="H288" s="52"/>
      <c r="I288" s="367" t="str">
        <f>I250</f>
        <v>Shpjegimet teknike</v>
      </c>
      <c r="J288" s="10"/>
      <c r="K288" s="10"/>
      <c r="L288" s="10"/>
      <c r="M288" s="10"/>
      <c r="N288" s="10"/>
      <c r="O288" s="10"/>
    </row>
    <row r="289" spans="1:15" ht="12.75" hidden="1" x14ac:dyDescent="0.2">
      <c r="A289" s="121"/>
      <c r="B289" s="1229"/>
      <c r="C289" s="1230"/>
      <c r="D289" s="1231"/>
      <c r="E289" s="36"/>
      <c r="F289" s="36"/>
      <c r="G289" s="36"/>
      <c r="H289" s="52"/>
      <c r="I289" s="365">
        <f>M262</f>
        <v>0</v>
      </c>
      <c r="J289" s="1271"/>
      <c r="K289" s="1272"/>
      <c r="L289" s="1272"/>
      <c r="M289" s="1272"/>
      <c r="N289" s="1272"/>
      <c r="O289" s="1273"/>
    </row>
    <row r="290" spans="1:15" ht="12.75" hidden="1" x14ac:dyDescent="0.2">
      <c r="A290" s="121"/>
      <c r="B290" s="1259"/>
      <c r="C290" s="1260"/>
      <c r="D290" s="1261"/>
      <c r="E290" s="36"/>
      <c r="F290" s="36"/>
      <c r="G290" s="36"/>
      <c r="H290" s="52"/>
      <c r="I290" s="366"/>
      <c r="J290" s="1274"/>
      <c r="K290" s="1275"/>
      <c r="L290" s="1275"/>
      <c r="M290" s="1275"/>
      <c r="N290" s="1275"/>
      <c r="O290" s="1276"/>
    </row>
    <row r="291" spans="1:15" ht="12.75" hidden="1" x14ac:dyDescent="0.2">
      <c r="A291" s="239"/>
      <c r="B291" s="1229"/>
      <c r="C291" s="1230"/>
      <c r="D291" s="273"/>
      <c r="E291" s="270"/>
      <c r="F291" s="270"/>
      <c r="G291" s="270"/>
      <c r="H291" s="52"/>
      <c r="I291" s="365">
        <f>N262</f>
        <v>0</v>
      </c>
      <c r="J291" s="1271"/>
      <c r="K291" s="1272"/>
      <c r="L291" s="1272"/>
      <c r="M291" s="1272"/>
      <c r="N291" s="1272"/>
      <c r="O291" s="1273"/>
    </row>
    <row r="292" spans="1:15" ht="12.75" hidden="1" x14ac:dyDescent="0.2">
      <c r="A292" s="121"/>
      <c r="B292" s="1262"/>
      <c r="C292" s="1263"/>
      <c r="D292" s="1264"/>
      <c r="E292" s="126"/>
      <c r="F292" s="126"/>
      <c r="G292" s="126"/>
      <c r="H292" s="52"/>
      <c r="I292" s="366"/>
      <c r="J292" s="1277"/>
      <c r="K292" s="1278"/>
      <c r="L292" s="1278"/>
      <c r="M292" s="1278"/>
      <c r="N292" s="1278"/>
      <c r="O292" s="1279"/>
    </row>
    <row r="293" spans="1:15" ht="12.75" hidden="1" x14ac:dyDescent="0.2">
      <c r="A293" s="122"/>
      <c r="B293" s="201"/>
      <c r="C293" s="123"/>
      <c r="D293" s="123"/>
      <c r="E293" s="10"/>
      <c r="F293" s="10"/>
      <c r="G293" s="130"/>
      <c r="H293" s="52"/>
      <c r="I293" s="365">
        <f>O262</f>
        <v>0</v>
      </c>
      <c r="J293" s="1271"/>
      <c r="K293" s="1272"/>
      <c r="L293" s="1272"/>
      <c r="M293" s="1272"/>
      <c r="N293" s="1272"/>
      <c r="O293" s="1273"/>
    </row>
    <row r="294" spans="1:15" ht="12.75" hidden="1" x14ac:dyDescent="0.2">
      <c r="A294" s="134"/>
      <c r="B294" s="33"/>
      <c r="C294" s="33"/>
      <c r="D294" s="33"/>
      <c r="E294" s="126"/>
      <c r="F294" s="126"/>
      <c r="G294" s="126"/>
      <c r="H294" s="52"/>
      <c r="I294" s="366"/>
      <c r="J294" s="1277"/>
      <c r="K294" s="1278"/>
      <c r="L294" s="1278"/>
      <c r="M294" s="1278"/>
      <c r="N294" s="1278"/>
      <c r="O294" s="1279"/>
    </row>
  </sheetData>
  <sheetProtection sheet="1" objects="1" scenarios="1" selectLockedCells="1"/>
  <mergeCells count="338">
    <mergeCell ref="J293:O294"/>
    <mergeCell ref="I153:O153"/>
    <mergeCell ref="I191:O191"/>
    <mergeCell ref="I229:O229"/>
    <mergeCell ref="I72:O72"/>
    <mergeCell ref="I75:O75"/>
    <mergeCell ref="J136:O137"/>
    <mergeCell ref="J138:O139"/>
    <mergeCell ref="J140:O141"/>
    <mergeCell ref="J175:O176"/>
    <mergeCell ref="J177:O178"/>
    <mergeCell ref="J179:O180"/>
    <mergeCell ref="J213:O214"/>
    <mergeCell ref="J133:L133"/>
    <mergeCell ref="J211:L211"/>
    <mergeCell ref="J245:L245"/>
    <mergeCell ref="J246:L246"/>
    <mergeCell ref="J247:L247"/>
    <mergeCell ref="J248:L248"/>
    <mergeCell ref="J249:L249"/>
    <mergeCell ref="J251:O252"/>
    <mergeCell ref="J130:L130"/>
    <mergeCell ref="J172:L172"/>
    <mergeCell ref="J173:L173"/>
    <mergeCell ref="I150:O150"/>
    <mergeCell ref="B144:O144"/>
    <mergeCell ref="B145:O145"/>
    <mergeCell ref="A147:G147"/>
    <mergeCell ref="I147:O147"/>
    <mergeCell ref="J131:L131"/>
    <mergeCell ref="J132:L132"/>
    <mergeCell ref="B124:D124"/>
    <mergeCell ref="B125:D125"/>
    <mergeCell ref="I125:O126"/>
    <mergeCell ref="B126:D126"/>
    <mergeCell ref="A127:G127"/>
    <mergeCell ref="B128:D128"/>
    <mergeCell ref="B129:D129"/>
    <mergeCell ref="B130:D130"/>
    <mergeCell ref="B131:D131"/>
    <mergeCell ref="B132:D132"/>
    <mergeCell ref="B156:D156"/>
    <mergeCell ref="B157:D157"/>
    <mergeCell ref="B158:D158"/>
    <mergeCell ref="A152:G152"/>
    <mergeCell ref="A153:G153"/>
    <mergeCell ref="B154:D154"/>
    <mergeCell ref="B155:D155"/>
    <mergeCell ref="B138:C138"/>
    <mergeCell ref="B139:D139"/>
    <mergeCell ref="I188:O188"/>
    <mergeCell ref="B173:D173"/>
    <mergeCell ref="B174:D174"/>
    <mergeCell ref="B175:D175"/>
    <mergeCell ref="B176:D176"/>
    <mergeCell ref="B177:C177"/>
    <mergeCell ref="B178:D178"/>
    <mergeCell ref="B183:O183"/>
    <mergeCell ref="B184:O184"/>
    <mergeCell ref="A185:G185"/>
    <mergeCell ref="I185:O185"/>
    <mergeCell ref="I164:O165"/>
    <mergeCell ref="B165:D165"/>
    <mergeCell ref="B163:D163"/>
    <mergeCell ref="B164:D164"/>
    <mergeCell ref="J169:L169"/>
    <mergeCell ref="J170:L170"/>
    <mergeCell ref="J171:L171"/>
    <mergeCell ref="B287:D287"/>
    <mergeCell ref="B288:D288"/>
    <mergeCell ref="B273:D273"/>
    <mergeCell ref="B274:D274"/>
    <mergeCell ref="B275:D275"/>
    <mergeCell ref="B276:D276"/>
    <mergeCell ref="B277:D277"/>
    <mergeCell ref="B270:D270"/>
    <mergeCell ref="B271:D271"/>
    <mergeCell ref="B272:D272"/>
    <mergeCell ref="A266:G266"/>
    <mergeCell ref="A267:G267"/>
    <mergeCell ref="B268:D268"/>
    <mergeCell ref="B269:D269"/>
    <mergeCell ref="I264:O264"/>
    <mergeCell ref="B253:C253"/>
    <mergeCell ref="B254:D254"/>
    <mergeCell ref="B289:D289"/>
    <mergeCell ref="B290:D290"/>
    <mergeCell ref="B291:C291"/>
    <mergeCell ref="B292:D292"/>
    <mergeCell ref="I278:O279"/>
    <mergeCell ref="B279:D279"/>
    <mergeCell ref="A280:G280"/>
    <mergeCell ref="B281:D281"/>
    <mergeCell ref="B282:D282"/>
    <mergeCell ref="B283:D283"/>
    <mergeCell ref="B284:D284"/>
    <mergeCell ref="B285:D285"/>
    <mergeCell ref="B286:D286"/>
    <mergeCell ref="J283:L283"/>
    <mergeCell ref="J284:L284"/>
    <mergeCell ref="J285:L285"/>
    <mergeCell ref="J286:L286"/>
    <mergeCell ref="J287:L287"/>
    <mergeCell ref="J289:O290"/>
    <mergeCell ref="J291:O292"/>
    <mergeCell ref="B278:D278"/>
    <mergeCell ref="B259:O259"/>
    <mergeCell ref="B260:O260"/>
    <mergeCell ref="A261:G261"/>
    <mergeCell ref="I261:O261"/>
    <mergeCell ref="J253:O254"/>
    <mergeCell ref="J255:O256"/>
    <mergeCell ref="B244:D244"/>
    <mergeCell ref="B245:D245"/>
    <mergeCell ref="B246:D246"/>
    <mergeCell ref="B247:D247"/>
    <mergeCell ref="B248:D248"/>
    <mergeCell ref="B249:D249"/>
    <mergeCell ref="B250:D250"/>
    <mergeCell ref="B251:D251"/>
    <mergeCell ref="B252:D252"/>
    <mergeCell ref="B239:D239"/>
    <mergeCell ref="B240:D240"/>
    <mergeCell ref="I240:O241"/>
    <mergeCell ref="B241:D241"/>
    <mergeCell ref="A242:G242"/>
    <mergeCell ref="B243:D243"/>
    <mergeCell ref="B234:D234"/>
    <mergeCell ref="B235:D235"/>
    <mergeCell ref="B236:D236"/>
    <mergeCell ref="B237:D237"/>
    <mergeCell ref="B238:D238"/>
    <mergeCell ref="B231:D231"/>
    <mergeCell ref="B232:D232"/>
    <mergeCell ref="B233:D233"/>
    <mergeCell ref="A228:G228"/>
    <mergeCell ref="A229:G229"/>
    <mergeCell ref="B230:D230"/>
    <mergeCell ref="A223:G223"/>
    <mergeCell ref="I223:O223"/>
    <mergeCell ref="I226:O226"/>
    <mergeCell ref="B213:D213"/>
    <mergeCell ref="B214:D214"/>
    <mergeCell ref="B215:C215"/>
    <mergeCell ref="B216:D216"/>
    <mergeCell ref="B221:O221"/>
    <mergeCell ref="B222:O222"/>
    <mergeCell ref="J215:O216"/>
    <mergeCell ref="J217:O218"/>
    <mergeCell ref="A204:G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J207:L207"/>
    <mergeCell ref="J208:L208"/>
    <mergeCell ref="J209:L209"/>
    <mergeCell ref="J210:L210"/>
    <mergeCell ref="B200:D200"/>
    <mergeCell ref="B201:D201"/>
    <mergeCell ref="B202:D202"/>
    <mergeCell ref="I202:O203"/>
    <mergeCell ref="B203:D203"/>
    <mergeCell ref="B195:D195"/>
    <mergeCell ref="B196:D196"/>
    <mergeCell ref="B197:D197"/>
    <mergeCell ref="B198:D198"/>
    <mergeCell ref="B194:D194"/>
    <mergeCell ref="J187:K187"/>
    <mergeCell ref="A190:G190"/>
    <mergeCell ref="A191:G191"/>
    <mergeCell ref="B199:D199"/>
    <mergeCell ref="B133:D133"/>
    <mergeCell ref="B134:D134"/>
    <mergeCell ref="B135:D135"/>
    <mergeCell ref="B136:D136"/>
    <mergeCell ref="B137:D137"/>
    <mergeCell ref="B192:D192"/>
    <mergeCell ref="B193:D193"/>
    <mergeCell ref="J134:L134"/>
    <mergeCell ref="A166:G166"/>
    <mergeCell ref="B167:D167"/>
    <mergeCell ref="B168:D168"/>
    <mergeCell ref="B169:D169"/>
    <mergeCell ref="B170:D170"/>
    <mergeCell ref="B171:D171"/>
    <mergeCell ref="B172:D172"/>
    <mergeCell ref="B159:D159"/>
    <mergeCell ref="B160:D160"/>
    <mergeCell ref="B161:D161"/>
    <mergeCell ref="B162:D162"/>
    <mergeCell ref="B119:D119"/>
    <mergeCell ref="B120:D120"/>
    <mergeCell ref="B121:D121"/>
    <mergeCell ref="B122:D122"/>
    <mergeCell ref="B123:D123"/>
    <mergeCell ref="B105:O105"/>
    <mergeCell ref="B106:O106"/>
    <mergeCell ref="J95:L95"/>
    <mergeCell ref="J97:O98"/>
    <mergeCell ref="J99:O100"/>
    <mergeCell ref="J101:O102"/>
    <mergeCell ref="B116:D116"/>
    <mergeCell ref="B117:D117"/>
    <mergeCell ref="B118:D118"/>
    <mergeCell ref="A113:G113"/>
    <mergeCell ref="A114:G114"/>
    <mergeCell ref="B115:D115"/>
    <mergeCell ref="A108:G108"/>
    <mergeCell ref="I108:O108"/>
    <mergeCell ref="I111:O111"/>
    <mergeCell ref="I114:O114"/>
    <mergeCell ref="I86:O87"/>
    <mergeCell ref="B87:D87"/>
    <mergeCell ref="A88:G88"/>
    <mergeCell ref="B89:D89"/>
    <mergeCell ref="B90:D90"/>
    <mergeCell ref="B97:D97"/>
    <mergeCell ref="B98:D98"/>
    <mergeCell ref="B99:C99"/>
    <mergeCell ref="B100:D100"/>
    <mergeCell ref="J91:L91"/>
    <mergeCell ref="J92:L92"/>
    <mergeCell ref="J93:L93"/>
    <mergeCell ref="J94:L94"/>
    <mergeCell ref="B91:D91"/>
    <mergeCell ref="B92:D92"/>
    <mergeCell ref="B93:D93"/>
    <mergeCell ref="B94:D94"/>
    <mergeCell ref="B95:D95"/>
    <mergeCell ref="B96:D96"/>
    <mergeCell ref="B79:D79"/>
    <mergeCell ref="B80:D80"/>
    <mergeCell ref="B81:D81"/>
    <mergeCell ref="B82:D82"/>
    <mergeCell ref="B83:D83"/>
    <mergeCell ref="B84:D84"/>
    <mergeCell ref="B85:D85"/>
    <mergeCell ref="B86:D86"/>
    <mergeCell ref="A75:G75"/>
    <mergeCell ref="B76:D76"/>
    <mergeCell ref="B77:D77"/>
    <mergeCell ref="B78:D78"/>
    <mergeCell ref="A74:G74"/>
    <mergeCell ref="B67:O67"/>
    <mergeCell ref="A69:G69"/>
    <mergeCell ref="I69:O69"/>
    <mergeCell ref="A57:K57"/>
    <mergeCell ref="A58:L58"/>
    <mergeCell ref="A59:L59"/>
    <mergeCell ref="A60:K60"/>
    <mergeCell ref="A61:L61"/>
    <mergeCell ref="A62:L62"/>
    <mergeCell ref="A63:K63"/>
    <mergeCell ref="B66:O66"/>
    <mergeCell ref="A53:L53"/>
    <mergeCell ref="A54:K54"/>
    <mergeCell ref="A55:L55"/>
    <mergeCell ref="A56:L56"/>
    <mergeCell ref="B41:D41"/>
    <mergeCell ref="B42:D42"/>
    <mergeCell ref="B43:D43"/>
    <mergeCell ref="B44:D44"/>
    <mergeCell ref="B45:C45"/>
    <mergeCell ref="B46:D46"/>
    <mergeCell ref="J43:O48"/>
    <mergeCell ref="J41:L41"/>
    <mergeCell ref="A34:G34"/>
    <mergeCell ref="B35:D35"/>
    <mergeCell ref="B36:D36"/>
    <mergeCell ref="B37:D37"/>
    <mergeCell ref="B38:D38"/>
    <mergeCell ref="B39:D39"/>
    <mergeCell ref="B40:D40"/>
    <mergeCell ref="A50:O50"/>
    <mergeCell ref="A52:L52"/>
    <mergeCell ref="J37:L37"/>
    <mergeCell ref="B27:D27"/>
    <mergeCell ref="B28:D28"/>
    <mergeCell ref="B29:D29"/>
    <mergeCell ref="B30:D30"/>
    <mergeCell ref="B31:D31"/>
    <mergeCell ref="B32:D32"/>
    <mergeCell ref="A21:G21"/>
    <mergeCell ref="B22:D22"/>
    <mergeCell ref="I22:O22"/>
    <mergeCell ref="B23:D23"/>
    <mergeCell ref="J23:L26"/>
    <mergeCell ref="B24:D24"/>
    <mergeCell ref="B25:D25"/>
    <mergeCell ref="B26:D26"/>
    <mergeCell ref="I32:O33"/>
    <mergeCell ref="B33:D33"/>
    <mergeCell ref="A15:G15"/>
    <mergeCell ref="I15:O15"/>
    <mergeCell ref="I18:O18"/>
    <mergeCell ref="A20:G20"/>
    <mergeCell ref="A11:B11"/>
    <mergeCell ref="C11:H11"/>
    <mergeCell ref="I11:K11"/>
    <mergeCell ref="L11:O11"/>
    <mergeCell ref="A13:O13"/>
    <mergeCell ref="B14:O14"/>
    <mergeCell ref="A17:G17"/>
    <mergeCell ref="A9:B9"/>
    <mergeCell ref="C9:H9"/>
    <mergeCell ref="I9:K9"/>
    <mergeCell ref="L9:O9"/>
    <mergeCell ref="A10:B10"/>
    <mergeCell ref="C10:H10"/>
    <mergeCell ref="I10:K10"/>
    <mergeCell ref="L10:O10"/>
    <mergeCell ref="A7:B7"/>
    <mergeCell ref="C7:H7"/>
    <mergeCell ref="I7:K7"/>
    <mergeCell ref="L7:O7"/>
    <mergeCell ref="A8:B8"/>
    <mergeCell ref="C8:H8"/>
    <mergeCell ref="I8:K8"/>
    <mergeCell ref="L8:O8"/>
    <mergeCell ref="A5:B5"/>
    <mergeCell ref="C5:H5"/>
    <mergeCell ref="I5:K5"/>
    <mergeCell ref="L5:O5"/>
    <mergeCell ref="A6:B6"/>
    <mergeCell ref="C6:H6"/>
    <mergeCell ref="I6:K6"/>
    <mergeCell ref="L6:O6"/>
    <mergeCell ref="B1:O1"/>
    <mergeCell ref="B2:O2"/>
    <mergeCell ref="A3:B3"/>
    <mergeCell ref="C3:O3"/>
    <mergeCell ref="A4:B4"/>
    <mergeCell ref="C4:O4"/>
  </mergeCells>
  <dataValidations disablePrompts="1" count="1">
    <dataValidation type="whole" errorStyle="warning" allowBlank="1" showInputMessage="1" showErrorMessage="1" errorTitle="CEILING TOO DEEP" sqref="M54:O54 M57:O57 M60:O60 M63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8" manualBreakCount="8">
    <brk id="12" max="16383" man="1"/>
    <brk id="49" max="16383" man="1"/>
    <brk id="65" max="16383" man="1"/>
    <brk id="104" max="16383" man="1"/>
    <brk id="143" max="16383" man="1"/>
    <brk id="182" max="16383" man="1"/>
    <brk id="220" max="16383" man="1"/>
    <brk id="258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I132"/>
  <sheetViews>
    <sheetView showGridLines="0" workbookViewId="0">
      <selection activeCell="C98" sqref="C98"/>
    </sheetView>
  </sheetViews>
  <sheetFormatPr defaultColWidth="4.140625" defaultRowHeight="15" x14ac:dyDescent="0.25"/>
  <cols>
    <col min="1" max="1" width="8" style="818" customWidth="1"/>
    <col min="2" max="2" width="16.85546875" style="494" customWidth="1"/>
    <col min="3" max="3" width="58.42578125" style="494" customWidth="1"/>
    <col min="4" max="4" width="13.85546875" style="494" customWidth="1"/>
    <col min="5" max="5" width="13.7109375" style="492" customWidth="1"/>
    <col min="6" max="6" width="13.140625" style="492" customWidth="1" collapsed="1"/>
    <col min="7" max="7" width="13.140625" style="492" customWidth="1"/>
    <col min="8" max="8" width="14" style="492" customWidth="1" collapsed="1"/>
    <col min="9" max="9" width="13.5703125" style="492" customWidth="1" collapsed="1"/>
    <col min="10" max="202" width="11.5703125" style="492" customWidth="1"/>
    <col min="203" max="203" width="3.85546875" style="492" customWidth="1"/>
    <col min="204" max="204" width="22" style="492" customWidth="1"/>
    <col min="205" max="207" width="4.140625" style="492" customWidth="1"/>
    <col min="208" max="208" width="5.85546875" style="492" customWidth="1"/>
    <col min="209" max="209" width="4.140625" style="492" customWidth="1"/>
    <col min="210" max="210" width="0.85546875" style="492" customWidth="1"/>
    <col min="211" max="211" width="5.85546875" style="492" customWidth="1"/>
    <col min="212" max="212" width="4.140625" style="492" customWidth="1"/>
    <col min="213" max="213" width="0.85546875" style="492" customWidth="1"/>
    <col min="214" max="214" width="5.85546875" style="492" customWidth="1"/>
    <col min="215" max="215" width="4.140625" style="492" customWidth="1"/>
    <col min="216" max="216" width="0.85546875" style="492" customWidth="1"/>
    <col min="217" max="217" width="5.85546875" style="492" customWidth="1"/>
    <col min="218" max="16384" width="4.140625" style="492"/>
  </cols>
  <sheetData>
    <row r="1" spans="1:9" x14ac:dyDescent="0.25">
      <c r="A1" s="1432" t="str">
        <f>'(G1) Fjalori'!A419</f>
        <v>(F1) BURIMET BUXHETORE</v>
      </c>
      <c r="B1" s="1432"/>
      <c r="C1" s="1432"/>
      <c r="D1" s="1432"/>
      <c r="E1" s="1432"/>
      <c r="F1" s="1432"/>
      <c r="G1" s="1432"/>
      <c r="H1" s="1432"/>
      <c r="I1" s="1432"/>
    </row>
    <row r="2" spans="1:9" s="536" customFormat="1" ht="12.75" customHeight="1" x14ac:dyDescent="0.25">
      <c r="A2" s="816"/>
      <c r="I2" s="817"/>
    </row>
    <row r="3" spans="1:9" x14ac:dyDescent="0.25">
      <c r="B3" s="492"/>
      <c r="C3" s="492"/>
      <c r="D3" s="495">
        <f>'(E1) Vlerësimi i burimeve'!D5</f>
        <v>2019</v>
      </c>
      <c r="E3" s="495">
        <f>'(E1) Vlerësimi i burimeve'!E5</f>
        <v>2020</v>
      </c>
      <c r="F3" s="495">
        <f>'(E1) Vlerësimi i burimeve'!F5</f>
        <v>2021</v>
      </c>
      <c r="G3" s="819">
        <f>'(E1) Vlerësimi i burimeve'!G5</f>
        <v>2022</v>
      </c>
      <c r="H3" s="819">
        <f>'(E1) Vlerësimi i burimeve'!P5</f>
        <v>2023</v>
      </c>
      <c r="I3" s="819">
        <f>'(E1) Vlerësimi i burimeve'!Y5</f>
        <v>2024</v>
      </c>
    </row>
    <row r="4" spans="1:9" s="529" customFormat="1" ht="30" x14ac:dyDescent="0.25">
      <c r="A4" s="820"/>
      <c r="B4" s="821"/>
      <c r="C4" s="821"/>
      <c r="D4" s="822" t="str">
        <f>'(E1) Vlerësimi i burimeve'!D6</f>
        <v>Viti t-2</v>
      </c>
      <c r="E4" s="822" t="str">
        <f>'(E1) Vlerësimi i burimeve'!E6</f>
        <v>Viti i shkuar</v>
      </c>
      <c r="F4" s="823" t="str">
        <f>'(E1) Vlerësimi i burimeve'!F6</f>
        <v>Viti aktual</v>
      </c>
      <c r="G4" s="824" t="str">
        <f>'(C4) Trashëgimi me destinacion'!D6</f>
        <v>Viti aktual</v>
      </c>
      <c r="H4" s="824" t="str">
        <f>'(C4) Trashëgimi me destinacion'!E6</f>
        <v>Viti t+1 (I pritur)</v>
      </c>
      <c r="I4" s="824" t="str">
        <f>'(C4) Trashëgimi me destinacion'!F6</f>
        <v>Viti t+2 (I pritur)</v>
      </c>
    </row>
    <row r="5" spans="1:9" x14ac:dyDescent="0.25">
      <c r="A5" s="815" t="str">
        <f>'(C2) Burimet viti kaluar'!C7</f>
        <v>A</v>
      </c>
      <c r="B5" s="1194" t="str">
        <f>'(E1) Vlerësimi i burimeve'!B7</f>
        <v>TË ARDHURA NGA BURIMET E VETA</v>
      </c>
      <c r="C5" s="1195"/>
      <c r="D5" s="503">
        <f>'(E1) Vlerësimi i burimeve'!D7</f>
        <v>290939361</v>
      </c>
      <c r="E5" s="503">
        <f>'(E1) Vlerësimi i burimeve'!E7</f>
        <v>307157414</v>
      </c>
      <c r="F5" s="503">
        <f>'(E1) Vlerësimi i burimeve'!F7</f>
        <v>589036721</v>
      </c>
      <c r="G5" s="503">
        <f>'(E1) Vlerësimi i burimeve'!O7</f>
        <v>594822801.79999995</v>
      </c>
      <c r="H5" s="503">
        <f>'(E1) Vlerësimi i burimeve'!X7</f>
        <v>599735527.227</v>
      </c>
      <c r="I5" s="503">
        <f>'(E1) Vlerësimi i burimeve'!AG7</f>
        <v>604067725.64750814</v>
      </c>
    </row>
    <row r="6" spans="1:9" x14ac:dyDescent="0.25">
      <c r="A6" s="825" t="str">
        <f>'(C2) Burimet viti kaluar'!C8</f>
        <v>A.1</v>
      </c>
      <c r="B6" s="1430" t="str">
        <f>'(E1) Vlerësimi i burimeve'!B8</f>
        <v>TË ARDHURA NGA TAKSAT LOKALE</v>
      </c>
      <c r="C6" s="1431"/>
      <c r="D6" s="507">
        <f>'(E1) Vlerësimi i burimeve'!D8</f>
        <v>83485418</v>
      </c>
      <c r="E6" s="507">
        <f>'(E1) Vlerësimi i burimeve'!E8</f>
        <v>79642315</v>
      </c>
      <c r="F6" s="507">
        <f>'(E1) Vlerësimi i burimeve'!F8</f>
        <v>197835000</v>
      </c>
      <c r="G6" s="507">
        <f>'(E1) Vlerësimi i burimeve'!O8</f>
        <v>201204247</v>
      </c>
      <c r="H6" s="507">
        <f>'(E1) Vlerësimi i burimeve'!X8</f>
        <v>202960990.46999997</v>
      </c>
      <c r="I6" s="507">
        <f>'(E1) Vlerësimi i burimeve'!AG8</f>
        <v>204751333.77409995</v>
      </c>
    </row>
    <row r="7" spans="1:9" ht="13.5" customHeight="1" x14ac:dyDescent="0.25">
      <c r="A7" s="510" t="str">
        <f>'(C2) Burimet viti kaluar'!C9</f>
        <v>A.1.1</v>
      </c>
      <c r="B7" s="510" t="str">
        <f>'(E1) Vlerësimi i burimeve'!B9</f>
        <v>Taksa vendore mbi biznesin e vogël</v>
      </c>
      <c r="C7" s="511"/>
      <c r="D7" s="512">
        <f>'(E1) Vlerësimi i burimeve'!D9</f>
        <v>2477148</v>
      </c>
      <c r="E7" s="513">
        <f>'(E1) Vlerësimi i burimeve'!E9</f>
        <v>2354788</v>
      </c>
      <c r="F7" s="513">
        <f>'(E1) Vlerësimi i burimeve'!F9</f>
        <v>4000000</v>
      </c>
      <c r="G7" s="516">
        <f>'(E1) Vlerësimi i burimeve'!O9</f>
        <v>4000000</v>
      </c>
      <c r="H7" s="516">
        <f>'(E1) Vlerësimi i burimeve'!X9</f>
        <v>4000000</v>
      </c>
      <c r="I7" s="516">
        <f>'(E1) Vlerësimi i burimeve'!AG9</f>
        <v>4000000</v>
      </c>
    </row>
    <row r="8" spans="1:9" ht="13.5" customHeight="1" x14ac:dyDescent="0.25">
      <c r="A8" s="510" t="str">
        <f>'(C2) Burimet viti kaluar'!C10</f>
        <v>A.1.2</v>
      </c>
      <c r="B8" s="518" t="str">
        <f>'(E1) Vlerësimi i burimeve'!B10</f>
        <v>Taksa mbi pasurinë e paluajtshme</v>
      </c>
      <c r="C8" s="519"/>
      <c r="D8" s="520">
        <f>'(E1) Vlerësimi i burimeve'!D10</f>
        <v>57067098</v>
      </c>
      <c r="E8" s="520">
        <f>'(E1) Vlerësimi i burimeve'!E10</f>
        <v>62226369</v>
      </c>
      <c r="F8" s="520">
        <f>'(E1) Vlerësimi i burimeve'!F10</f>
        <v>78600000</v>
      </c>
      <c r="G8" s="520">
        <f>'(E1) Vlerësimi i burimeve'!O10</f>
        <v>80171997</v>
      </c>
      <c r="H8" s="520">
        <f>'(E1) Vlerësimi i burimeve'!X10</f>
        <v>81775436.939999998</v>
      </c>
      <c r="I8" s="521">
        <f>'(E1) Vlerësimi i burimeve'!AG10</f>
        <v>83410945.678800002</v>
      </c>
    </row>
    <row r="9" spans="1:9" x14ac:dyDescent="0.25">
      <c r="A9" s="520" t="str">
        <f>'(C2) Burimet viti kaluar'!C11</f>
        <v>A.1.2.1</v>
      </c>
      <c r="B9" s="826" t="str">
        <f>'(E1) Vlerësimi i burimeve'!B11</f>
        <v>Taksa mbi ndërtesën</v>
      </c>
      <c r="C9" s="827"/>
      <c r="D9" s="512">
        <f>'(E1) Vlerësimi i burimeve'!D11</f>
        <v>51324261</v>
      </c>
      <c r="E9" s="513">
        <f>'(E1) Vlerësimi i burimeve'!E11</f>
        <v>55923655</v>
      </c>
      <c r="F9" s="513">
        <f>'(E1) Vlerësimi i burimeve'!F11</f>
        <v>69000000</v>
      </c>
      <c r="G9" s="516">
        <f>'(E1) Vlerësimi i burimeve'!O11</f>
        <v>70380000</v>
      </c>
      <c r="H9" s="516">
        <f>'(E1) Vlerësimi i burimeve'!X11</f>
        <v>71787600</v>
      </c>
      <c r="I9" s="516">
        <f>'(E1) Vlerësimi i burimeve'!AG11</f>
        <v>73223352</v>
      </c>
    </row>
    <row r="10" spans="1:9" ht="13.5" customHeight="1" x14ac:dyDescent="0.25">
      <c r="A10" s="520" t="str">
        <f>'(C2) Burimet viti kaluar'!C12</f>
        <v>A.1.2.2</v>
      </c>
      <c r="B10" s="826" t="str">
        <f>'(E1) Vlerësimi i burimeve'!B12</f>
        <v>Taksa mbi tokën bujqësore</v>
      </c>
      <c r="C10" s="827"/>
      <c r="D10" s="513">
        <f>'(E1) Vlerësimi i burimeve'!D12</f>
        <v>2244787</v>
      </c>
      <c r="E10" s="513">
        <f>'(E1) Vlerësimi i burimeve'!E12</f>
        <v>3047878</v>
      </c>
      <c r="F10" s="513">
        <f>'(E1) Vlerësimi i burimeve'!F12</f>
        <v>5200000</v>
      </c>
      <c r="G10" s="516">
        <f>'(E1) Vlerësimi i burimeve'!O12</f>
        <v>5303997</v>
      </c>
      <c r="H10" s="516">
        <f>'(E1) Vlerësimi i burimeve'!X12</f>
        <v>5410076.9400000004</v>
      </c>
      <c r="I10" s="516">
        <f>'(E1) Vlerësimi i burimeve'!AG12</f>
        <v>5518278.4788000006</v>
      </c>
    </row>
    <row r="11" spans="1:9" ht="13.5" customHeight="1" x14ac:dyDescent="0.25">
      <c r="A11" s="520" t="str">
        <f>'(C2) Burimet viti kaluar'!C13</f>
        <v>A.1.2.3</v>
      </c>
      <c r="B11" s="826" t="str">
        <f>'(E1) Vlerësimi i burimeve'!B13</f>
        <v>Taksa mbi truallin</v>
      </c>
      <c r="C11" s="827"/>
      <c r="D11" s="513">
        <f>'(E1) Vlerësimi i burimeve'!D13</f>
        <v>3498050</v>
      </c>
      <c r="E11" s="513">
        <f>'(E1) Vlerësimi i burimeve'!E13</f>
        <v>3254836</v>
      </c>
      <c r="F11" s="513">
        <f>'(E1) Vlerësimi i burimeve'!F13</f>
        <v>4400000</v>
      </c>
      <c r="G11" s="516">
        <f>'(E1) Vlerësimi i burimeve'!O13</f>
        <v>4488000</v>
      </c>
      <c r="H11" s="516">
        <f>'(E1) Vlerësimi i burimeve'!X13</f>
        <v>4577760</v>
      </c>
      <c r="I11" s="516">
        <f>'(E1) Vlerësimi i burimeve'!AG13</f>
        <v>4669315.2</v>
      </c>
    </row>
    <row r="12" spans="1:9" ht="13.5" customHeight="1" x14ac:dyDescent="0.25">
      <c r="A12" s="520" t="str">
        <f>'(C2) Burimet viti kaluar'!C14</f>
        <v>A.1.2.4</v>
      </c>
      <c r="B12" s="826" t="str">
        <f>'(E1) Vlerësimi i burimeve'!B14</f>
        <v>Taksa mbi transaksionet e pasurisë</v>
      </c>
      <c r="C12" s="827"/>
      <c r="D12" s="513">
        <f>'(E1) Vlerësimi i burimeve'!D14</f>
        <v>0</v>
      </c>
      <c r="E12" s="513">
        <f>'(E1) Vlerësimi i burimeve'!E14</f>
        <v>0</v>
      </c>
      <c r="F12" s="513">
        <f>'(E1) Vlerësimi i burimeve'!F14</f>
        <v>0</v>
      </c>
      <c r="G12" s="516">
        <f>'(E1) Vlerësimi i burimeve'!O14</f>
        <v>0</v>
      </c>
      <c r="H12" s="516">
        <f>'(E1) Vlerësimi i burimeve'!X14</f>
        <v>0</v>
      </c>
      <c r="I12" s="516">
        <f>'(E1) Vlerësimi i burimeve'!AG14</f>
        <v>0</v>
      </c>
    </row>
    <row r="13" spans="1:9" ht="13.5" customHeight="1" x14ac:dyDescent="0.25">
      <c r="A13" s="510" t="str">
        <f>'(C2) Burimet viti kaluar'!C15</f>
        <v>A.1.3</v>
      </c>
      <c r="B13" s="510" t="str">
        <f>'(E1) Vlerësimi i burimeve'!B15</f>
        <v>Taksa vendore në shërbimin hotelier</v>
      </c>
      <c r="C13" s="511"/>
      <c r="D13" s="513">
        <f>'(E1) Vlerësimi i burimeve'!D15</f>
        <v>6896273</v>
      </c>
      <c r="E13" s="513">
        <f>'(E1) Vlerësimi i burimeve'!E15</f>
        <v>1511071</v>
      </c>
      <c r="F13" s="513">
        <f>'(E1) Vlerësimi i burimeve'!F15</f>
        <v>9525000</v>
      </c>
      <c r="G13" s="516">
        <f>'(E1) Vlerësimi i burimeve'!O15</f>
        <v>9620250</v>
      </c>
      <c r="H13" s="516">
        <f>'(E1) Vlerësimi i burimeve'!X15</f>
        <v>9716452.5</v>
      </c>
      <c r="I13" s="516">
        <f>'(E1) Vlerësimi i burimeve'!AG15</f>
        <v>9813617.0250000004</v>
      </c>
    </row>
    <row r="14" spans="1:9" s="528" customFormat="1" ht="13.5" customHeight="1" x14ac:dyDescent="0.25">
      <c r="A14" s="510" t="str">
        <f>'(C2) Burimet viti kaluar'!C16</f>
        <v>A.1.4</v>
      </c>
      <c r="B14" s="510" t="str">
        <f>'(E1) Vlerësimi i burimeve'!B16</f>
        <v>Taksa e ndikimit në infrastrukturë nga ndërtimet e reja</v>
      </c>
      <c r="C14" s="511"/>
      <c r="D14" s="513">
        <f>'(E1) Vlerësimi i burimeve'!D16</f>
        <v>7651736</v>
      </c>
      <c r="E14" s="513">
        <f>'(E1) Vlerësimi i burimeve'!E16</f>
        <v>7284415</v>
      </c>
      <c r="F14" s="513">
        <f>'(E1) Vlerësimi i burimeve'!F16</f>
        <v>100000000</v>
      </c>
      <c r="G14" s="516">
        <f>'(E1) Vlerësimi i burimeve'!O16</f>
        <v>101701997</v>
      </c>
      <c r="H14" s="516">
        <f>'(E1) Vlerësimi i burimeve'!X16</f>
        <v>101701997</v>
      </c>
      <c r="I14" s="516">
        <f>'(E1) Vlerësimi i burimeve'!AG16</f>
        <v>101701997</v>
      </c>
    </row>
    <row r="15" spans="1:9" x14ac:dyDescent="0.25">
      <c r="A15" s="510" t="str">
        <f>'(C2) Burimet viti kaluar'!C17</f>
        <v>A.1.5</v>
      </c>
      <c r="B15" s="510" t="str">
        <f>'(E1) Vlerësimi i burimeve'!B17</f>
        <v>Taksa e tabelës</v>
      </c>
      <c r="C15" s="511"/>
      <c r="D15" s="513">
        <f>'(E1) Vlerësimi i burimeve'!D17</f>
        <v>1564880</v>
      </c>
      <c r="E15" s="513">
        <f>'(E1) Vlerësimi i burimeve'!E17</f>
        <v>6265672</v>
      </c>
      <c r="F15" s="513">
        <f>'(E1) Vlerësimi i burimeve'!F17</f>
        <v>5710000</v>
      </c>
      <c r="G15" s="516">
        <f>'(E1) Vlerësimi i burimeve'!O17</f>
        <v>5710003</v>
      </c>
      <c r="H15" s="516">
        <f>'(E1) Vlerësimi i burimeve'!X17</f>
        <v>5767104.0300000003</v>
      </c>
      <c r="I15" s="516">
        <f>'(E1) Vlerësimi i burimeve'!AG17</f>
        <v>5824774.0703000007</v>
      </c>
    </row>
    <row r="16" spans="1:9" ht="13.5" customHeight="1" x14ac:dyDescent="0.25">
      <c r="A16" s="510" t="str">
        <f>'(C2) Burimet viti kaluar'!C18</f>
        <v>A.1.6</v>
      </c>
      <c r="B16" s="510" t="str">
        <f>'(E1) Vlerësimi i burimeve'!B18</f>
        <v>Taksa vendore mbi të ardhurat e krijuara nga dhuratat, trashëgimi, testament dhe llotaritë vendore</v>
      </c>
      <c r="C16" s="511"/>
      <c r="D16" s="513">
        <f>'(E1) Vlerësimi i burimeve'!D18</f>
        <v>0</v>
      </c>
      <c r="E16" s="513">
        <f>'(E1) Vlerësimi i burimeve'!E18</f>
        <v>0</v>
      </c>
      <c r="F16" s="513">
        <f>'(E1) Vlerësimi i burimeve'!F18</f>
        <v>0</v>
      </c>
      <c r="G16" s="516">
        <f>'(E1) Vlerësimi i burimeve'!O18</f>
        <v>0</v>
      </c>
      <c r="H16" s="516">
        <f>'(E1) Vlerësimi i burimeve'!X18</f>
        <v>0</v>
      </c>
      <c r="I16" s="516">
        <f>'(E1) Vlerësimi i burimeve'!AG18</f>
        <v>0</v>
      </c>
    </row>
    <row r="17" spans="1:9" ht="13.5" customHeight="1" x14ac:dyDescent="0.25">
      <c r="A17" s="510" t="str">
        <f>'(C2) Burimet viti kaluar'!C19</f>
        <v>A.1.7</v>
      </c>
      <c r="B17" s="510" t="str">
        <f>'(E1) Vlerësimi i burimeve'!B19</f>
        <v>Taksa e përkohëshme</v>
      </c>
      <c r="C17" s="510" t="str">
        <f>'(E1) Vlerësimi i burimeve'!C19</f>
        <v>aaa</v>
      </c>
      <c r="D17" s="513">
        <f>'(E1) Vlerësimi i burimeve'!D19</f>
        <v>0</v>
      </c>
      <c r="E17" s="513">
        <f>'(E1) Vlerësimi i burimeve'!E19</f>
        <v>0</v>
      </c>
      <c r="F17" s="513">
        <f>'(E1) Vlerësimi i burimeve'!F19</f>
        <v>0</v>
      </c>
      <c r="G17" s="516">
        <f>'(E1) Vlerësimi i burimeve'!O19</f>
        <v>0</v>
      </c>
      <c r="H17" s="516">
        <f>'(E1) Vlerësimi i burimeve'!X19</f>
        <v>0</v>
      </c>
      <c r="I17" s="516">
        <f>'(E1) Vlerësimi i burimeve'!AG19</f>
        <v>0</v>
      </c>
    </row>
    <row r="18" spans="1:9" ht="13.5" customHeight="1" x14ac:dyDescent="0.25">
      <c r="A18" s="510" t="str">
        <f>'(C2) Burimet viti kaluar'!C20</f>
        <v>A.1.8</v>
      </c>
      <c r="B18" s="510" t="str">
        <f>'(E1) Vlerësimi i burimeve'!B20</f>
        <v>Taksa e përkohëshme 1</v>
      </c>
      <c r="C18" s="510" t="str">
        <f>'(E1) Vlerësimi i burimeve'!C20</f>
        <v>bbb</v>
      </c>
      <c r="D18" s="513">
        <f>'(E1) Vlerësimi i burimeve'!D20</f>
        <v>7828283</v>
      </c>
      <c r="E18" s="513">
        <f>'(E1) Vlerësimi i burimeve'!E20</f>
        <v>0</v>
      </c>
      <c r="F18" s="513">
        <f>'(E1) Vlerësimi i burimeve'!F20</f>
        <v>0</v>
      </c>
      <c r="G18" s="516">
        <f>'(E1) Vlerësimi i burimeve'!O20</f>
        <v>0</v>
      </c>
      <c r="H18" s="516">
        <f>'(E1) Vlerësimi i burimeve'!X20</f>
        <v>0</v>
      </c>
      <c r="I18" s="516">
        <f>'(E1) Vlerësimi i burimeve'!AG20</f>
        <v>0</v>
      </c>
    </row>
    <row r="19" spans="1:9" s="528" customFormat="1" ht="13.5" customHeight="1" x14ac:dyDescent="0.25">
      <c r="A19" s="510" t="str">
        <f>'(C2) Burimet viti kaluar'!C21</f>
        <v>A.1.9</v>
      </c>
      <c r="B19" s="510" t="str">
        <f>'(E1) Vlerësimi i burimeve'!B21</f>
        <v>Taksa e përkohëshme 2</v>
      </c>
      <c r="C19" s="510" t="str">
        <f>'(E1) Vlerësimi i burimeve'!C21</f>
        <v>ccc</v>
      </c>
      <c r="D19" s="513">
        <f>'(E1) Vlerësimi i burimeve'!D21</f>
        <v>0</v>
      </c>
      <c r="E19" s="513">
        <f>'(E1) Vlerësimi i burimeve'!E21</f>
        <v>0</v>
      </c>
      <c r="F19" s="513">
        <f>'(E1) Vlerësimi i burimeve'!F21</f>
        <v>0</v>
      </c>
      <c r="G19" s="516">
        <f>'(E1) Vlerësimi i burimeve'!O21</f>
        <v>0</v>
      </c>
      <c r="H19" s="516">
        <f>'(E1) Vlerësimi i burimeve'!X21</f>
        <v>0</v>
      </c>
      <c r="I19" s="516">
        <f>'(E1) Vlerësimi i burimeve'!AG21</f>
        <v>0</v>
      </c>
    </row>
    <row r="20" spans="1:9" x14ac:dyDescent="0.25">
      <c r="A20" s="825" t="str">
        <f>'(C2) Burimet viti kaluar'!C22</f>
        <v>A.2</v>
      </c>
      <c r="B20" s="1430" t="str">
        <f>'(E1) Vlerësimi i burimeve'!B22</f>
        <v>TË ARDHURA NGA TAKSAT E NDARA (GRANTE)</v>
      </c>
      <c r="C20" s="1431"/>
      <c r="D20" s="507">
        <f>'(E1) Vlerësimi i burimeve'!D22</f>
        <v>22350319</v>
      </c>
      <c r="E20" s="507">
        <f>'(E1) Vlerësimi i burimeve'!E22</f>
        <v>35247548</v>
      </c>
      <c r="F20" s="507">
        <f>'(E1) Vlerësimi i burimeve'!F22</f>
        <v>36400000</v>
      </c>
      <c r="G20" s="507">
        <f>'(E1) Vlerësimi i burimeve'!O22</f>
        <v>37554040</v>
      </c>
      <c r="H20" s="507">
        <f>'(E1) Vlerësimi i burimeve'!X22</f>
        <v>37604040</v>
      </c>
      <c r="I20" s="507">
        <f>'(E1) Vlerësimi i burimeve'!AG22</f>
        <v>37604040</v>
      </c>
    </row>
    <row r="21" spans="1:9" ht="13.5" customHeight="1" x14ac:dyDescent="0.25">
      <c r="A21" s="510" t="str">
        <f>'(C2) Burimet viti kaluar'!C23</f>
        <v>A.2.1</v>
      </c>
      <c r="B21" s="510" t="str">
        <f>'(E1) Vlerësimi i burimeve'!B23</f>
        <v>Taksa mbi kalimin e të drejtës së pronësisë / pasuritë e paluajtshme</v>
      </c>
      <c r="C21" s="511"/>
      <c r="D21" s="513">
        <f>'(E1) Vlerësimi i burimeve'!D23</f>
        <v>5766908</v>
      </c>
      <c r="E21" s="513">
        <f>'(E1) Vlerësimi i burimeve'!E23</f>
        <v>2696634</v>
      </c>
      <c r="F21" s="513">
        <f>'(E1) Vlerësimi i burimeve'!F23</f>
        <v>6200000</v>
      </c>
      <c r="G21" s="516">
        <f>'(E1) Vlerësimi i burimeve'!O23</f>
        <v>6300000.0000000009</v>
      </c>
      <c r="H21" s="516">
        <f>'(E1) Vlerësimi i burimeve'!X23</f>
        <v>6300000.0000000009</v>
      </c>
      <c r="I21" s="516">
        <f>'(E1) Vlerësimi i burimeve'!AG23</f>
        <v>6300000.0000000009</v>
      </c>
    </row>
    <row r="22" spans="1:9" ht="13.5" customHeight="1" x14ac:dyDescent="0.25">
      <c r="A22" s="510" t="str">
        <f>'(C2) Burimet viti kaluar'!C24</f>
        <v>A.2.2</v>
      </c>
      <c r="B22" s="510" t="str">
        <f>'(E1) Vlerësimi i burimeve'!B24</f>
        <v>Taksa vjetore për qarkullimin e mjeteve të përdorura</v>
      </c>
      <c r="C22" s="511"/>
      <c r="D22" s="513">
        <f>'(E1) Vlerësimi i burimeve'!D24</f>
        <v>16400241</v>
      </c>
      <c r="E22" s="513">
        <f>'(E1) Vlerësimi i burimeve'!E24</f>
        <v>19315106</v>
      </c>
      <c r="F22" s="513">
        <f>'(E1) Vlerësimi i burimeve'!F24</f>
        <v>20000000</v>
      </c>
      <c r="G22" s="516">
        <f>'(E1) Vlerësimi i burimeve'!O24</f>
        <v>20666750</v>
      </c>
      <c r="H22" s="516">
        <f>'(E1) Vlerësimi i burimeve'!X24</f>
        <v>20666750</v>
      </c>
      <c r="I22" s="516">
        <f>'(E1) Vlerësimi i burimeve'!AG24</f>
        <v>20666750</v>
      </c>
    </row>
    <row r="23" spans="1:9" ht="13.5" customHeight="1" x14ac:dyDescent="0.25">
      <c r="A23" s="510" t="str">
        <f>'(C2) Burimet viti kaluar'!C25</f>
        <v>A.2.3</v>
      </c>
      <c r="B23" s="510" t="str">
        <f>'(E1) Vlerësimi i burimeve'!B25</f>
        <v>Taksa e rentës minerare</v>
      </c>
      <c r="C23" s="511"/>
      <c r="D23" s="513">
        <f>'(E1) Vlerësimi i burimeve'!D25</f>
        <v>183170</v>
      </c>
      <c r="E23" s="513">
        <f>'(E1) Vlerësimi i burimeve'!E25</f>
        <v>446425</v>
      </c>
      <c r="F23" s="513">
        <f>'(E1) Vlerësimi i burimeve'!F25</f>
        <v>200000</v>
      </c>
      <c r="G23" s="516">
        <f>'(E1) Vlerësimi i burimeve'!O25</f>
        <v>250000</v>
      </c>
      <c r="H23" s="516">
        <f>'(E1) Vlerësimi i burimeve'!X25</f>
        <v>300000</v>
      </c>
      <c r="I23" s="516">
        <f>'(E1) Vlerësimi i burimeve'!AG25</f>
        <v>300000</v>
      </c>
    </row>
    <row r="24" spans="1:9" ht="13.5" customHeight="1" x14ac:dyDescent="0.25">
      <c r="A24" s="510" t="str">
        <f>'(C2) Burimet viti kaluar'!C26</f>
        <v>A.2.4</v>
      </c>
      <c r="B24" s="510" t="str">
        <f>'(E1) Vlerësimi i burimeve'!B26</f>
        <v>Taksa mbi të ardhurat personale</v>
      </c>
      <c r="C24" s="511"/>
      <c r="D24" s="513">
        <f>'(E1) Vlerësimi i burimeve'!D26</f>
        <v>0</v>
      </c>
      <c r="E24" s="513">
        <f>'(E1) Vlerësimi i burimeve'!E26</f>
        <v>12789383</v>
      </c>
      <c r="F24" s="513">
        <f>'(E1) Vlerësimi i burimeve'!F26</f>
        <v>10000000</v>
      </c>
      <c r="G24" s="516">
        <f>'(E1) Vlerësimi i burimeve'!O26</f>
        <v>10337290</v>
      </c>
      <c r="H24" s="516">
        <f>'(E1) Vlerësimi i burimeve'!X26</f>
        <v>10337290</v>
      </c>
      <c r="I24" s="516">
        <f>'(E1) Vlerësimi i burimeve'!AG26</f>
        <v>10337290</v>
      </c>
    </row>
    <row r="25" spans="1:9" ht="13.5" customHeight="1" x14ac:dyDescent="0.25">
      <c r="A25" s="510" t="str">
        <f>'(C2) Burimet viti kaluar'!C27</f>
        <v>A.2.5</v>
      </c>
      <c r="B25" s="510" t="str">
        <f>'(E1) Vlerësimi i burimeve'!B27</f>
        <v xml:space="preserve">Taksa të tjera </v>
      </c>
      <c r="C25" s="511"/>
      <c r="D25" s="513">
        <f>'(E1) Vlerësimi i burimeve'!D27</f>
        <v>0</v>
      </c>
      <c r="E25" s="513">
        <f>'(E1) Vlerësimi i burimeve'!E27</f>
        <v>0</v>
      </c>
      <c r="F25" s="513">
        <f>'(E1) Vlerësimi i burimeve'!F27</f>
        <v>0</v>
      </c>
      <c r="G25" s="516">
        <f>'(E1) Vlerësimi i burimeve'!O27</f>
        <v>0</v>
      </c>
      <c r="H25" s="516">
        <f>'(E1) Vlerësimi i burimeve'!X27</f>
        <v>0</v>
      </c>
      <c r="I25" s="516">
        <f>'(E1) Vlerësimi i burimeve'!AG27</f>
        <v>0</v>
      </c>
    </row>
    <row r="26" spans="1:9" ht="18.75" customHeight="1" x14ac:dyDescent="0.25">
      <c r="A26" s="825" t="str">
        <f>'(C2) Burimet viti kaluar'!C28</f>
        <v>A.3</v>
      </c>
      <c r="B26" s="1430" t="str">
        <f>'(E1) Vlerësimi i burimeve'!B31</f>
        <v>TË ARDHURA NGA TARIFA VENDORE</v>
      </c>
      <c r="C26" s="1431"/>
      <c r="D26" s="507">
        <f>'(E1) Vlerësimi i burimeve'!D31</f>
        <v>170597464</v>
      </c>
      <c r="E26" s="507">
        <f>'(E1) Vlerësimi i burimeve'!E31</f>
        <v>172854265</v>
      </c>
      <c r="F26" s="507">
        <f>'(E1) Vlerësimi i burimeve'!F31</f>
        <v>278604000</v>
      </c>
      <c r="G26" s="507">
        <f>'(E1) Vlerësimi i burimeve'!O31</f>
        <v>288422526.79999995</v>
      </c>
      <c r="H26" s="507">
        <f>'(E1) Vlerësimi i burimeve'!X31</f>
        <v>291128508.75699997</v>
      </c>
      <c r="I26" s="507">
        <f>'(E1) Vlerësimi i burimeve'!AG31</f>
        <v>293670363.87340826</v>
      </c>
    </row>
    <row r="27" spans="1:9" ht="13.5" customHeight="1" x14ac:dyDescent="0.25">
      <c r="A27" s="510" t="str">
        <f>'(C2) Burimet viti kaluar'!C29</f>
        <v>A.3.1</v>
      </c>
      <c r="B27" s="510" t="str">
        <f>'(E1) Vlerësimi i burimeve'!B32</f>
        <v>Tarifa me menaxhimit te mbetjeve</v>
      </c>
      <c r="C27" s="511"/>
      <c r="D27" s="520">
        <f>'(E1) Vlerësimi i burimeve'!D32</f>
        <v>74919468</v>
      </c>
      <c r="E27" s="520">
        <f>'(E1) Vlerësimi i burimeve'!E32</f>
        <v>77760684</v>
      </c>
      <c r="F27" s="520">
        <f>'(E1) Vlerësimi i burimeve'!F32</f>
        <v>123000000</v>
      </c>
      <c r="G27" s="520">
        <f>'(E1) Vlerësimi i burimeve'!O32</f>
        <v>124299999.99999999</v>
      </c>
      <c r="H27" s="520">
        <f>'(E1) Vlerësimi i burimeve'!X32</f>
        <v>125517999.99999997</v>
      </c>
      <c r="I27" s="521">
        <f>'(E1) Vlerësimi i burimeve'!AG32</f>
        <v>126754269.99999996</v>
      </c>
    </row>
    <row r="28" spans="1:9" ht="13.5" customHeight="1" x14ac:dyDescent="0.25">
      <c r="A28" s="520" t="str">
        <f>'(C2) Burimet viti kaluar'!C30</f>
        <v>A.3.1.1</v>
      </c>
      <c r="B28" s="826" t="str">
        <f>'(E1) Vlerësimi i burimeve'!B33</f>
        <v>Tarifa e pastrimit për familjet</v>
      </c>
      <c r="C28" s="827"/>
      <c r="D28" s="513">
        <f>'(E1) Vlerësimi i burimeve'!D33</f>
        <v>74919468</v>
      </c>
      <c r="E28" s="513">
        <f>'(E1) Vlerësimi i burimeve'!E33</f>
        <v>44491055</v>
      </c>
      <c r="F28" s="513">
        <f>'(E1) Vlerësimi i burimeve'!F33</f>
        <v>80000000</v>
      </c>
      <c r="G28" s="516">
        <f>'(E1) Vlerësimi i burimeve'!O33</f>
        <v>81199999.999999985</v>
      </c>
      <c r="H28" s="516">
        <f>'(E1) Vlerësimi i burimeve'!X33</f>
        <v>82417999.99999997</v>
      </c>
      <c r="I28" s="516">
        <f>'(E1) Vlerësimi i burimeve'!AG33</f>
        <v>83654269.999999955</v>
      </c>
    </row>
    <row r="29" spans="1:9" s="528" customFormat="1" ht="13.5" customHeight="1" x14ac:dyDescent="0.25">
      <c r="A29" s="520" t="str">
        <f>'(C2) Burimet viti kaluar'!C31</f>
        <v>A.3.1.2</v>
      </c>
      <c r="B29" s="826" t="str">
        <f>'(E1) Vlerësimi i burimeve'!B34</f>
        <v>Tarifa e pastrimit për institucionet</v>
      </c>
      <c r="C29" s="827"/>
      <c r="D29" s="513">
        <f>'(E1) Vlerësimi i burimeve'!D34</f>
        <v>0</v>
      </c>
      <c r="E29" s="513">
        <f>'(E1) Vlerësimi i burimeve'!E34</f>
        <v>30269629</v>
      </c>
      <c r="F29" s="513">
        <f>'(E1) Vlerësimi i burimeve'!F34</f>
        <v>40000000</v>
      </c>
      <c r="G29" s="516">
        <f>'(E1) Vlerësimi i burimeve'!O34</f>
        <v>40000000</v>
      </c>
      <c r="H29" s="516">
        <f>'(E1) Vlerësimi i burimeve'!X34</f>
        <v>40000000</v>
      </c>
      <c r="I29" s="516">
        <f>'(E1) Vlerësimi i burimeve'!AG34</f>
        <v>40000000</v>
      </c>
    </row>
    <row r="30" spans="1:9" x14ac:dyDescent="0.25">
      <c r="A30" s="520" t="str">
        <f>'(C2) Burimet viti kaluar'!C32</f>
        <v>A.3.1.3</v>
      </c>
      <c r="B30" s="826" t="str">
        <f>'(E1) Vlerësimi i burimeve'!B35</f>
        <v>Tarifa e pastrimit për biznesin</v>
      </c>
      <c r="C30" s="827"/>
      <c r="D30" s="513">
        <f>'(E1) Vlerësimi i burimeve'!D35</f>
        <v>0</v>
      </c>
      <c r="E30" s="513">
        <f>'(E1) Vlerësimi i burimeve'!E35</f>
        <v>3000000</v>
      </c>
      <c r="F30" s="513">
        <f>'(E1) Vlerësimi i burimeve'!F35</f>
        <v>3000000</v>
      </c>
      <c r="G30" s="516">
        <f>'(E1) Vlerësimi i burimeve'!O35</f>
        <v>3000000</v>
      </c>
      <c r="H30" s="516">
        <f>'(E1) Vlerësimi i burimeve'!X35</f>
        <v>3000000</v>
      </c>
      <c r="I30" s="516">
        <f>'(E1) Vlerësimi i burimeve'!AG35</f>
        <v>3000000</v>
      </c>
    </row>
    <row r="31" spans="1:9" ht="13.5" customHeight="1" x14ac:dyDescent="0.25">
      <c r="A31" s="510" t="str">
        <f>'(C2) Burimet viti kaluar'!C33</f>
        <v>A.3.2</v>
      </c>
      <c r="B31" s="510" t="str">
        <f>'(E1) Vlerësimi i burimeve'!B36</f>
        <v>Tarifa për mbledhjen dhe largimin e mbetjeve</v>
      </c>
      <c r="C31" s="511"/>
      <c r="D31" s="513">
        <f>'(E1) Vlerësimi i burimeve'!D36</f>
        <v>0</v>
      </c>
      <c r="E31" s="513">
        <f>'(E1) Vlerësimi i burimeve'!E36</f>
        <v>0</v>
      </c>
      <c r="F31" s="513">
        <f>'(E1) Vlerësimi i burimeve'!F36</f>
        <v>100000</v>
      </c>
      <c r="G31" s="516">
        <f>'(E1) Vlerësimi i burimeve'!O36</f>
        <v>100000</v>
      </c>
      <c r="H31" s="516">
        <f>'(E1) Vlerësimi i burimeve'!X36</f>
        <v>100000</v>
      </c>
      <c r="I31" s="516">
        <f>'(E1) Vlerësimi i burimeve'!AG36</f>
        <v>100000</v>
      </c>
    </row>
    <row r="32" spans="1:9" ht="13.5" customHeight="1" x14ac:dyDescent="0.25">
      <c r="A32" s="510" t="str">
        <f>'(C2) Burimet viti kaluar'!C34</f>
        <v>A.3.3</v>
      </c>
      <c r="B32" s="510" t="str">
        <f>'(E1) Vlerësimi i burimeve'!B37</f>
        <v>Tarifa për ndriçimin publik</v>
      </c>
      <c r="C32" s="511"/>
      <c r="D32" s="520">
        <f>'(E1) Vlerësimi i burimeve'!D37</f>
        <v>17765132</v>
      </c>
      <c r="E32" s="520">
        <f>'(E1) Vlerësimi i burimeve'!E37</f>
        <v>17574974</v>
      </c>
      <c r="F32" s="520">
        <f>'(E1) Vlerësimi i burimeve'!F37</f>
        <v>29060000</v>
      </c>
      <c r="G32" s="520">
        <f>'(E1) Vlerësimi i burimeve'!O37</f>
        <v>29389999.999999996</v>
      </c>
      <c r="H32" s="520">
        <f>'(E1) Vlerësimi i burimeve'!X37</f>
        <v>29724949.999999993</v>
      </c>
      <c r="I32" s="521">
        <f>'(E1) Vlerësimi i burimeve'!AG37</f>
        <v>30064924.249999989</v>
      </c>
    </row>
    <row r="33" spans="1:9" ht="13.5" customHeight="1" x14ac:dyDescent="0.25">
      <c r="A33" s="520" t="str">
        <f>'(C2) Burimet viti kaluar'!C35</f>
        <v>A.3.3.1</v>
      </c>
      <c r="B33" s="826" t="str">
        <f>'(E1) Vlerësimi i burimeve'!B38</f>
        <v>Tarifa për ndriçimin publik nga familjet</v>
      </c>
      <c r="C33" s="827"/>
      <c r="D33" s="513">
        <f>'(E1) Vlerësimi i burimeve'!D38</f>
        <v>17765132</v>
      </c>
      <c r="E33" s="513">
        <f>'(E1) Vlerësimi i burimeve'!E38</f>
        <v>12316908</v>
      </c>
      <c r="F33" s="513">
        <f>'(E1) Vlerësimi i burimeve'!F38</f>
        <v>22000000</v>
      </c>
      <c r="G33" s="516">
        <f>'(E1) Vlerësimi i burimeve'!O38</f>
        <v>22329999.999999996</v>
      </c>
      <c r="H33" s="516">
        <f>'(E1) Vlerësimi i burimeve'!X38</f>
        <v>22664949.999999993</v>
      </c>
      <c r="I33" s="516">
        <f>'(E1) Vlerësimi i burimeve'!AG38</f>
        <v>23004924.249999989</v>
      </c>
    </row>
    <row r="34" spans="1:9" ht="13.5" customHeight="1" x14ac:dyDescent="0.25">
      <c r="A34" s="520" t="str">
        <f>'(C2) Burimet viti kaluar'!C36</f>
        <v>A.3.3.2</v>
      </c>
      <c r="B34" s="826" t="str">
        <f>'(E1) Vlerësimi i burimeve'!B39</f>
        <v>Tarifa për ndriçimin publik nga institucionet</v>
      </c>
      <c r="C34" s="827"/>
      <c r="D34" s="513">
        <f>'(E1) Vlerësimi i burimeve'!D39</f>
        <v>0</v>
      </c>
      <c r="E34" s="513">
        <f>'(E1) Vlerësimi i burimeve'!E39</f>
        <v>5200000</v>
      </c>
      <c r="F34" s="513">
        <f>'(E1) Vlerësimi i burimeve'!F39</f>
        <v>7000000</v>
      </c>
      <c r="G34" s="516">
        <f>'(E1) Vlerësimi i burimeve'!O39</f>
        <v>7000000</v>
      </c>
      <c r="H34" s="516">
        <f>'(E1) Vlerësimi i burimeve'!X39</f>
        <v>7000000</v>
      </c>
      <c r="I34" s="516">
        <f>'(E1) Vlerësimi i burimeve'!AG39</f>
        <v>7000000</v>
      </c>
    </row>
    <row r="35" spans="1:9" ht="13.5" customHeight="1" x14ac:dyDescent="0.25">
      <c r="A35" s="520" t="str">
        <f>'(C2) Burimet viti kaluar'!C37</f>
        <v>A.3.3.3</v>
      </c>
      <c r="B35" s="826" t="str">
        <f>'(E1) Vlerësimi i burimeve'!B40</f>
        <v>Tarifa për ndriçimin publik nga biznesi</v>
      </c>
      <c r="C35" s="827"/>
      <c r="D35" s="513">
        <f>'(E1) Vlerësimi i burimeve'!D40</f>
        <v>0</v>
      </c>
      <c r="E35" s="513">
        <f>'(E1) Vlerësimi i burimeve'!E40</f>
        <v>58066</v>
      </c>
      <c r="F35" s="513">
        <f>'(E1) Vlerësimi i burimeve'!F40</f>
        <v>60000</v>
      </c>
      <c r="G35" s="516">
        <f>'(E1) Vlerësimi i burimeve'!O40</f>
        <v>60000</v>
      </c>
      <c r="H35" s="516">
        <f>'(E1) Vlerësimi i burimeve'!X40</f>
        <v>60000</v>
      </c>
      <c r="I35" s="516">
        <f>'(E1) Vlerësimi i burimeve'!AG40</f>
        <v>60000</v>
      </c>
    </row>
    <row r="36" spans="1:9" ht="13.5" customHeight="1" x14ac:dyDescent="0.25">
      <c r="A36" s="510" t="str">
        <f>'(C2) Burimet viti kaluar'!C38</f>
        <v>A.3.4</v>
      </c>
      <c r="B36" s="510" t="str">
        <f>'(E1) Vlerësimi i burimeve'!B41</f>
        <v>Tarifa për gjelbërimin</v>
      </c>
      <c r="C36" s="511"/>
      <c r="D36" s="520">
        <f>'(E1) Vlerësimi i burimeve'!D41</f>
        <v>34714918</v>
      </c>
      <c r="E36" s="520">
        <f>'(E1) Vlerësimi i burimeve'!E41</f>
        <v>37206560</v>
      </c>
      <c r="F36" s="520">
        <f>'(E1) Vlerësimi i burimeve'!F41</f>
        <v>62000000</v>
      </c>
      <c r="G36" s="520">
        <f>'(E1) Vlerësimi i burimeve'!O41</f>
        <v>75907507</v>
      </c>
      <c r="H36" s="520">
        <f>'(E1) Vlerësimi i burimeve'!X41</f>
        <v>76716119.605000004</v>
      </c>
      <c r="I36" s="521">
        <f>'(E1) Vlerësimi i burimeve'!AG41</f>
        <v>77536860.399075001</v>
      </c>
    </row>
    <row r="37" spans="1:9" ht="13.5" customHeight="1" x14ac:dyDescent="0.25">
      <c r="A37" s="520" t="str">
        <f>'(C2) Burimet viti kaluar'!C39</f>
        <v>A.3.4.1</v>
      </c>
      <c r="B37" s="826" t="str">
        <f>'(E1) Vlerësimi i burimeve'!B42</f>
        <v>Tarifa për gjelbërimin nga familjet</v>
      </c>
      <c r="C37" s="827"/>
      <c r="D37" s="513">
        <f>'(E1) Vlerësimi i burimeve'!D42</f>
        <v>34714918</v>
      </c>
      <c r="E37" s="513">
        <f>'(E1) Vlerësimi i burimeve'!E42</f>
        <v>21288486</v>
      </c>
      <c r="F37" s="513">
        <f>'(E1) Vlerësimi i burimeve'!F42</f>
        <v>40000000</v>
      </c>
      <c r="G37" s="516">
        <f>'(E1) Vlerësimi i burimeve'!O42</f>
        <v>40712507.000000007</v>
      </c>
      <c r="H37" s="516">
        <f>'(E1) Vlerësimi i burimeve'!X42</f>
        <v>41323194.605000004</v>
      </c>
      <c r="I37" s="516">
        <f>'(E1) Vlerësimi i burimeve'!AG42</f>
        <v>41943041.524075001</v>
      </c>
    </row>
    <row r="38" spans="1:9" ht="13.5" customHeight="1" x14ac:dyDescent="0.25">
      <c r="A38" s="520" t="str">
        <f>'(C2) Burimet viti kaluar'!C40</f>
        <v>A.3.4.2</v>
      </c>
      <c r="B38" s="826" t="str">
        <f>'(E1) Vlerësimi i burimeve'!B43</f>
        <v>Tarifa për gjelbërimin nga Institucionet</v>
      </c>
      <c r="C38" s="827"/>
      <c r="D38" s="513">
        <f>'(E1) Vlerësimi i burimeve'!D43</f>
        <v>0</v>
      </c>
      <c r="E38" s="513">
        <f>'(E1) Vlerësimi i burimeve'!E43</f>
        <v>15000000</v>
      </c>
      <c r="F38" s="513">
        <f>'(E1) Vlerësimi i burimeve'!F43</f>
        <v>20500000</v>
      </c>
      <c r="G38" s="516">
        <f>'(E1) Vlerësimi i burimeve'!O43</f>
        <v>20500000</v>
      </c>
      <c r="H38" s="516">
        <f>'(E1) Vlerësimi i burimeve'!X43</f>
        <v>20500000</v>
      </c>
      <c r="I38" s="516">
        <f>'(E1) Vlerësimi i burimeve'!AG43</f>
        <v>20500000</v>
      </c>
    </row>
    <row r="39" spans="1:9" ht="13.5" customHeight="1" x14ac:dyDescent="0.25">
      <c r="A39" s="520" t="str">
        <f>'(C2) Burimet viti kaluar'!C41</f>
        <v>A.3.4.3</v>
      </c>
      <c r="B39" s="826" t="str">
        <f>'(E1) Vlerësimi i burimeve'!B44</f>
        <v>Tarifa për gjelbërimin nga bizneset</v>
      </c>
      <c r="C39" s="827"/>
      <c r="D39" s="513">
        <f>'(E1) Vlerësimi i burimeve'!D44</f>
        <v>0</v>
      </c>
      <c r="E39" s="513">
        <f>'(E1) Vlerësimi i burimeve'!E44</f>
        <v>918074</v>
      </c>
      <c r="F39" s="513">
        <f>'(E1) Vlerësimi i burimeve'!F44</f>
        <v>1500000</v>
      </c>
      <c r="G39" s="516">
        <f>'(E1) Vlerësimi i burimeve'!O44</f>
        <v>1500000</v>
      </c>
      <c r="H39" s="516">
        <f>'(E1) Vlerësimi i burimeve'!X44</f>
        <v>1500000</v>
      </c>
      <c r="I39" s="516">
        <f>'(E1) Vlerësimi i burimeve'!AG44</f>
        <v>1500000</v>
      </c>
    </row>
    <row r="40" spans="1:9" ht="13.5" customHeight="1" x14ac:dyDescent="0.25">
      <c r="A40" s="510" t="str">
        <f>'(C2) Burimet viti kaluar'!C45</f>
        <v>A.3.5</v>
      </c>
      <c r="B40" s="510" t="str">
        <f>'(E1) Vlerësimi i burimeve'!B46</f>
        <v>Tarifa për shërbimet administrative të bashkisë</v>
      </c>
      <c r="C40" s="511"/>
      <c r="D40" s="520">
        <f>'(E1) Vlerësimi i burimeve'!D46</f>
        <v>31077612</v>
      </c>
      <c r="E40" s="520">
        <f>'(E1) Vlerësimi i burimeve'!E46</f>
        <v>25360257</v>
      </c>
      <c r="F40" s="520">
        <f>'(E1) Vlerësimi i burimeve'!F46</f>
        <v>31570000</v>
      </c>
      <c r="G40" s="520">
        <f>'(E1) Vlerësimi i burimeve'!O46</f>
        <v>38762170</v>
      </c>
      <c r="H40" s="520">
        <f>'(E1) Vlerësimi i burimeve'!X46</f>
        <v>39101850.502000004</v>
      </c>
      <c r="I40" s="521">
        <f>'(E1) Vlerësimi i burimeve'!AG46</f>
        <v>39141927.989083305</v>
      </c>
    </row>
    <row r="41" spans="1:9" ht="13.5" customHeight="1" x14ac:dyDescent="0.25">
      <c r="A41" s="520" t="str">
        <f>'(C2) Burimet viti kaluar'!C46</f>
        <v>A.3.5.1</v>
      </c>
      <c r="B41" s="826" t="str">
        <f>'(E1) Vlerësimi i burimeve'!B47</f>
        <v>Tarifa për shërbimet administrative të bashkisë</v>
      </c>
      <c r="C41" s="827"/>
      <c r="D41" s="513">
        <f>'(E1) Vlerësimi i burimeve'!D47</f>
        <v>402200</v>
      </c>
      <c r="E41" s="513">
        <f>'(E1) Vlerësimi i burimeve'!E47</f>
        <v>0</v>
      </c>
      <c r="F41" s="513">
        <f>'(E1) Vlerësimi i burimeve'!F47</f>
        <v>1000000</v>
      </c>
      <c r="G41" s="516">
        <f>'(E1) Vlerësimi i burimeve'!O47</f>
        <v>635950.00000000012</v>
      </c>
      <c r="H41" s="516">
        <f>'(E1) Vlerësimi i burimeve'!X47</f>
        <v>635950.00000000012</v>
      </c>
      <c r="I41" s="516">
        <f>'(E1) Vlerësimi i burimeve'!AG47</f>
        <v>635950.00000000012</v>
      </c>
    </row>
    <row r="42" spans="1:9" ht="13.5" customHeight="1" x14ac:dyDescent="0.25">
      <c r="A42" s="520" t="str">
        <f>'(C2) Burimet viti kaluar'!C47</f>
        <v>A.3.5.2</v>
      </c>
      <c r="B42" s="826" t="str">
        <f>'(E1) Vlerësimi i burimeve'!B48</f>
        <v>Tarifa për dhënien e liçensave, lejeve e autorizimeve</v>
      </c>
      <c r="C42" s="827"/>
      <c r="D42" s="513">
        <f>'(E1) Vlerësimi i burimeve'!D48</f>
        <v>668110</v>
      </c>
      <c r="E42" s="513">
        <f>'(E1) Vlerësimi i burimeve'!E48</f>
        <v>0</v>
      </c>
      <c r="F42" s="513">
        <f>'(E1) Vlerësimi i burimeve'!F48</f>
        <v>0</v>
      </c>
      <c r="G42" s="516">
        <f>'(E1) Vlerësimi i burimeve'!O48</f>
        <v>500000</v>
      </c>
      <c r="H42" s="516">
        <f>'(E1) Vlerësimi i burimeve'!X48</f>
        <v>500000</v>
      </c>
      <c r="I42" s="516">
        <f>'(E1) Vlerësimi i burimeve'!AG48</f>
        <v>500000</v>
      </c>
    </row>
    <row r="43" spans="1:9" ht="13.5" customHeight="1" x14ac:dyDescent="0.25">
      <c r="A43" s="520" t="str">
        <f>'(C2) Burimet viti kaluar'!C48</f>
        <v>A.3.5.3</v>
      </c>
      <c r="B43" s="826" t="str">
        <f>'(E1) Vlerësimi i burimeve'!B49</f>
        <v>Tarifa të kontrollit të zhvillimit të territorit</v>
      </c>
      <c r="C43" s="827"/>
      <c r="D43" s="513">
        <f>'(E1) Vlerësimi i burimeve'!D49</f>
        <v>19069131</v>
      </c>
      <c r="E43" s="513">
        <f>'(E1) Vlerësimi i burimeve'!E49</f>
        <v>9107938</v>
      </c>
      <c r="F43" s="513">
        <f>'(E1) Vlerësimi i burimeve'!F49</f>
        <v>17000000</v>
      </c>
      <c r="G43" s="516">
        <f>'(E1) Vlerësimi i burimeve'!O49</f>
        <v>17500000</v>
      </c>
      <c r="H43" s="516">
        <f>'(E1) Vlerësimi i burimeve'!X49</f>
        <v>17600000</v>
      </c>
      <c r="I43" s="516">
        <f>'(E1) Vlerësimi i burimeve'!AG49</f>
        <v>17600000</v>
      </c>
    </row>
    <row r="44" spans="1:9" ht="13.5" customHeight="1" x14ac:dyDescent="0.25">
      <c r="A44" s="520" t="str">
        <f>'(C2) Burimet viti kaluar'!C49</f>
        <v>A.3.5.4</v>
      </c>
      <c r="B44" s="826" t="str">
        <f>'(E1) Vlerësimi i burimeve'!B50</f>
        <v>Tarifa për vulosje veterinarie të bagëtive të therura</v>
      </c>
      <c r="C44" s="827"/>
      <c r="D44" s="513">
        <f>'(E1) Vlerësimi i burimeve'!D50</f>
        <v>796800</v>
      </c>
      <c r="E44" s="513">
        <f>'(E1) Vlerësimi i burimeve'!E50</f>
        <v>910000</v>
      </c>
      <c r="F44" s="513">
        <f>'(E1) Vlerësimi i burimeve'!F50</f>
        <v>770000</v>
      </c>
      <c r="G44" s="516">
        <f>'(E1) Vlerësimi i burimeve'!O50</f>
        <v>800000</v>
      </c>
      <c r="H44" s="516">
        <f>'(E1) Vlerësimi i burimeve'!X50</f>
        <v>800000</v>
      </c>
      <c r="I44" s="516">
        <f>'(E1) Vlerësimi i burimeve'!AG50</f>
        <v>800000</v>
      </c>
    </row>
    <row r="45" spans="1:9" ht="13.5" customHeight="1" x14ac:dyDescent="0.25">
      <c r="A45" s="520" t="str">
        <f>'(C2) Burimet viti kaluar'!C50</f>
        <v>A.3.5.5</v>
      </c>
      <c r="B45" s="826" t="str">
        <f>'(E1) Vlerësimi i burimeve'!B51</f>
        <v>Tarifa e liçensimit të veprimtarive të transportit</v>
      </c>
      <c r="C45" s="827"/>
      <c r="D45" s="513">
        <f>'(E1) Vlerësimi i burimeve'!D51</f>
        <v>776563</v>
      </c>
      <c r="E45" s="513">
        <f>'(E1) Vlerësimi i burimeve'!E51</f>
        <v>1203844</v>
      </c>
      <c r="F45" s="513">
        <f>'(E1) Vlerësimi i burimeve'!F51</f>
        <v>1000000</v>
      </c>
      <c r="G45" s="516">
        <f>'(E1) Vlerësimi i burimeve'!O51</f>
        <v>1000000</v>
      </c>
      <c r="H45" s="516">
        <f>'(E1) Vlerësimi i burimeve'!X51</f>
        <v>1200000</v>
      </c>
      <c r="I45" s="516">
        <f>'(E1) Vlerësimi i burimeve'!AG51</f>
        <v>1200000</v>
      </c>
    </row>
    <row r="46" spans="1:9" ht="13.5" customHeight="1" x14ac:dyDescent="0.25">
      <c r="A46" s="520" t="str">
        <f>'(C2) Burimet viti kaluar'!C51</f>
        <v>A.3.5.6</v>
      </c>
      <c r="B46" s="826" t="str">
        <f>'(E1) Vlerësimi i burimeve'!B52</f>
        <v>Tarifa e parkimit për mjetet e liçensuara dhe vendparkime publike</v>
      </c>
      <c r="C46" s="827"/>
      <c r="D46" s="513">
        <f>'(E1) Vlerësimi i burimeve'!D52</f>
        <v>2567926</v>
      </c>
      <c r="E46" s="513">
        <f>'(E1) Vlerësimi i burimeve'!E52</f>
        <v>2421850</v>
      </c>
      <c r="F46" s="513">
        <f>'(E1) Vlerësimi i burimeve'!F52</f>
        <v>4000000</v>
      </c>
      <c r="G46" s="516">
        <f>'(E1) Vlerësimi i burimeve'!O52</f>
        <v>4000000</v>
      </c>
      <c r="H46" s="516">
        <f>'(E1) Vlerësimi i burimeve'!X52</f>
        <v>4000000</v>
      </c>
      <c r="I46" s="516">
        <f>'(E1) Vlerësimi i burimeve'!AG52</f>
        <v>4000000</v>
      </c>
    </row>
    <row r="47" spans="1:9" ht="13.5" customHeight="1" x14ac:dyDescent="0.25">
      <c r="A47" s="520" t="str">
        <f>'(C2) Burimet viti kaluar'!C52</f>
        <v>A.3.5.7</v>
      </c>
      <c r="B47" s="826" t="str">
        <f>'(E1) Vlerësimi i burimeve'!B53</f>
        <v>Tarifa për dhënie liçense për tregtimin e naftës bruto dhe nënprodukteve të saj</v>
      </c>
      <c r="C47" s="827"/>
      <c r="D47" s="513">
        <f>'(E1) Vlerësimi i burimeve'!D53</f>
        <v>0</v>
      </c>
      <c r="E47" s="513">
        <f>'(E1) Vlerësimi i burimeve'!E53</f>
        <v>0</v>
      </c>
      <c r="F47" s="513">
        <f>'(E1) Vlerësimi i burimeve'!F53</f>
        <v>0</v>
      </c>
      <c r="G47" s="516">
        <f>'(E1) Vlerësimi i burimeve'!O53</f>
        <v>0</v>
      </c>
      <c r="H47" s="516">
        <f>'(E1) Vlerësimi i burimeve'!X53</f>
        <v>0</v>
      </c>
      <c r="I47" s="516">
        <f>'(E1) Vlerësimi i burimeve'!AG53</f>
        <v>0</v>
      </c>
    </row>
    <row r="48" spans="1:9" x14ac:dyDescent="0.25">
      <c r="A48" s="520" t="str">
        <f>'(C2) Burimet viti kaluar'!C53</f>
        <v>A.3.5.8</v>
      </c>
      <c r="B48" s="826" t="str">
        <f>'(E1) Vlerësimi i burimeve'!B54</f>
        <v>Tarifa për pyejt dhe kullotat</v>
      </c>
      <c r="C48" s="827"/>
      <c r="D48" s="513">
        <f>'(E1) Vlerësimi i burimeve'!D54</f>
        <v>428130</v>
      </c>
      <c r="E48" s="513">
        <f>'(E1) Vlerësimi i burimeve'!E54</f>
        <v>345541</v>
      </c>
      <c r="F48" s="513">
        <f>'(E1) Vlerësimi i burimeve'!F54</f>
        <v>500000</v>
      </c>
      <c r="G48" s="516">
        <f>'(E1) Vlerësimi i burimeve'!O54</f>
        <v>2800000</v>
      </c>
      <c r="H48" s="516">
        <f>'(E1) Vlerësimi i burimeve'!X54</f>
        <v>2800000</v>
      </c>
      <c r="I48" s="516">
        <f>'(E1) Vlerësimi i burimeve'!AG54</f>
        <v>2800000</v>
      </c>
    </row>
    <row r="49" spans="1:9" ht="13.5" customHeight="1" x14ac:dyDescent="0.25">
      <c r="A49" s="520" t="str">
        <f>'(C2) Burimet viti kaluar'!C54</f>
        <v>A.3.5.9</v>
      </c>
      <c r="B49" s="826" t="str">
        <f>'(E1) Vlerësimi i burimeve'!B55</f>
        <v>Tarifa për shërbimet shtesë nga zjarrëfiksja</v>
      </c>
      <c r="C49" s="827"/>
      <c r="D49" s="513">
        <f>'(E1) Vlerësimi i burimeve'!D55</f>
        <v>147240</v>
      </c>
      <c r="E49" s="513">
        <f>'(E1) Vlerësimi i burimeve'!E55</f>
        <v>249268</v>
      </c>
      <c r="F49" s="513">
        <f>'(E1) Vlerësimi i burimeve'!F55</f>
        <v>200000</v>
      </c>
      <c r="G49" s="516">
        <f>'(E1) Vlerësimi i burimeve'!O55</f>
        <v>200000</v>
      </c>
      <c r="H49" s="516">
        <f>'(E1) Vlerësimi i burimeve'!X55</f>
        <v>200000</v>
      </c>
      <c r="I49" s="516">
        <f>'(E1) Vlerësimi i burimeve'!AG55</f>
        <v>200000</v>
      </c>
    </row>
    <row r="50" spans="1:9" ht="13.5" customHeight="1" x14ac:dyDescent="0.25">
      <c r="A50" s="520" t="str">
        <f>'(C2) Burimet viti kaluar'!C55</f>
        <v>A.3.5.10</v>
      </c>
      <c r="B50" s="826" t="str">
        <f>'(E1) Vlerësimi i burimeve'!B56</f>
        <v>Tarifa për zënien dhe përdorimin e hapsirës publike dhe fasadave</v>
      </c>
      <c r="C50" s="827"/>
      <c r="D50" s="513">
        <f>'(E1) Vlerësimi i burimeve'!D56</f>
        <v>5420679</v>
      </c>
      <c r="E50" s="513">
        <f>'(E1) Vlerësimi i burimeve'!E56</f>
        <v>10106366</v>
      </c>
      <c r="F50" s="513">
        <f>'(E1) Vlerësimi i burimeve'!F56</f>
        <v>5500000</v>
      </c>
      <c r="G50" s="516">
        <f>'(E1) Vlerësimi i burimeve'!O56</f>
        <v>9646220</v>
      </c>
      <c r="H50" s="516">
        <f>'(E1) Vlerësimi i burimeve'!X56</f>
        <v>9685900.5020000003</v>
      </c>
      <c r="I50" s="516">
        <f>'(E1) Vlerësimi i burimeve'!AG56</f>
        <v>9725977.9890833013</v>
      </c>
    </row>
    <row r="51" spans="1:9" ht="13.5" customHeight="1" x14ac:dyDescent="0.25">
      <c r="A51" s="520" t="str">
        <f>'(C2) Burimet viti kaluar'!C56</f>
        <v>A.3.5.11</v>
      </c>
      <c r="B51" s="826" t="str">
        <f>'(E1) Vlerësimi i burimeve'!B57</f>
        <v xml:space="preserve">Tarifa për trajtimin e mbetjeve inerte në landfille </v>
      </c>
      <c r="C51" s="827"/>
      <c r="D51" s="513">
        <f>'(E1) Vlerësimi i burimeve'!D57</f>
        <v>0</v>
      </c>
      <c r="E51" s="513">
        <f>'(E1) Vlerësimi i burimeve'!E57</f>
        <v>0</v>
      </c>
      <c r="F51" s="513">
        <f>'(E1) Vlerësimi i burimeve'!F57</f>
        <v>0</v>
      </c>
      <c r="G51" s="516">
        <f>'(E1) Vlerësimi i burimeve'!O57</f>
        <v>0</v>
      </c>
      <c r="H51" s="516">
        <f>'(E1) Vlerësimi i burimeve'!X57</f>
        <v>0</v>
      </c>
      <c r="I51" s="516">
        <f>'(E1) Vlerësimi i burimeve'!AG57</f>
        <v>0</v>
      </c>
    </row>
    <row r="52" spans="1:9" ht="13.5" customHeight="1" x14ac:dyDescent="0.25">
      <c r="A52" s="520" t="str">
        <f>'(C2) Burimet viti kaluar'!C57</f>
        <v>A.3.5.12</v>
      </c>
      <c r="B52" s="826" t="str">
        <f>'(E1) Vlerësimi i burimeve'!B58</f>
        <v>Tarifa për linjat ajrore dhe nëntoksore (Telefoni, Energji, TV Kabllor, Internet)</v>
      </c>
      <c r="C52" s="827"/>
      <c r="D52" s="513">
        <f>'(E1) Vlerësimi i burimeve'!D58</f>
        <v>800833</v>
      </c>
      <c r="E52" s="513">
        <f>'(E1) Vlerësimi i burimeve'!E58</f>
        <v>1015450</v>
      </c>
      <c r="F52" s="513">
        <f>'(E1) Vlerësimi i burimeve'!F58</f>
        <v>1600000</v>
      </c>
      <c r="G52" s="516">
        <f>'(E1) Vlerësimi i burimeve'!O58</f>
        <v>1680000</v>
      </c>
      <c r="H52" s="516">
        <f>'(E1) Vlerësimi i burimeve'!X58</f>
        <v>1680000</v>
      </c>
      <c r="I52" s="516">
        <f>'(E1) Vlerësimi i burimeve'!AG58</f>
        <v>1680000</v>
      </c>
    </row>
    <row r="53" spans="1:9" ht="13.5" customHeight="1" x14ac:dyDescent="0.25">
      <c r="A53" s="520" t="str">
        <f>'(C2) Burimet viti kaluar'!C58</f>
        <v>A.3.5.13</v>
      </c>
      <c r="B53" s="826" t="str">
        <f>'(E1) Vlerësimi i burimeve'!B59</f>
        <v>Tarifa nga dokumentat për tender, ankand etj</v>
      </c>
      <c r="C53" s="827"/>
      <c r="D53" s="513">
        <f>'(E1) Vlerësimi i burimeve'!D59</f>
        <v>0</v>
      </c>
      <c r="E53" s="513">
        <f>'(E1) Vlerësimi i burimeve'!E59</f>
        <v>0</v>
      </c>
      <c r="F53" s="513">
        <f>'(E1) Vlerësimi i burimeve'!F59</f>
        <v>0</v>
      </c>
      <c r="G53" s="516">
        <f>'(E1) Vlerësimi i burimeve'!O59</f>
        <v>0</v>
      </c>
      <c r="H53" s="516">
        <f>'(E1) Vlerësimi i burimeve'!X59</f>
        <v>0</v>
      </c>
      <c r="I53" s="516">
        <f>'(E1) Vlerësimi i burimeve'!AG59</f>
        <v>0</v>
      </c>
    </row>
    <row r="54" spans="1:9" ht="13.5" customHeight="1" x14ac:dyDescent="0.25">
      <c r="A54" s="510" t="str">
        <f>'(C2) Burimet viti kaluar'!C59</f>
        <v>A.3.6</v>
      </c>
      <c r="B54" s="510" t="str">
        <f>'(E1) Vlerësimi i burimeve'!B60</f>
        <v>Tarifa të institucioneve të arsimit, kulturës, sportit etj</v>
      </c>
      <c r="C54" s="511"/>
      <c r="D54" s="520">
        <f>'(E1) Vlerësimi i burimeve'!D60</f>
        <v>1696576</v>
      </c>
      <c r="E54" s="520">
        <f>'(E1) Vlerësimi i burimeve'!E60</f>
        <v>1723825</v>
      </c>
      <c r="F54" s="520">
        <f>'(E1) Vlerësimi i burimeve'!F60</f>
        <v>6274000</v>
      </c>
      <c r="G54" s="520">
        <f>'(E1) Vlerësimi i burimeve'!O60</f>
        <v>6349999.7999999998</v>
      </c>
      <c r="H54" s="520">
        <f>'(E1) Vlerësimi i burimeve'!X60</f>
        <v>6349999.7999999998</v>
      </c>
      <c r="I54" s="521">
        <f>'(E1) Vlerësimi i burimeve'!AG60</f>
        <v>6449999.7964000003</v>
      </c>
    </row>
    <row r="55" spans="1:9" ht="13.5" customHeight="1" x14ac:dyDescent="0.25">
      <c r="A55" s="520" t="str">
        <f>'(C2) Burimet viti kaluar'!C60</f>
        <v>A.3.6.1</v>
      </c>
      <c r="B55" s="826" t="str">
        <f>'(E1) Vlerësimi i burimeve'!B61</f>
        <v>Bibloteka</v>
      </c>
      <c r="C55" s="827"/>
      <c r="D55" s="513">
        <f>'(E1) Vlerësimi i burimeve'!D61</f>
        <v>0</v>
      </c>
      <c r="E55" s="513">
        <f>'(E1) Vlerësimi i burimeve'!E61</f>
        <v>0</v>
      </c>
      <c r="F55" s="513">
        <f>'(E1) Vlerësimi i burimeve'!F61</f>
        <v>0</v>
      </c>
      <c r="G55" s="516">
        <f>'(E1) Vlerësimi i burimeve'!O61</f>
        <v>0</v>
      </c>
      <c r="H55" s="516">
        <f>'(E1) Vlerësimi i burimeve'!X61</f>
        <v>0</v>
      </c>
      <c r="I55" s="516">
        <f>'(E1) Vlerësimi i burimeve'!AG61</f>
        <v>0</v>
      </c>
    </row>
    <row r="56" spans="1:9" ht="13.5" customHeight="1" x14ac:dyDescent="0.25">
      <c r="A56" s="520" t="str">
        <f>'(C2) Burimet viti kaluar'!C61</f>
        <v>A.3.6.2</v>
      </c>
      <c r="B56" s="826" t="str">
        <f>'(E1) Vlerësimi i burimeve'!B62</f>
        <v>Muzeumet</v>
      </c>
      <c r="C56" s="827"/>
      <c r="D56" s="513">
        <f>'(E1) Vlerësimi i burimeve'!D62</f>
        <v>0</v>
      </c>
      <c r="E56" s="513">
        <f>'(E1) Vlerësimi i burimeve'!E62</f>
        <v>0</v>
      </c>
      <c r="F56" s="513">
        <f>'(E1) Vlerësimi i burimeve'!F62</f>
        <v>0</v>
      </c>
      <c r="G56" s="516">
        <f>'(E1) Vlerësimi i burimeve'!O62</f>
        <v>0</v>
      </c>
      <c r="H56" s="516">
        <f>'(E1) Vlerësimi i burimeve'!X62</f>
        <v>0</v>
      </c>
      <c r="I56" s="516">
        <f>'(E1) Vlerësimi i burimeve'!AG62</f>
        <v>0</v>
      </c>
    </row>
    <row r="57" spans="1:9" ht="13.5" customHeight="1" x14ac:dyDescent="0.25">
      <c r="A57" s="520" t="str">
        <f>'(C2) Burimet viti kaluar'!C62</f>
        <v>A.3.6.3</v>
      </c>
      <c r="B57" s="826" t="str">
        <f>'(E1) Vlerësimi i burimeve'!B63</f>
        <v>Teatri</v>
      </c>
      <c r="C57" s="827"/>
      <c r="D57" s="513">
        <f>'(E1) Vlerësimi i burimeve'!D63</f>
        <v>0</v>
      </c>
      <c r="E57" s="513">
        <f>'(E1) Vlerësimi i burimeve'!E63</f>
        <v>0</v>
      </c>
      <c r="F57" s="513">
        <f>'(E1) Vlerësimi i burimeve'!F63</f>
        <v>0</v>
      </c>
      <c r="G57" s="516">
        <f>'(E1) Vlerësimi i burimeve'!O63</f>
        <v>0</v>
      </c>
      <c r="H57" s="516">
        <f>'(E1) Vlerësimi i burimeve'!X63</f>
        <v>0</v>
      </c>
      <c r="I57" s="516">
        <f>'(E1) Vlerësimi i burimeve'!AG63</f>
        <v>0</v>
      </c>
    </row>
    <row r="58" spans="1:9" ht="13.5" customHeight="1" x14ac:dyDescent="0.25">
      <c r="A58" s="520" t="str">
        <f>'(C2) Burimet viti kaluar'!C63</f>
        <v>A.3.6.4</v>
      </c>
      <c r="B58" s="826" t="str">
        <f>'(E1) Vlerësimi i burimeve'!B64</f>
        <v>Qendra kulturore e fëmijëve</v>
      </c>
      <c r="C58" s="827"/>
      <c r="D58" s="513">
        <f>'(E1) Vlerësimi i burimeve'!D64</f>
        <v>178400</v>
      </c>
      <c r="E58" s="513">
        <f>'(E1) Vlerësimi i burimeve'!E64</f>
        <v>12000</v>
      </c>
      <c r="F58" s="513">
        <f>'(E1) Vlerësimi i burimeve'!F64</f>
        <v>380000</v>
      </c>
      <c r="G58" s="516">
        <f>'(E1) Vlerësimi i burimeve'!O64</f>
        <v>400000</v>
      </c>
      <c r="H58" s="516">
        <f>'(E1) Vlerësimi i burimeve'!X64</f>
        <v>400000</v>
      </c>
      <c r="I58" s="516">
        <f>'(E1) Vlerësimi i burimeve'!AG64</f>
        <v>400000</v>
      </c>
    </row>
    <row r="59" spans="1:9" ht="13.5" customHeight="1" x14ac:dyDescent="0.25">
      <c r="A59" s="520" t="str">
        <f>'(C2) Burimet viti kaluar'!C64</f>
        <v>A.3.6.5</v>
      </c>
      <c r="B59" s="826" t="str">
        <f>'(E1) Vlerësimi i burimeve'!B65</f>
        <v>Pallati i sportit</v>
      </c>
      <c r="C59" s="827"/>
      <c r="D59" s="513">
        <f>'(E1) Vlerësimi i burimeve'!D65</f>
        <v>151900</v>
      </c>
      <c r="E59" s="513">
        <f>'(E1) Vlerësimi i burimeve'!E65</f>
        <v>25400</v>
      </c>
      <c r="F59" s="513">
        <f>'(E1) Vlerësimi i burimeve'!F65</f>
        <v>350000</v>
      </c>
      <c r="G59" s="516">
        <f>'(E1) Vlerësimi i burimeve'!O65</f>
        <v>350000</v>
      </c>
      <c r="H59" s="516">
        <f>'(E1) Vlerësimi i burimeve'!X65</f>
        <v>350000</v>
      </c>
      <c r="I59" s="516">
        <f>'(E1) Vlerësimi i burimeve'!AG65</f>
        <v>350000</v>
      </c>
    </row>
    <row r="60" spans="1:9" ht="13.5" customHeight="1" x14ac:dyDescent="0.25">
      <c r="A60" s="520" t="str">
        <f>'(C2) Burimet viti kaluar'!C65</f>
        <v>A.3.6.6</v>
      </c>
      <c r="B60" s="826" t="str">
        <f>'(E1) Vlerësimi i burimeve'!B66</f>
        <v>Qendra Komunitare</v>
      </c>
      <c r="C60" s="827"/>
      <c r="D60" s="513">
        <f>'(E1) Vlerësimi i burimeve'!D66</f>
        <v>0</v>
      </c>
      <c r="E60" s="513">
        <f>'(E1) Vlerësimi i burimeve'!E66</f>
        <v>0</v>
      </c>
      <c r="F60" s="513">
        <f>'(E1) Vlerësimi i burimeve'!F66</f>
        <v>0</v>
      </c>
      <c r="G60" s="516">
        <f>'(E1) Vlerësimi i burimeve'!O66</f>
        <v>0</v>
      </c>
      <c r="H60" s="516">
        <f>'(E1) Vlerësimi i burimeve'!X66</f>
        <v>0</v>
      </c>
      <c r="I60" s="516">
        <f>'(E1) Vlerësimi i burimeve'!AG66</f>
        <v>0</v>
      </c>
    </row>
    <row r="61" spans="1:9" ht="13.5" customHeight="1" x14ac:dyDescent="0.25">
      <c r="A61" s="520" t="str">
        <f>'(C2) Burimet viti kaluar'!C66</f>
        <v>A.3.6.7</v>
      </c>
      <c r="B61" s="826" t="str">
        <f>'(E1) Vlerësimi i burimeve'!B67</f>
        <v>Mensa (Konviktet)</v>
      </c>
      <c r="C61" s="827"/>
      <c r="D61" s="513">
        <f>'(E1) Vlerësimi i burimeve'!D67</f>
        <v>0</v>
      </c>
      <c r="E61" s="513">
        <f>'(E1) Vlerësimi i burimeve'!E67</f>
        <v>0</v>
      </c>
      <c r="F61" s="513">
        <f>'(E1) Vlerësimi i burimeve'!F67</f>
        <v>0</v>
      </c>
      <c r="G61" s="516">
        <f>'(E1) Vlerësimi i burimeve'!O67</f>
        <v>0</v>
      </c>
      <c r="H61" s="516">
        <f>'(E1) Vlerësimi i burimeve'!X67</f>
        <v>0</v>
      </c>
      <c r="I61" s="516">
        <f>'(E1) Vlerësimi i burimeve'!AG67</f>
        <v>0</v>
      </c>
    </row>
    <row r="62" spans="1:9" ht="13.5" customHeight="1" x14ac:dyDescent="0.25">
      <c r="A62" s="520" t="str">
        <f>'(C2) Burimet viti kaluar'!C67</f>
        <v>A.3.6.8</v>
      </c>
      <c r="B62" s="826" t="str">
        <f>'(E1) Vlerësimi i burimeve'!B68</f>
        <v>Kopshtet</v>
      </c>
      <c r="C62" s="827"/>
      <c r="D62" s="513">
        <f>'(E1) Vlerësimi i burimeve'!D68</f>
        <v>0</v>
      </c>
      <c r="E62" s="513">
        <f>'(E1) Vlerësimi i burimeve'!E68</f>
        <v>595945</v>
      </c>
      <c r="F62" s="513">
        <f>'(E1) Vlerësimi i burimeve'!F68</f>
        <v>0</v>
      </c>
      <c r="G62" s="516">
        <f>'(E1) Vlerësimi i burimeve'!O68</f>
        <v>0</v>
      </c>
      <c r="H62" s="516">
        <f>'(E1) Vlerësimi i burimeve'!X68</f>
        <v>0</v>
      </c>
      <c r="I62" s="516">
        <f>'(E1) Vlerësimi i burimeve'!AG68</f>
        <v>0</v>
      </c>
    </row>
    <row r="63" spans="1:9" ht="13.5" customHeight="1" x14ac:dyDescent="0.25">
      <c r="A63" s="520" t="str">
        <f>'(C2) Burimet viti kaluar'!C68</f>
        <v>A.3.6.9</v>
      </c>
      <c r="B63" s="826" t="str">
        <f>'(E1) Vlerësimi i burimeve'!B69</f>
        <v>Çerdhet</v>
      </c>
      <c r="C63" s="827"/>
      <c r="D63" s="513">
        <f>'(E1) Vlerësimi i burimeve'!D69</f>
        <v>1366276</v>
      </c>
      <c r="E63" s="513">
        <f>'(E1) Vlerësimi i burimeve'!E69</f>
        <v>1090480</v>
      </c>
      <c r="F63" s="513">
        <f>'(E1) Vlerësimi i burimeve'!F69</f>
        <v>5544000</v>
      </c>
      <c r="G63" s="516">
        <f>'(E1) Vlerësimi i burimeve'!O69</f>
        <v>5599999.7999999998</v>
      </c>
      <c r="H63" s="516">
        <f>'(E1) Vlerësimi i burimeve'!X69</f>
        <v>5599999.7999999998</v>
      </c>
      <c r="I63" s="516">
        <f>'(E1) Vlerësimi i burimeve'!AG69</f>
        <v>5699999.7964000003</v>
      </c>
    </row>
    <row r="64" spans="1:9" ht="13.5" customHeight="1" x14ac:dyDescent="0.25">
      <c r="A64" s="510" t="str">
        <f>'(C2) Burimet viti kaluar'!C69</f>
        <v>A.3.7</v>
      </c>
      <c r="B64" s="510" t="str">
        <f>'(E1) Vlerësimi i burimeve'!B70</f>
        <v>Tarifa për furnizimin me ujë dhe kanalizime</v>
      </c>
      <c r="C64" s="511"/>
      <c r="D64" s="513">
        <f>'(E1) Vlerësimi i burimeve'!D70</f>
        <v>663300</v>
      </c>
      <c r="E64" s="513">
        <f>'(E1) Vlerësimi i burimeve'!E70</f>
        <v>0</v>
      </c>
      <c r="F64" s="513">
        <f>'(E1) Vlerësimi i burimeve'!F70</f>
        <v>0</v>
      </c>
      <c r="G64" s="516">
        <f>'(E1) Vlerësimi i burimeve'!O70</f>
        <v>0</v>
      </c>
      <c r="H64" s="516">
        <f>'(E1) Vlerësimi i burimeve'!X70</f>
        <v>0</v>
      </c>
      <c r="I64" s="516">
        <f>'(E1) Vlerësimi i burimeve'!AG70</f>
        <v>0</v>
      </c>
    </row>
    <row r="65" spans="1:9" ht="13.5" customHeight="1" x14ac:dyDescent="0.25">
      <c r="A65" s="510" t="str">
        <f>'(C2) Burimet viti kaluar'!C70</f>
        <v>A.3.8</v>
      </c>
      <c r="B65" s="510" t="str">
        <f>'(E1) Vlerësimi i burimeve'!B71</f>
        <v>Tarifa për shërbimin e ujitjes dhe kullimit</v>
      </c>
      <c r="C65" s="511"/>
      <c r="D65" s="513">
        <f>'(E1) Vlerësimi i burimeve'!D71</f>
        <v>0</v>
      </c>
      <c r="E65" s="513">
        <f>'(E1) Vlerësimi i burimeve'!E71</f>
        <v>0</v>
      </c>
      <c r="F65" s="513">
        <f>'(E1) Vlerësimi i burimeve'!F71</f>
        <v>500000</v>
      </c>
      <c r="G65" s="516">
        <f>'(E1) Vlerësimi i burimeve'!O71</f>
        <v>500000</v>
      </c>
      <c r="H65" s="516">
        <f>'(E1) Vlerësimi i burimeve'!X71</f>
        <v>500000</v>
      </c>
      <c r="I65" s="516">
        <f>'(E1) Vlerësimi i burimeve'!AG71</f>
        <v>500000</v>
      </c>
    </row>
    <row r="66" spans="1:9" ht="13.5" customHeight="1" x14ac:dyDescent="0.25">
      <c r="A66" s="510" t="str">
        <f>'(C2) Burimet viti kaluar'!C71</f>
        <v>A.3.9</v>
      </c>
      <c r="B66" s="510" t="str">
        <f>'(E1) Vlerësimi i burimeve'!B72</f>
        <v>Tarifa e përkohëshme</v>
      </c>
      <c r="C66" s="511"/>
      <c r="D66" s="513">
        <f>'(E1) Vlerësimi i burimeve'!D72</f>
        <v>76500</v>
      </c>
      <c r="E66" s="513">
        <f>'(E1) Vlerësimi i burimeve'!E72</f>
        <v>0</v>
      </c>
      <c r="F66" s="513">
        <f>'(E1) Vlerësimi i burimeve'!F72</f>
        <v>8500000</v>
      </c>
      <c r="G66" s="516">
        <f>'(E1) Vlerësimi i burimeve'!O72</f>
        <v>8500000</v>
      </c>
      <c r="H66" s="516">
        <f>'(E1) Vlerësimi i burimeve'!X72</f>
        <v>8500000</v>
      </c>
      <c r="I66" s="516">
        <f>'(E1) Vlerësimi i burimeve'!AG72</f>
        <v>8500000</v>
      </c>
    </row>
    <row r="67" spans="1:9" ht="13.5" customHeight="1" x14ac:dyDescent="0.25">
      <c r="A67" s="510" t="str">
        <f>'(C2) Burimet viti kaluar'!C72</f>
        <v>A.3.10</v>
      </c>
      <c r="B67" s="510" t="str">
        <f>'(E1) Vlerësimi i burimeve'!B73</f>
        <v>Tarifa të tjera</v>
      </c>
      <c r="C67" s="511"/>
      <c r="D67" s="513">
        <f>'(E1) Vlerësimi i burimeve'!D73</f>
        <v>4391217</v>
      </c>
      <c r="E67" s="513">
        <f>'(E1) Vlerësimi i burimeve'!E73</f>
        <v>5875620</v>
      </c>
      <c r="F67" s="513">
        <f>'(E1) Vlerësimi i burimeve'!F73</f>
        <v>4600000</v>
      </c>
      <c r="G67" s="516">
        <f>'(E1) Vlerësimi i burimeve'!O73</f>
        <v>4712850</v>
      </c>
      <c r="H67" s="516">
        <f>'(E1) Vlerësimi i burimeve'!X73</f>
        <v>4717588.8499999996</v>
      </c>
      <c r="I67" s="516">
        <f>'(E1) Vlerësimi i burimeve'!AG73</f>
        <v>4722381.4388499996</v>
      </c>
    </row>
    <row r="68" spans="1:9" x14ac:dyDescent="0.25">
      <c r="A68" s="825" t="str">
        <f>'(C2) Burimet viti kaluar'!C73</f>
        <v>A.4</v>
      </c>
      <c r="B68" s="1430" t="str">
        <f>'(E1) Vlerësimi i burimeve'!B77</f>
        <v>TË ARDHURAT E TJERA</v>
      </c>
      <c r="C68" s="1431"/>
      <c r="D68" s="507">
        <f>'(E1) Vlerësimi i burimeve'!D77</f>
        <v>14506160</v>
      </c>
      <c r="E68" s="507">
        <f>'(E1) Vlerësimi i burimeve'!E77</f>
        <v>19413286</v>
      </c>
      <c r="F68" s="507">
        <f>'(E1) Vlerësimi i burimeve'!F77</f>
        <v>76197721</v>
      </c>
      <c r="G68" s="507">
        <f>'(E1) Vlerësimi i burimeve'!O77</f>
        <v>67641988</v>
      </c>
      <c r="H68" s="507">
        <f>'(E1) Vlerësimi i burimeve'!X77</f>
        <v>68041988</v>
      </c>
      <c r="I68" s="507">
        <f>'(E1) Vlerësimi i burimeve'!AG77</f>
        <v>68041988</v>
      </c>
    </row>
    <row r="69" spans="1:9" ht="13.5" customHeight="1" x14ac:dyDescent="0.25">
      <c r="A69" s="510" t="str">
        <f>'(C2) Burimet viti kaluar'!C74</f>
        <v>A.4.1</v>
      </c>
      <c r="B69" s="510" t="str">
        <f>'(E1) Vlerësimi i burimeve'!B78</f>
        <v>Qeraja nga asetet në pronësi të bashkisë</v>
      </c>
      <c r="C69" s="511"/>
      <c r="D69" s="513">
        <f>'(E1) Vlerësimi i burimeve'!D78</f>
        <v>12455709</v>
      </c>
      <c r="E69" s="513">
        <f>'(E1) Vlerësimi i burimeve'!E78</f>
        <v>10576653</v>
      </c>
      <c r="F69" s="513">
        <f>'(E1) Vlerësimi i burimeve'!F78</f>
        <v>13541988</v>
      </c>
      <c r="G69" s="516">
        <f>'(E1) Vlerësimi i burimeve'!O78</f>
        <v>14341988</v>
      </c>
      <c r="H69" s="516">
        <f>'(E1) Vlerësimi i burimeve'!X78</f>
        <v>14341988</v>
      </c>
      <c r="I69" s="516">
        <f>'(E1) Vlerësimi i burimeve'!AG78</f>
        <v>14341988</v>
      </c>
    </row>
    <row r="70" spans="1:9" ht="13.5" customHeight="1" x14ac:dyDescent="0.25">
      <c r="A70" s="510" t="str">
        <f>'(C2) Burimet viti kaluar'!C75</f>
        <v>A.4.2</v>
      </c>
      <c r="B70" s="510" t="str">
        <f>'(E1) Vlerësimi i burimeve'!B79</f>
        <v>Kthimi nga investimet kapitale</v>
      </c>
      <c r="C70" s="511"/>
      <c r="D70" s="513">
        <f>'(E1) Vlerësimi i burimeve'!D79</f>
        <v>0</v>
      </c>
      <c r="E70" s="513">
        <f>'(E1) Vlerësimi i burimeve'!E79</f>
        <v>0</v>
      </c>
      <c r="F70" s="513">
        <f>'(E1) Vlerësimi i burimeve'!F79</f>
        <v>0</v>
      </c>
      <c r="G70" s="516">
        <f>'(E1) Vlerësimi i burimeve'!O79</f>
        <v>0</v>
      </c>
      <c r="H70" s="516">
        <f>'(E1) Vlerësimi i burimeve'!X79</f>
        <v>0</v>
      </c>
      <c r="I70" s="516">
        <f>'(E1) Vlerësimi i burimeve'!AG79</f>
        <v>0</v>
      </c>
    </row>
    <row r="71" spans="1:9" ht="13.5" customHeight="1" x14ac:dyDescent="0.25">
      <c r="A71" s="510" t="str">
        <f>'(C2) Burimet viti kaluar'!C76</f>
        <v>A.4.3</v>
      </c>
      <c r="B71" s="510" t="str">
        <f>'(E1) Vlerësimi i burimeve'!B80</f>
        <v>Fitimi nga ndërmarrjet publike në varësi të Bashkisë</v>
      </c>
      <c r="C71" s="511"/>
      <c r="D71" s="513">
        <f>'(E1) Vlerësimi i burimeve'!D80</f>
        <v>0</v>
      </c>
      <c r="E71" s="513">
        <f>'(E1) Vlerësimi i burimeve'!E80</f>
        <v>0</v>
      </c>
      <c r="F71" s="513">
        <f>'(E1) Vlerësimi i burimeve'!F80</f>
        <v>0</v>
      </c>
      <c r="G71" s="516">
        <f>'(E1) Vlerësimi i burimeve'!O80</f>
        <v>0</v>
      </c>
      <c r="H71" s="516">
        <f>'(E1) Vlerësimi i burimeve'!X80</f>
        <v>0</v>
      </c>
      <c r="I71" s="516">
        <f>'(E1) Vlerësimi i burimeve'!AG80</f>
        <v>0</v>
      </c>
    </row>
    <row r="72" spans="1:9" x14ac:dyDescent="0.25">
      <c r="A72" s="510" t="str">
        <f>'(C2) Burimet viti kaluar'!C77</f>
        <v>A.4.4</v>
      </c>
      <c r="B72" s="510" t="str">
        <f>'(E1) Vlerësimi i burimeve'!B81</f>
        <v>Kthimi nga partneriteti publik privat</v>
      </c>
      <c r="C72" s="511"/>
      <c r="D72" s="513">
        <f>'(E1) Vlerësimi i burimeve'!D81</f>
        <v>0</v>
      </c>
      <c r="E72" s="513">
        <f>'(E1) Vlerësimi i burimeve'!E81</f>
        <v>0</v>
      </c>
      <c r="F72" s="513">
        <f>'(E1) Vlerësimi i burimeve'!F81</f>
        <v>0</v>
      </c>
      <c r="G72" s="516">
        <f>'(E1) Vlerësimi i burimeve'!O81</f>
        <v>0</v>
      </c>
      <c r="H72" s="516">
        <f>'(E1) Vlerësimi i burimeve'!X81</f>
        <v>0</v>
      </c>
      <c r="I72" s="516">
        <f>'(E1) Vlerësimi i burimeve'!AG81</f>
        <v>0</v>
      </c>
    </row>
    <row r="73" spans="1:9" x14ac:dyDescent="0.25">
      <c r="A73" s="510" t="str">
        <f>'(C2) Burimet viti kaluar'!C78</f>
        <v>A.4.5</v>
      </c>
      <c r="B73" s="510" t="str">
        <f>'(E1) Vlerësimi i burimeve'!B82</f>
        <v>Tërheqje e të ardhura krijuar nga shërbimet</v>
      </c>
      <c r="C73" s="511"/>
      <c r="D73" s="513">
        <f>'(E1) Vlerësimi i burimeve'!D82</f>
        <v>0</v>
      </c>
      <c r="E73" s="513">
        <f>'(E1) Vlerësimi i burimeve'!E82</f>
        <v>0</v>
      </c>
      <c r="F73" s="513">
        <f>'(E1) Vlerësimi i burimeve'!F82</f>
        <v>0</v>
      </c>
      <c r="G73" s="516">
        <f>'(E1) Vlerësimi i burimeve'!O82</f>
        <v>0</v>
      </c>
      <c r="H73" s="516">
        <f>'(E1) Vlerësimi i burimeve'!X82</f>
        <v>0</v>
      </c>
      <c r="I73" s="516">
        <f>'(E1) Vlerësimi i burimeve'!AG82</f>
        <v>0</v>
      </c>
    </row>
    <row r="74" spans="1:9" ht="13.5" customHeight="1" x14ac:dyDescent="0.25">
      <c r="A74" s="510" t="str">
        <f>'(C2) Burimet viti kaluar'!C79</f>
        <v>A.4.6</v>
      </c>
      <c r="B74" s="510" t="str">
        <f>'(E1) Vlerësimi i burimeve'!B83</f>
        <v>Shitja e mallrave dhe shërbimeve</v>
      </c>
      <c r="C74" s="511"/>
      <c r="D74" s="513">
        <f>'(E1) Vlerësimi i burimeve'!D83</f>
        <v>0</v>
      </c>
      <c r="E74" s="513">
        <f>'(E1) Vlerësimi i burimeve'!E83</f>
        <v>0</v>
      </c>
      <c r="F74" s="513">
        <f>'(E1) Vlerësimi i burimeve'!F83</f>
        <v>0</v>
      </c>
      <c r="G74" s="516">
        <f>'(E1) Vlerësimi i burimeve'!O83</f>
        <v>0</v>
      </c>
      <c r="H74" s="516">
        <f>'(E1) Vlerësimi i burimeve'!X83</f>
        <v>0</v>
      </c>
      <c r="I74" s="516">
        <f>'(E1) Vlerësimi i burimeve'!AG83</f>
        <v>0</v>
      </c>
    </row>
    <row r="75" spans="1:9" ht="13.5" customHeight="1" x14ac:dyDescent="0.25">
      <c r="A75" s="510" t="str">
        <f>'(C2) Burimet viti kaluar'!C80</f>
        <v>A.4.7</v>
      </c>
      <c r="B75" s="510" t="str">
        <f>'(E1) Vlerësimi i burimeve'!B84</f>
        <v>Kundravajtjet administrative (Gjobat)</v>
      </c>
      <c r="C75" s="511"/>
      <c r="D75" s="513">
        <f>'(E1) Vlerësimi i burimeve'!D84</f>
        <v>1556378</v>
      </c>
      <c r="E75" s="513">
        <f>'(E1) Vlerësimi i burimeve'!E84</f>
        <v>620045</v>
      </c>
      <c r="F75" s="513">
        <f>'(E1) Vlerësimi i burimeve'!F84</f>
        <v>3000000</v>
      </c>
      <c r="G75" s="516">
        <f>'(E1) Vlerësimi i burimeve'!O84</f>
        <v>3000000</v>
      </c>
      <c r="H75" s="516">
        <f>'(E1) Vlerësimi i burimeve'!X84</f>
        <v>3000000</v>
      </c>
      <c r="I75" s="516">
        <f>'(E1) Vlerësimi i burimeve'!AG84</f>
        <v>3000000</v>
      </c>
    </row>
    <row r="76" spans="1:9" ht="13.5" customHeight="1" x14ac:dyDescent="0.25">
      <c r="A76" s="510" t="str">
        <f>'(C2) Burimet viti kaluar'!C81</f>
        <v>A.4.8</v>
      </c>
      <c r="B76" s="510" t="str">
        <f>'(E1) Vlerësimi i burimeve'!B85</f>
        <v>Sekuestrime dhe Zhdëmtime</v>
      </c>
      <c r="C76" s="511"/>
      <c r="D76" s="513">
        <f>'(E1) Vlerësimi i burimeve'!D85</f>
        <v>0</v>
      </c>
      <c r="E76" s="513">
        <f>'(E1) Vlerësimi i burimeve'!E85</f>
        <v>0</v>
      </c>
      <c r="F76" s="513">
        <f>'(E1) Vlerësimi i burimeve'!F85</f>
        <v>0</v>
      </c>
      <c r="G76" s="516">
        <f>'(E1) Vlerësimi i burimeve'!O85</f>
        <v>0</v>
      </c>
      <c r="H76" s="516">
        <f>'(E1) Vlerësimi i burimeve'!X85</f>
        <v>0</v>
      </c>
      <c r="I76" s="516">
        <f>'(E1) Vlerësimi i burimeve'!AG85</f>
        <v>0</v>
      </c>
    </row>
    <row r="77" spans="1:9" ht="13.5" customHeight="1" x14ac:dyDescent="0.25">
      <c r="A77" s="510" t="str">
        <f>'(C2) Burimet viti kaluar'!C82</f>
        <v>A.4.9</v>
      </c>
      <c r="B77" s="510" t="str">
        <f>'(E1) Vlerësimi i burimeve'!B86</f>
        <v>Kuotat e anëtarësisë së bashkive</v>
      </c>
      <c r="C77" s="511"/>
      <c r="D77" s="513">
        <f>'(E1) Vlerësimi i burimeve'!D86</f>
        <v>0</v>
      </c>
      <c r="E77" s="513">
        <f>'(E1) Vlerësimi i burimeve'!E86</f>
        <v>0</v>
      </c>
      <c r="F77" s="513">
        <f>'(E1) Vlerësimi i burimeve'!F86</f>
        <v>0</v>
      </c>
      <c r="G77" s="516">
        <f>'(E1) Vlerësimi i burimeve'!O86</f>
        <v>0</v>
      </c>
      <c r="H77" s="516">
        <f>'(E1) Vlerësimi i burimeve'!X86</f>
        <v>0</v>
      </c>
      <c r="I77" s="516">
        <f>'(E1) Vlerësimi i burimeve'!AG86</f>
        <v>0</v>
      </c>
    </row>
    <row r="78" spans="1:9" ht="13.5" customHeight="1" x14ac:dyDescent="0.25">
      <c r="A78" s="510" t="str">
        <f>'(C2) Burimet viti kaluar'!C83</f>
        <v>A.4.10</v>
      </c>
      <c r="B78" s="510" t="str">
        <f>'(E1) Vlerësimi i burimeve'!B87</f>
        <v>Trasferta dhe ndihma nga njësitë e tjera vendore</v>
      </c>
      <c r="C78" s="511"/>
      <c r="D78" s="513">
        <f>'(E1) Vlerësimi i burimeve'!D87</f>
        <v>0</v>
      </c>
      <c r="E78" s="513">
        <f>'(E1) Vlerësimi i burimeve'!E87</f>
        <v>0</v>
      </c>
      <c r="F78" s="513">
        <f>'(E1) Vlerësimi i burimeve'!F87</f>
        <v>0</v>
      </c>
      <c r="G78" s="516">
        <f>'(E1) Vlerësimi i burimeve'!O87</f>
        <v>0</v>
      </c>
      <c r="H78" s="516">
        <f>'(E1) Vlerësimi i burimeve'!X87</f>
        <v>0</v>
      </c>
      <c r="I78" s="516">
        <f>'(E1) Vlerësimi i burimeve'!AG87</f>
        <v>0</v>
      </c>
    </row>
    <row r="79" spans="1:9" ht="13.5" customHeight="1" x14ac:dyDescent="0.25">
      <c r="A79" s="510" t="str">
        <f>'(C2) Burimet viti kaluar'!C84</f>
        <v>A.4.11</v>
      </c>
      <c r="B79" s="510" t="str">
        <f>'(E1) Vlerësimi i burimeve'!B88</f>
        <v>Grante nga ndihma ndërkombëtare</v>
      </c>
      <c r="C79" s="511"/>
      <c r="D79" s="513">
        <f>'(E1) Vlerësimi i burimeve'!D88</f>
        <v>0</v>
      </c>
      <c r="E79" s="513">
        <f>'(E1) Vlerësimi i burimeve'!E88</f>
        <v>1769598</v>
      </c>
      <c r="F79" s="513">
        <f>'(E1) Vlerësimi i burimeve'!F88</f>
        <v>58655733</v>
      </c>
      <c r="G79" s="516">
        <f>'(E1) Vlerësimi i burimeve'!O88</f>
        <v>50000000</v>
      </c>
      <c r="H79" s="516">
        <f>'(E1) Vlerësimi i burimeve'!X88</f>
        <v>50000000</v>
      </c>
      <c r="I79" s="516">
        <f>'(E1) Vlerësimi i burimeve'!AG88</f>
        <v>50000000</v>
      </c>
    </row>
    <row r="80" spans="1:9" ht="13.5" customHeight="1" x14ac:dyDescent="0.25">
      <c r="A80" s="510" t="str">
        <f>'(C2) Burimet viti kaluar'!C85</f>
        <v>A.4.12</v>
      </c>
      <c r="B80" s="510" t="str">
        <f>'(E1) Vlerësimi i burimeve'!B89</f>
        <v>Shitja e aseteve financiare</v>
      </c>
      <c r="C80" s="511"/>
      <c r="D80" s="513">
        <f>'(E1) Vlerësimi i burimeve'!D89</f>
        <v>0</v>
      </c>
      <c r="E80" s="513">
        <f>'(E1) Vlerësimi i burimeve'!E89</f>
        <v>0</v>
      </c>
      <c r="F80" s="513">
        <f>'(E1) Vlerësimi i burimeve'!F89</f>
        <v>0</v>
      </c>
      <c r="G80" s="516">
        <f>'(E1) Vlerësimi i burimeve'!O89</f>
        <v>0</v>
      </c>
      <c r="H80" s="516">
        <f>'(E1) Vlerësimi i burimeve'!X89</f>
        <v>0</v>
      </c>
      <c r="I80" s="516">
        <f>'(E1) Vlerësimi i burimeve'!AG89</f>
        <v>0</v>
      </c>
    </row>
    <row r="81" spans="1:9" ht="13.5" customHeight="1" x14ac:dyDescent="0.25">
      <c r="A81" s="510" t="str">
        <f>'(C2) Burimet viti kaluar'!C86</f>
        <v>A.4.13</v>
      </c>
      <c r="B81" s="510" t="str">
        <f>'(E1) Vlerësimi i burimeve'!B90</f>
        <v>Shitja e aseteve fikse të prekshme / paprekshme</v>
      </c>
      <c r="C81" s="511"/>
      <c r="D81" s="513">
        <f>'(E1) Vlerësimi i burimeve'!D90</f>
        <v>42963</v>
      </c>
      <c r="E81" s="513">
        <f>'(E1) Vlerësimi i burimeve'!E90</f>
        <v>0</v>
      </c>
      <c r="F81" s="513">
        <f>'(E1) Vlerësimi i burimeve'!F90</f>
        <v>0</v>
      </c>
      <c r="G81" s="516">
        <f>'(E1) Vlerësimi i burimeve'!O90</f>
        <v>100000</v>
      </c>
      <c r="H81" s="516">
        <f>'(E1) Vlerësimi i burimeve'!X90</f>
        <v>100000</v>
      </c>
      <c r="I81" s="516">
        <f>'(E1) Vlerësimi i burimeve'!AG90</f>
        <v>100000</v>
      </c>
    </row>
    <row r="82" spans="1:9" ht="13.5" customHeight="1" x14ac:dyDescent="0.25">
      <c r="A82" s="510" t="str">
        <f>'(C2) Burimet viti kaluar'!C87</f>
        <v>A.4.14</v>
      </c>
      <c r="B82" s="510" t="str">
        <f>'(E1) Vlerësimi i burimeve'!B91</f>
        <v>Të tjera</v>
      </c>
      <c r="C82" s="511"/>
      <c r="D82" s="513">
        <f>'(E1) Vlerësimi i burimeve'!D91</f>
        <v>451110</v>
      </c>
      <c r="E82" s="513">
        <f>'(E1) Vlerësimi i burimeve'!E91</f>
        <v>6446990</v>
      </c>
      <c r="F82" s="513">
        <f>'(E1) Vlerësimi i burimeve'!F91</f>
        <v>1000000</v>
      </c>
      <c r="G82" s="516">
        <f>'(E1) Vlerësimi i burimeve'!O91</f>
        <v>200000</v>
      </c>
      <c r="H82" s="516">
        <f>'(E1) Vlerësimi i burimeve'!X91</f>
        <v>600000</v>
      </c>
      <c r="I82" s="516">
        <f>'(E1) Vlerësimi i burimeve'!AG91</f>
        <v>600000</v>
      </c>
    </row>
    <row r="83" spans="1:9" x14ac:dyDescent="0.25">
      <c r="A83" s="815" t="str">
        <f>'(C2) Burimet viti kaluar'!C88</f>
        <v>B</v>
      </c>
      <c r="B83" s="1194" t="str">
        <f>'(E1) Vlerësimi i burimeve'!B92</f>
        <v>TË ARDHURA NGA BUXHETI QENDROR</v>
      </c>
      <c r="C83" s="1195"/>
      <c r="D83" s="345">
        <f>'(E1) Vlerësimi i burimeve'!D92</f>
        <v>1282147295.9200001</v>
      </c>
      <c r="E83" s="345">
        <f>'(E1) Vlerësimi i burimeve'!E92</f>
        <v>1511087141</v>
      </c>
      <c r="F83" s="345">
        <f>'(E1) Vlerësimi i burimeve'!F92</f>
        <v>1591558562</v>
      </c>
      <c r="G83" s="345">
        <f>'(E1) Vlerësimi i burimeve'!O92</f>
        <v>1591558562</v>
      </c>
      <c r="H83" s="345">
        <f>'(E1) Vlerësimi i burimeve'!X92</f>
        <v>1543217562</v>
      </c>
      <c r="I83" s="345">
        <f>'(E1) Vlerësimi i burimeve'!AG92</f>
        <v>1568719562</v>
      </c>
    </row>
    <row r="84" spans="1:9" x14ac:dyDescent="0.25">
      <c r="A84" s="825" t="str">
        <f>'(C2) Burimet viti kaluar'!C89</f>
        <v>B.1</v>
      </c>
      <c r="B84" s="1430" t="str">
        <f>'(E1) Vlerësimi i burimeve'!B93</f>
        <v>Transferta e pakushtëzuar</v>
      </c>
      <c r="C84" s="1431"/>
      <c r="D84" s="507">
        <f>'(E1) Vlerësimi i burimeve'!D93</f>
        <v>377251901.92000002</v>
      </c>
      <c r="E84" s="507">
        <f>'(E1) Vlerësimi i burimeve'!E93</f>
        <v>376705000</v>
      </c>
      <c r="F84" s="507">
        <f>'(E1) Vlerësimi i burimeve'!F93</f>
        <v>431564000</v>
      </c>
      <c r="G84" s="507">
        <f>'(E1) Vlerësimi i burimeve'!O93</f>
        <v>431564000</v>
      </c>
      <c r="H84" s="507">
        <f>'(E1) Vlerësimi i burimeve'!X93</f>
        <v>383223000</v>
      </c>
      <c r="I84" s="507">
        <f>'(E1) Vlerësimi i burimeve'!AG93</f>
        <v>408725000</v>
      </c>
    </row>
    <row r="85" spans="1:9" x14ac:dyDescent="0.25">
      <c r="A85" s="825" t="str">
        <f>'(C2) Burimet viti kaluar'!C90</f>
        <v>B.2</v>
      </c>
      <c r="B85" s="1430" t="str">
        <f>'(E1) Vlerësimi i burimeve'!B94</f>
        <v>Transferta e kushtëzuar</v>
      </c>
      <c r="C85" s="1431"/>
      <c r="D85" s="507">
        <f>'(E1) Vlerësimi i burimeve'!D94</f>
        <v>759409548</v>
      </c>
      <c r="E85" s="507">
        <f>'(E1) Vlerësimi i burimeve'!E94</f>
        <v>944007141</v>
      </c>
      <c r="F85" s="507">
        <f>'(E1) Vlerësimi i burimeve'!F94</f>
        <v>944008000</v>
      </c>
      <c r="G85" s="507">
        <f>'(E1) Vlerësimi i burimeve'!O94</f>
        <v>944008000</v>
      </c>
      <c r="H85" s="507">
        <f>'(E1) Vlerësimi i burimeve'!X94</f>
        <v>944008000</v>
      </c>
      <c r="I85" s="507">
        <f>'(E1) Vlerësimi i burimeve'!AG94</f>
        <v>944008000</v>
      </c>
    </row>
    <row r="86" spans="1:9" ht="13.5" customHeight="1" x14ac:dyDescent="0.25">
      <c r="A86" s="510" t="str">
        <f>'(C2) Burimet viti kaluar'!C91</f>
        <v>B.2.1</v>
      </c>
      <c r="B86" s="510" t="str">
        <f>'(E1) Vlerësimi i burimeve'!B95</f>
        <v>Për funskionet e deleguara</v>
      </c>
      <c r="C86" s="511"/>
      <c r="D86" s="513">
        <f>'(E1) Vlerësimi i burimeve'!D95</f>
        <v>759409548</v>
      </c>
      <c r="E86" s="513">
        <f>'(E1) Vlerësimi i burimeve'!E95</f>
        <v>944007141</v>
      </c>
      <c r="F86" s="513">
        <f>'(E1) Vlerësimi i burimeve'!F95</f>
        <v>944008000</v>
      </c>
      <c r="G86" s="516">
        <f>'(E1) Vlerësimi i burimeve'!O95</f>
        <v>944008000</v>
      </c>
      <c r="H86" s="516">
        <f>'(E1) Vlerësimi i burimeve'!X95</f>
        <v>944008000</v>
      </c>
      <c r="I86" s="516">
        <f>'(E1) Vlerësimi i burimeve'!AG95</f>
        <v>944008000</v>
      </c>
    </row>
    <row r="87" spans="1:9" ht="13.5" customHeight="1" x14ac:dyDescent="0.25">
      <c r="A87" s="510" t="str">
        <f>'(C2) Burimet viti kaluar'!C92</f>
        <v>B.2.2</v>
      </c>
      <c r="B87" s="510" t="str">
        <f>'(E1) Vlerësimi i burimeve'!B96</f>
        <v xml:space="preserve">Për projekte të veçanta (FZHR dhe të tjera) </v>
      </c>
      <c r="C87" s="511"/>
      <c r="D87" s="513">
        <f>'(E1) Vlerësimi i burimeve'!D96</f>
        <v>0</v>
      </c>
      <c r="E87" s="513">
        <f>'(E1) Vlerësimi i burimeve'!E96</f>
        <v>0</v>
      </c>
      <c r="F87" s="513">
        <f>'(E1) Vlerësimi i burimeve'!F96</f>
        <v>0</v>
      </c>
      <c r="G87" s="516">
        <f>'(E1) Vlerësimi i burimeve'!O96</f>
        <v>0</v>
      </c>
      <c r="H87" s="516">
        <f>'(E1) Vlerësimi i burimeve'!X96</f>
        <v>0</v>
      </c>
      <c r="I87" s="516">
        <f>'(E1) Vlerësimi i burimeve'!AG96</f>
        <v>0</v>
      </c>
    </row>
    <row r="88" spans="1:9" x14ac:dyDescent="0.25">
      <c r="A88" s="825" t="str">
        <f>'(C2) Burimet viti kaluar'!C93</f>
        <v>B.3</v>
      </c>
      <c r="B88" s="1430" t="str">
        <f>'(E1) Vlerësimi i burimeve'!B97</f>
        <v>Trasferta specifike</v>
      </c>
      <c r="C88" s="1431"/>
      <c r="D88" s="507">
        <f>'(E1) Vlerësimi i burimeve'!D97</f>
        <v>145485846</v>
      </c>
      <c r="E88" s="507">
        <f>'(E1) Vlerësimi i burimeve'!E97</f>
        <v>190375000</v>
      </c>
      <c r="F88" s="507">
        <f>'(E1) Vlerësimi i burimeve'!F97</f>
        <v>215986562</v>
      </c>
      <c r="G88" s="507">
        <f>'(E1) Vlerësimi i burimeve'!O97</f>
        <v>215986562</v>
      </c>
      <c r="H88" s="507">
        <f>'(E1) Vlerësimi i burimeve'!X97</f>
        <v>215986562</v>
      </c>
      <c r="I88" s="507">
        <f>'(E1) Vlerësimi i burimeve'!AG97</f>
        <v>215986562</v>
      </c>
    </row>
    <row r="89" spans="1:9" x14ac:dyDescent="0.25">
      <c r="A89" s="815" t="str">
        <f>'(C2) Burimet viti kaluar'!C94</f>
        <v>C</v>
      </c>
      <c r="B89" s="1194" t="str">
        <f>'(E1) Vlerësimi i burimeve'!B98</f>
        <v>HUAMARRJA</v>
      </c>
      <c r="C89" s="1195"/>
      <c r="D89" s="503">
        <f>'(E1) Vlerësimi i burimeve'!D98</f>
        <v>0</v>
      </c>
      <c r="E89" s="503">
        <f>'(E1) Vlerësimi i burimeve'!E98</f>
        <v>0</v>
      </c>
      <c r="F89" s="503">
        <f>'(E1) Vlerësimi i burimeve'!F98</f>
        <v>0</v>
      </c>
      <c r="G89" s="503">
        <f>'(E1) Vlerësimi i burimeve'!O98</f>
        <v>0</v>
      </c>
      <c r="H89" s="503">
        <f>'(E1) Vlerësimi i burimeve'!X98</f>
        <v>0</v>
      </c>
      <c r="I89" s="503">
        <f>'(E1) Vlerësimi i burimeve'!AG98</f>
        <v>0</v>
      </c>
    </row>
    <row r="90" spans="1:9" x14ac:dyDescent="0.25">
      <c r="A90" s="825" t="str">
        <f>'(C2) Burimet viti kaluar'!C95</f>
        <v>C.1</v>
      </c>
      <c r="B90" s="1430" t="str">
        <f>'(E1) Vlerësimi i burimeve'!B99</f>
        <v>Huamarrja afatshkurtë</v>
      </c>
      <c r="C90" s="1431"/>
      <c r="D90" s="507">
        <f>'(E1) Vlerësimi i burimeve'!D99</f>
        <v>0</v>
      </c>
      <c r="E90" s="507">
        <f>'(E1) Vlerësimi i burimeve'!E99</f>
        <v>0</v>
      </c>
      <c r="F90" s="507">
        <f>'(E1) Vlerësimi i burimeve'!F99</f>
        <v>0</v>
      </c>
      <c r="G90" s="507">
        <f>'(E1) Vlerësimi i burimeve'!O99</f>
        <v>0</v>
      </c>
      <c r="H90" s="507">
        <f>'(E1) Vlerësimi i burimeve'!X99</f>
        <v>0</v>
      </c>
      <c r="I90" s="507">
        <f>'(E1) Vlerësimi i burimeve'!AG99</f>
        <v>0</v>
      </c>
    </row>
    <row r="91" spans="1:9" x14ac:dyDescent="0.25">
      <c r="A91" s="825" t="str">
        <f>'(C2) Burimet viti kaluar'!C96</f>
        <v>C.2</v>
      </c>
      <c r="B91" s="1430" t="str">
        <f>'(E1) Vlerësimi i burimeve'!B100</f>
        <v>Huamarrja afatgjatë</v>
      </c>
      <c r="C91" s="1431"/>
      <c r="D91" s="507">
        <f>'(E1) Vlerësimi i burimeve'!D100</f>
        <v>0</v>
      </c>
      <c r="E91" s="507">
        <f>'(E1) Vlerësimi i burimeve'!E100</f>
        <v>0</v>
      </c>
      <c r="F91" s="507">
        <f>'(E1) Vlerësimi i burimeve'!F100</f>
        <v>0</v>
      </c>
      <c r="G91" s="507">
        <f>'(E1) Vlerësimi i burimeve'!O100</f>
        <v>0</v>
      </c>
      <c r="H91" s="507">
        <f>'(E1) Vlerësimi i burimeve'!X100</f>
        <v>0</v>
      </c>
      <c r="I91" s="507">
        <f>'(E1) Vlerësimi i burimeve'!AG100</f>
        <v>0</v>
      </c>
    </row>
    <row r="92" spans="1:9" x14ac:dyDescent="0.25">
      <c r="A92" s="815" t="str">
        <f>'(C2) Burimet viti kaluar'!C97</f>
        <v>D</v>
      </c>
      <c r="B92" s="1194" t="str">
        <f>'(E1) Vlerësimi i burimeve'!B101</f>
        <v>TRASHËGIMI NGA VITI I SHKUAR</v>
      </c>
      <c r="C92" s="1195"/>
      <c r="D92" s="503">
        <f>'(E1) Vlerësimi i burimeve'!D101</f>
        <v>192108512</v>
      </c>
      <c r="E92" s="503">
        <f>'(E1) Vlerësimi i burimeve'!E101</f>
        <v>205582874</v>
      </c>
      <c r="F92" s="503">
        <f>'(E1) Vlerësimi i burimeve'!F101</f>
        <v>184917574</v>
      </c>
      <c r="G92" s="503">
        <f>'(E1) Vlerësimi i burimeve'!O101</f>
        <v>0</v>
      </c>
      <c r="H92" s="503">
        <f>'(E1) Vlerësimi i burimeve'!X101</f>
        <v>0</v>
      </c>
      <c r="I92" s="503">
        <f>'(E1) Vlerësimi i burimeve'!AG101</f>
        <v>0</v>
      </c>
    </row>
    <row r="93" spans="1:9" x14ac:dyDescent="0.25">
      <c r="A93" s="825" t="str">
        <f>'(C2) Burimet viti kaluar'!C98</f>
        <v>D.1</v>
      </c>
      <c r="B93" s="1430" t="str">
        <f>'(E1) Vlerësimi i burimeve'!B102</f>
        <v>Trashëgimi pa destinacion</v>
      </c>
      <c r="C93" s="1431"/>
      <c r="D93" s="507">
        <f>'(E1) Vlerësimi i burimeve'!D102</f>
        <v>132338149</v>
      </c>
      <c r="E93" s="507">
        <f>'(E1) Vlerësimi i burimeve'!E102</f>
        <v>143626560</v>
      </c>
      <c r="F93" s="507">
        <f>'(E1) Vlerësimi i burimeve'!F102</f>
        <v>135992057</v>
      </c>
      <c r="G93" s="507">
        <f>'(E1) Vlerësimi i burimeve'!O102</f>
        <v>0</v>
      </c>
      <c r="H93" s="507">
        <f>'(E1) Vlerësimi i burimeve'!X102</f>
        <v>0</v>
      </c>
      <c r="I93" s="507">
        <f>'(E1) Vlerësimi i burimeve'!AG102</f>
        <v>0</v>
      </c>
    </row>
    <row r="94" spans="1:9" x14ac:dyDescent="0.25">
      <c r="A94" s="825" t="str">
        <f>'(C2) Burimet viti kaluar'!C99</f>
        <v>D.2</v>
      </c>
      <c r="B94" s="1430" t="str">
        <f>'(E1) Vlerësimi i burimeve'!B103</f>
        <v>Trashëgimi me destinacion</v>
      </c>
      <c r="C94" s="1431"/>
      <c r="D94" s="507">
        <f>'(E1) Vlerësimi i burimeve'!D103</f>
        <v>59770363</v>
      </c>
      <c r="E94" s="507">
        <f>'(E1) Vlerësimi i burimeve'!E103</f>
        <v>61956314</v>
      </c>
      <c r="F94" s="507">
        <f>'(E1) Vlerësimi i burimeve'!F103</f>
        <v>48925517</v>
      </c>
      <c r="G94" s="507">
        <f>'(E1) Vlerësimi i burimeve'!O103</f>
        <v>0</v>
      </c>
      <c r="H94" s="507">
        <f>'(E1) Vlerësimi i burimeve'!X103</f>
        <v>0</v>
      </c>
      <c r="I94" s="507">
        <f>'(E1) Vlerësimi i burimeve'!AG103</f>
        <v>0</v>
      </c>
    </row>
    <row r="95" spans="1:9" s="528" customFormat="1" ht="15.75" thickBot="1" x14ac:dyDescent="0.3">
      <c r="A95" s="828"/>
      <c r="B95" s="828" t="str">
        <f>'(E1) Vlerësimi i burimeve'!B104</f>
        <v>TOTALI I BURIMEVE BUXHETORE</v>
      </c>
      <c r="C95" s="828"/>
      <c r="D95" s="699">
        <f>'(E1) Vlerësimi i burimeve'!D104</f>
        <v>1765195168.9200001</v>
      </c>
      <c r="E95" s="699">
        <f>'(E1) Vlerësimi i burimeve'!E104</f>
        <v>2023827429</v>
      </c>
      <c r="F95" s="699">
        <f>'(E1) Vlerësimi i burimeve'!F104</f>
        <v>2365512857</v>
      </c>
      <c r="G95" s="699">
        <f>'(E1) Vlerësimi i burimeve'!O104</f>
        <v>2186381363.8000002</v>
      </c>
      <c r="H95" s="699">
        <f>'(E1) Vlerësimi i burimeve'!X104</f>
        <v>2142953089.227</v>
      </c>
      <c r="I95" s="699">
        <f>'(E1) Vlerësimi i burimeve'!AG104</f>
        <v>2172787287.6475081</v>
      </c>
    </row>
    <row r="96" spans="1:9" ht="15.75" thickTop="1" x14ac:dyDescent="0.25"/>
    <row r="127" spans="2:4" x14ac:dyDescent="0.25">
      <c r="B127" s="492"/>
      <c r="C127" s="492"/>
      <c r="D127" s="492"/>
    </row>
    <row r="128" spans="2:4" x14ac:dyDescent="0.25">
      <c r="B128" s="492"/>
      <c r="C128" s="492"/>
      <c r="D128" s="492"/>
    </row>
    <row r="129" spans="2:4" x14ac:dyDescent="0.25">
      <c r="B129" s="492"/>
      <c r="C129" s="492"/>
      <c r="D129" s="492"/>
    </row>
    <row r="130" spans="2:4" x14ac:dyDescent="0.25">
      <c r="B130" s="492"/>
      <c r="C130" s="492"/>
      <c r="D130" s="492"/>
    </row>
    <row r="131" spans="2:4" x14ac:dyDescent="0.25">
      <c r="B131" s="492"/>
      <c r="C131" s="492"/>
      <c r="D131" s="492"/>
    </row>
    <row r="132" spans="2:4" x14ac:dyDescent="0.25">
      <c r="B132" s="492"/>
      <c r="C132" s="492"/>
      <c r="D132" s="492"/>
    </row>
  </sheetData>
  <sheetProtection selectLockedCells="1"/>
  <mergeCells count="16">
    <mergeCell ref="B93:C93"/>
    <mergeCell ref="B94:C94"/>
    <mergeCell ref="A1:I1"/>
    <mergeCell ref="B5:C5"/>
    <mergeCell ref="B83:C83"/>
    <mergeCell ref="B89:C89"/>
    <mergeCell ref="B92:C92"/>
    <mergeCell ref="B6:C6"/>
    <mergeCell ref="B20:C20"/>
    <mergeCell ref="B26:C26"/>
    <mergeCell ref="B68:C68"/>
    <mergeCell ref="B84:C84"/>
    <mergeCell ref="B85:C85"/>
    <mergeCell ref="B88:C88"/>
    <mergeCell ref="B90:C90"/>
    <mergeCell ref="B91:C91"/>
  </mergeCells>
  <phoneticPr fontId="3" type="noConversion"/>
  <pageMargins left="0.78740157480314965" right="0.70866141732283472" top="0.98425196850393704" bottom="0.78740157480314965" header="0.43307086614173229" footer="0.31496062992125984"/>
  <pageSetup paperSize="9" scale="78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tabColor rgb="FF00B050"/>
  </sheetPr>
  <dimension ref="A1:Q83"/>
  <sheetViews>
    <sheetView showGridLines="0" topLeftCell="A10" workbookViewId="0">
      <selection activeCell="A31" sqref="A31:XFD33"/>
    </sheetView>
  </sheetViews>
  <sheetFormatPr defaultColWidth="13.28515625" defaultRowHeight="12.75" x14ac:dyDescent="0.2"/>
  <cols>
    <col min="1" max="1" width="14.42578125" style="789" customWidth="1"/>
    <col min="2" max="2" width="30" style="831" customWidth="1"/>
    <col min="3" max="3" width="14" style="101" customWidth="1"/>
    <col min="4" max="4" width="13.5703125" style="42" customWidth="1"/>
    <col min="5" max="5" width="14" style="42" customWidth="1" collapsed="1"/>
    <col min="6" max="7" width="13.5703125" style="42" bestFit="1" customWidth="1"/>
    <col min="8" max="8" width="12.5703125" style="42" customWidth="1"/>
    <col min="9" max="9" width="14.5703125" style="42" bestFit="1" customWidth="1"/>
    <col min="10" max="10" width="13.5703125" style="42" bestFit="1" customWidth="1" collapsed="1"/>
    <col min="11" max="12" width="13.5703125" style="42" bestFit="1" customWidth="1"/>
    <col min="13" max="13" width="14.5703125" style="42" bestFit="1" customWidth="1"/>
    <col min="14" max="14" width="13.5703125" style="42" bestFit="1" customWidth="1" collapsed="1"/>
    <col min="15" max="15" width="13.5703125" style="42" bestFit="1" customWidth="1"/>
    <col min="16" max="16" width="14.140625" style="42" customWidth="1"/>
    <col min="17" max="17" width="14.42578125" style="42" bestFit="1" customWidth="1"/>
    <col min="18" max="16384" width="13.28515625" style="42"/>
  </cols>
  <sheetData>
    <row r="1" spans="1:17" ht="21" x14ac:dyDescent="0.35">
      <c r="A1" s="1434" t="str">
        <f>'(G1) Fjalori'!A421:A421</f>
        <v>(F2) SHPENZIMET SIPAS NËNFUNKSIONIT DHE PROGRAMIT - VLERA BRUTO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  <c r="L1" s="1435"/>
      <c r="M1" s="1435"/>
      <c r="N1" s="1435"/>
      <c r="O1" s="1435"/>
      <c r="P1" s="1435"/>
      <c r="Q1" s="1436"/>
    </row>
    <row r="2" spans="1:17" s="4" customFormat="1" ht="12.75" customHeight="1" x14ac:dyDescent="0.2">
      <c r="A2" s="776"/>
      <c r="B2" s="830"/>
      <c r="C2" s="95"/>
      <c r="N2" s="6"/>
      <c r="O2" s="6"/>
      <c r="P2" s="6"/>
      <c r="Q2" s="6"/>
    </row>
    <row r="3" spans="1:17" ht="21" customHeight="1" x14ac:dyDescent="0.2">
      <c r="C3" s="578">
        <f>'(B1)Informacion i përgjithshëm '!B5</f>
        <v>2019</v>
      </c>
      <c r="D3" s="578">
        <f>'(B1)Informacion i përgjithshëm '!B6</f>
        <v>2020</v>
      </c>
      <c r="E3" s="578">
        <f>'(B1)Informacion i përgjithshëm '!B7</f>
        <v>2021</v>
      </c>
      <c r="F3" s="1437">
        <f>'(B1)Informacion i përgjithshëm '!B8</f>
        <v>2022</v>
      </c>
      <c r="G3" s="1437"/>
      <c r="H3" s="1437"/>
      <c r="I3" s="1437"/>
      <c r="J3" s="1437">
        <f>'(B1)Informacion i përgjithshëm '!B9</f>
        <v>2023</v>
      </c>
      <c r="K3" s="1437"/>
      <c r="L3" s="1437"/>
      <c r="M3" s="1437"/>
      <c r="N3" s="1437">
        <f>'(B1)Informacion i përgjithshëm '!B10</f>
        <v>2024</v>
      </c>
      <c r="O3" s="1437"/>
      <c r="P3" s="1437"/>
      <c r="Q3" s="1437"/>
    </row>
    <row r="4" spans="1:17" s="46" customFormat="1" ht="32.25" customHeight="1" x14ac:dyDescent="0.25">
      <c r="A4" s="790"/>
      <c r="B4" s="832"/>
      <c r="C4" s="175" t="str">
        <f>'(A1) Titulli'!A39</f>
        <v>Viti t-2</v>
      </c>
      <c r="D4" s="175" t="str">
        <f>'(A1) Titulli'!A40</f>
        <v>Viti i shkuar</v>
      </c>
      <c r="E4" s="175" t="str">
        <f>'(A1) Titulli'!A41</f>
        <v>Viti aktual</v>
      </c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  <c r="Q4" s="1437"/>
    </row>
    <row r="5" spans="1:17" s="104" customFormat="1" ht="63.75" x14ac:dyDescent="0.25">
      <c r="A5" s="790"/>
      <c r="B5" s="832"/>
      <c r="C5" s="144" t="str">
        <f>I5</f>
        <v>SHPENZIME TË PRITSHME</v>
      </c>
      <c r="D5" s="144" t="str">
        <f>C5</f>
        <v>SHPENZIME TË PRITSHME</v>
      </c>
      <c r="E5" s="144" t="str">
        <f>C5</f>
        <v>SHPENZIME TË PRITSHME</v>
      </c>
      <c r="F5" s="445" t="str">
        <f>'(F6) Shpenzimet sipas funks.bru'!F5</f>
        <v>Pagat dhe sigurimet shoqërore</v>
      </c>
      <c r="G5" s="445" t="str">
        <f>'(F6) Shpenzimet sipas funks.bru'!G5</f>
        <v>Shpenzime të tjera korrente</v>
      </c>
      <c r="H5" s="445" t="str">
        <f>'(F6) Shpenzimet sipas funks.bru'!H5</f>
        <v>Shpenzimet kapitale</v>
      </c>
      <c r="I5" s="145" t="str">
        <f>'(F6) Shpenzimet sipas funks.bru'!I5</f>
        <v>SHPENZIME TË PRITSHME</v>
      </c>
      <c r="J5" s="444" t="str">
        <f>F5</f>
        <v>Pagat dhe sigurimet shoqërore</v>
      </c>
      <c r="K5" s="445" t="str">
        <f>G5</f>
        <v>Shpenzime të tjera korrente</v>
      </c>
      <c r="L5" s="445" t="str">
        <f>H5</f>
        <v>Shpenzimet kapitale</v>
      </c>
      <c r="M5" s="145" t="str">
        <f>I5</f>
        <v>SHPENZIME TË PRITSHME</v>
      </c>
      <c r="N5" s="444" t="str">
        <f>F5</f>
        <v>Pagat dhe sigurimet shoqërore</v>
      </c>
      <c r="O5" s="445" t="str">
        <f>G5</f>
        <v>Shpenzime të tjera korrente</v>
      </c>
      <c r="P5" s="445" t="str">
        <f>H5</f>
        <v>Shpenzimet kapitale</v>
      </c>
      <c r="Q5" s="145" t="str">
        <f>I5</f>
        <v>SHPENZIME TË PRITSHME</v>
      </c>
    </row>
    <row r="6" spans="1:17" ht="15" customHeight="1" x14ac:dyDescent="0.2">
      <c r="A6" s="791" t="str">
        <f>'(B2) Struktura Organizative'!A7</f>
        <v>Nënfunksioni 1</v>
      </c>
      <c r="B6" s="833" t="str">
        <f>'(B2) Struktura Organizative'!B7</f>
        <v>011 Organet ekzekutive dhe legjislative, për çështjet financiare dhe fiskale, çështjet e brendshme</v>
      </c>
      <c r="C6" s="626">
        <f>'KB 01'!B$18</f>
        <v>196792965</v>
      </c>
      <c r="D6" s="626">
        <f>'KB 01'!C$18</f>
        <v>310542368</v>
      </c>
      <c r="E6" s="626">
        <f>'KB 01'!D$18</f>
        <v>431325564</v>
      </c>
      <c r="F6" s="627">
        <f>SUM('KB 01'!E$22:E$23,'KB 01'!E$35:E$36)</f>
        <v>186080000</v>
      </c>
      <c r="G6" s="627">
        <f>I6-H6-F6</f>
        <v>110234000</v>
      </c>
      <c r="H6" s="627">
        <f>'KB 01'!E$29+'KB 01'!E$42</f>
        <v>82418688</v>
      </c>
      <c r="I6" s="628">
        <f>'KB 01'!E$48</f>
        <v>378732688</v>
      </c>
      <c r="J6" s="627">
        <f>SUM('KB 01'!F$22:F$23,'KB 01'!F$35:F$36)</f>
        <v>187866000</v>
      </c>
      <c r="K6" s="627">
        <f>M6-L6-J6</f>
        <v>110726000</v>
      </c>
      <c r="L6" s="627">
        <f>'KB 01'!F$29+'KB 01'!F$42</f>
        <v>21596860</v>
      </c>
      <c r="M6" s="628">
        <f>'KB 01'!F$48</f>
        <v>320188860</v>
      </c>
      <c r="N6" s="627">
        <f>SUM('KB 01'!G$22:G$23,'KB 01'!G$35:G$36)</f>
        <v>189669860</v>
      </c>
      <c r="O6" s="627">
        <f>Q6-P6-N6</f>
        <v>111833200</v>
      </c>
      <c r="P6" s="627">
        <f>'KB 01'!G$29+'KB 01'!G$42</f>
        <v>18046223</v>
      </c>
      <c r="Q6" s="628">
        <f>'KB 01'!G$48</f>
        <v>319549283</v>
      </c>
    </row>
    <row r="7" spans="1:17" s="101" customFormat="1" ht="15" customHeight="1" x14ac:dyDescent="0.2">
      <c r="A7" s="829" t="str">
        <f>'(B3) Struktura Funksionale'!B8</f>
        <v>01110</v>
      </c>
      <c r="B7" s="834" t="str">
        <f>'(B3) Struktura Funksionale'!C8</f>
        <v>Planifikimi Menaxhimi dhe Administrimi</v>
      </c>
      <c r="C7" s="589">
        <f>'KB 01'!B72</f>
        <v>188973007</v>
      </c>
      <c r="D7" s="589">
        <f>'KB 01'!C72</f>
        <v>300083152</v>
      </c>
      <c r="E7" s="589">
        <f>'KB 01'!D72</f>
        <v>423241564</v>
      </c>
      <c r="F7" s="77">
        <f>SUM('KB 01'!E$76:E$77,'KB 01'!E$89:E$90)</f>
        <v>178600000</v>
      </c>
      <c r="G7" s="77">
        <f>I7-H7-F7</f>
        <v>109630000</v>
      </c>
      <c r="H7" s="77">
        <f>'KB 01'!E$83+'KB 01'!E$96</f>
        <v>82418688</v>
      </c>
      <c r="I7" s="140">
        <f>'KB 01'!E$102</f>
        <v>370648688</v>
      </c>
      <c r="J7" s="77">
        <f>SUM('KB 01'!F$76:F$77,'KB 01'!F$89:F$90)</f>
        <v>180386000</v>
      </c>
      <c r="K7" s="77">
        <f>M7-L7-J7</f>
        <v>110122000</v>
      </c>
      <c r="L7" s="77">
        <f>'KB 01'!F$83+'KB 01'!F$96</f>
        <v>21596860</v>
      </c>
      <c r="M7" s="140">
        <f>'KB 01'!F$102</f>
        <v>312104860</v>
      </c>
      <c r="N7" s="77">
        <f>SUM('KB 01'!G$76:G$77,'KB 01'!G$89:G$90)</f>
        <v>182189860</v>
      </c>
      <c r="O7" s="77">
        <f>Q7-P7-N7</f>
        <v>111229200</v>
      </c>
      <c r="P7" s="77">
        <f>'KB 01'!G$83+'KB 01'!G$96</f>
        <v>18046223</v>
      </c>
      <c r="Q7" s="140">
        <f>'KB 01'!G$102</f>
        <v>311465283</v>
      </c>
    </row>
    <row r="8" spans="1:17" s="101" customFormat="1" ht="15" customHeight="1" x14ac:dyDescent="0.2">
      <c r="A8" s="829" t="str">
        <f>'(B3) Struktura Funksionale'!B9</f>
        <v>01120</v>
      </c>
      <c r="B8" s="834" t="str">
        <f>'(B3) Struktura Funksionale'!C9</f>
        <v>Çështje financiare dhe fiskale</v>
      </c>
      <c r="C8" s="589">
        <f>'KB 01'!B111</f>
        <v>0</v>
      </c>
      <c r="D8" s="589">
        <f>'KB 01'!C111</f>
        <v>0</v>
      </c>
      <c r="E8" s="589">
        <f>'KB 01'!D111</f>
        <v>0</v>
      </c>
      <c r="F8" s="77">
        <f>SUM('KB 01'!E$115:E$116,'KB 01'!E$128:E$129)</f>
        <v>0</v>
      </c>
      <c r="G8" s="77">
        <f>I8-H8-F8</f>
        <v>0</v>
      </c>
      <c r="H8" s="77">
        <f>'KB 01'!E$122+'KB 01'!E$135</f>
        <v>0</v>
      </c>
      <c r="I8" s="140">
        <f>'KB 01'!E$141</f>
        <v>0</v>
      </c>
      <c r="J8" s="77">
        <f>SUM('KB 01'!F$115:F$116,'KB 01'!F$128:F$129)</f>
        <v>0</v>
      </c>
      <c r="K8" s="77">
        <f>M8-L8-J8</f>
        <v>0</v>
      </c>
      <c r="L8" s="77">
        <f>'KB 01'!F$122+'KB 01'!F$135</f>
        <v>0</v>
      </c>
      <c r="M8" s="140">
        <f>'KB 01'!F$141</f>
        <v>0</v>
      </c>
      <c r="N8" s="77">
        <f>SUM('KB 01'!G$115:G$116,'KB 01'!G$128:G$129)</f>
        <v>0</v>
      </c>
      <c r="O8" s="77">
        <f>Q8-P8-N8</f>
        <v>0</v>
      </c>
      <c r="P8" s="77">
        <f>'KB 01'!G$122+'KB 01'!G$135</f>
        <v>0</v>
      </c>
      <c r="Q8" s="140">
        <f>'KB 01'!G$141</f>
        <v>0</v>
      </c>
    </row>
    <row r="9" spans="1:17" s="101" customFormat="1" ht="15" customHeight="1" x14ac:dyDescent="0.2">
      <c r="A9" s="829" t="str">
        <f>'(B3) Struktura Funksionale'!B11</f>
        <v>01170</v>
      </c>
      <c r="B9" s="835" t="str">
        <f>'(B3) Struktura Funksionale'!C11</f>
        <v>Gjendja civile</v>
      </c>
      <c r="C9" s="590">
        <f>'KB 01'!B189</f>
        <v>7819958</v>
      </c>
      <c r="D9" s="590">
        <f>'KB 01'!C189</f>
        <v>10459216</v>
      </c>
      <c r="E9" s="590">
        <f>'KB 01'!D189</f>
        <v>8084000</v>
      </c>
      <c r="F9" s="591">
        <f>SUM('KB 01'!E$193:E$194,'KB 01'!E$206:E$207)</f>
        <v>7480000</v>
      </c>
      <c r="G9" s="591">
        <f>I9-H9-F9</f>
        <v>604000</v>
      </c>
      <c r="H9" s="591">
        <f>'KB 01'!E$200+'KB 01'!E$213</f>
        <v>0</v>
      </c>
      <c r="I9" s="592">
        <f>'KB 01'!E$219</f>
        <v>8084000</v>
      </c>
      <c r="J9" s="591">
        <f>SUM('KB 01'!F$193:F$194,'KB 01'!F$206:F$207)</f>
        <v>7480000</v>
      </c>
      <c r="K9" s="591">
        <f>M9-L9-J9</f>
        <v>604000</v>
      </c>
      <c r="L9" s="591">
        <f>'KB 01'!F$200+'KB 01'!F$213</f>
        <v>0</v>
      </c>
      <c r="M9" s="592">
        <f>'KB 01'!F$219</f>
        <v>8084000</v>
      </c>
      <c r="N9" s="591">
        <f>SUM('KB 01'!G$193:G$194,'KB 01'!G$206:G$207)</f>
        <v>7480000</v>
      </c>
      <c r="O9" s="591">
        <f>Q9-P9-N9</f>
        <v>604000</v>
      </c>
      <c r="P9" s="77">
        <f>'KB 01'!G$200+'KB 01'!G$213</f>
        <v>0</v>
      </c>
      <c r="Q9" s="140">
        <f>'KB 01'!G$219</f>
        <v>8084000</v>
      </c>
    </row>
    <row r="10" spans="1:17" ht="15" customHeight="1" x14ac:dyDescent="0.2">
      <c r="A10" s="791" t="str">
        <f>'(B2) Struktura Organizative'!A8</f>
        <v>Nënfunksioni 2</v>
      </c>
      <c r="B10" s="833" t="str">
        <f>'(B2) Struktura Organizative'!B8</f>
        <v>017 Shërbime të  huamarrjes vendore</v>
      </c>
      <c r="C10" s="626">
        <f>'KB 02'!B$18</f>
        <v>4415703</v>
      </c>
      <c r="D10" s="626">
        <f>'KB 02'!C$18</f>
        <v>5108041</v>
      </c>
      <c r="E10" s="626">
        <f>'KB 02'!D$18</f>
        <v>900000</v>
      </c>
      <c r="F10" s="627">
        <f>SUM('KB 02'!E$22:E$23,'KB 02'!E$35:E$36)</f>
        <v>0</v>
      </c>
      <c r="G10" s="627">
        <f t="shared" ref="G10:G18" si="0">I10-H10-F10</f>
        <v>0</v>
      </c>
      <c r="H10" s="627">
        <f>'KB 02'!E$29+'KB 02'!E$42</f>
        <v>0</v>
      </c>
      <c r="I10" s="628">
        <f>'KB 02'!E$48</f>
        <v>0</v>
      </c>
      <c r="J10" s="627">
        <f>SUM('KB 02'!F$22:F$23,'KB 02'!F$35:F$36)</f>
        <v>0</v>
      </c>
      <c r="K10" s="627">
        <f t="shared" ref="K10:K18" si="1">M10-L10-J10</f>
        <v>0</v>
      </c>
      <c r="L10" s="627">
        <f>'KB 02'!F$29+'KB 02'!F$42</f>
        <v>0</v>
      </c>
      <c r="M10" s="628">
        <f>'KB 02'!F$48</f>
        <v>0</v>
      </c>
      <c r="N10" s="627">
        <f>SUM('KB 02'!G$22:G$23,'KB 02'!G$35:G$36)</f>
        <v>0</v>
      </c>
      <c r="O10" s="627">
        <f t="shared" ref="O10:O18" si="2">Q10-P10-N10</f>
        <v>0</v>
      </c>
      <c r="P10" s="627">
        <f>'KB 02'!G$29+'KB 02'!G$42</f>
        <v>0</v>
      </c>
      <c r="Q10" s="628">
        <f>'KB 02'!G$48</f>
        <v>0</v>
      </c>
    </row>
    <row r="11" spans="1:17" s="101" customFormat="1" ht="15" hidden="1" customHeight="1" x14ac:dyDescent="0.2">
      <c r="A11" s="829" t="str">
        <f>'(B3) Struktura Funksionale'!B15</f>
        <v>01310</v>
      </c>
      <c r="B11" s="834" t="str">
        <f>'(B3) Struktura Funksionale'!C15</f>
        <v>Planifikimi i përgjithshëm dhe Shërbimet Statistikore</v>
      </c>
      <c r="C11" s="589">
        <f>'KB 02'!B72</f>
        <v>0</v>
      </c>
      <c r="D11" s="589">
        <f>'KB 02'!C72</f>
        <v>0</v>
      </c>
      <c r="E11" s="589">
        <f>'KB 02'!D72</f>
        <v>0</v>
      </c>
      <c r="F11" s="77">
        <f>SUM('KB 02'!E$76:E$77,'KB 02'!E$89:E$90)</f>
        <v>0</v>
      </c>
      <c r="G11" s="77">
        <f t="shared" si="0"/>
        <v>0</v>
      </c>
      <c r="H11" s="77">
        <f>'KB 02'!E$83+'KB 02'!E$96</f>
        <v>0</v>
      </c>
      <c r="I11" s="140">
        <f>'KB 02'!E$102</f>
        <v>0</v>
      </c>
      <c r="J11" s="77">
        <f>SUM('KB 02'!F$76:F$77,'KB 02'!F$89:F$90)</f>
        <v>0</v>
      </c>
      <c r="K11" s="77">
        <f>M11-L11-J11</f>
        <v>0</v>
      </c>
      <c r="L11" s="77">
        <f>'KB 02'!F$83+'KB 02'!F$96</f>
        <v>0</v>
      </c>
      <c r="M11" s="140">
        <f>'KB 02'!F$102</f>
        <v>0</v>
      </c>
      <c r="N11" s="77">
        <f>SUM('KB 02'!G$76:G$77,'KB 02'!G$89:G$90)</f>
        <v>0</v>
      </c>
      <c r="O11" s="77">
        <f>Q11-P11-N11</f>
        <v>0</v>
      </c>
      <c r="P11" s="77">
        <f>'KB 02'!G$83+'KB 02'!G$96</f>
        <v>0</v>
      </c>
      <c r="Q11" s="140">
        <f>'KB 02'!G$102</f>
        <v>0</v>
      </c>
    </row>
    <row r="12" spans="1:17" s="101" customFormat="1" ht="15" hidden="1" customHeight="1" x14ac:dyDescent="0.2">
      <c r="A12" s="829" t="str">
        <f>'(B3) Struktura Funksionale'!B17</f>
        <v>01320</v>
      </c>
      <c r="B12" s="834" t="str">
        <f>'(B3) Struktura Funksionale'!C17</f>
        <v>Shërbime të tjera të përgjithshme</v>
      </c>
      <c r="C12" s="589">
        <f>'KB 02'!B150</f>
        <v>0</v>
      </c>
      <c r="D12" s="589">
        <f>'KB 02'!C150</f>
        <v>0</v>
      </c>
      <c r="E12" s="589">
        <f>'KB 02'!D150</f>
        <v>0</v>
      </c>
      <c r="F12" s="77">
        <f>SUM('KB 02'!E$154:E$155,'KB 02'!E$167:E$168)</f>
        <v>0</v>
      </c>
      <c r="G12" s="77">
        <f t="shared" si="0"/>
        <v>0</v>
      </c>
      <c r="H12" s="77">
        <f>'KB 02'!E$161+'KB 02'!E$174</f>
        <v>0</v>
      </c>
      <c r="I12" s="140">
        <f>'KB 02'!E$180</f>
        <v>0</v>
      </c>
      <c r="J12" s="77">
        <f>SUM('KB 02'!F$154:F$155,'KB 02'!F$167:F$168)</f>
        <v>0</v>
      </c>
      <c r="K12" s="77">
        <f t="shared" si="1"/>
        <v>0</v>
      </c>
      <c r="L12" s="77">
        <f>'KB 02'!F$161+'KB 02'!F$174</f>
        <v>0</v>
      </c>
      <c r="M12" s="140">
        <f>'KB 02'!F$180</f>
        <v>0</v>
      </c>
      <c r="N12" s="77">
        <f>SUM('KB 02'!G$154:G$155,'KB 02'!G$167:G$168)</f>
        <v>0</v>
      </c>
      <c r="O12" s="77">
        <f>Q12-P12-N12</f>
        <v>0</v>
      </c>
      <c r="P12" s="77">
        <f>'KB 02'!G$161+'KB 02'!G$174</f>
        <v>0</v>
      </c>
      <c r="Q12" s="140">
        <f>'KB 02'!G$180</f>
        <v>0</v>
      </c>
    </row>
    <row r="13" spans="1:17" s="101" customFormat="1" ht="15" customHeight="1" x14ac:dyDescent="0.2">
      <c r="A13" s="829" t="str">
        <f>'(B3) Struktura Funksionale'!B18</f>
        <v>01710</v>
      </c>
      <c r="B13" s="834" t="str">
        <f>'(B3) Struktura Funksionale'!C18</f>
        <v>Pagesa për shërbimin e borxhit të brendshëm</v>
      </c>
      <c r="C13" s="589">
        <f>'KB 02'!B189</f>
        <v>4415703</v>
      </c>
      <c r="D13" s="589">
        <f>'KB 02'!C189</f>
        <v>5108041</v>
      </c>
      <c r="E13" s="589">
        <f>'KB 02'!D189</f>
        <v>900000</v>
      </c>
      <c r="F13" s="77">
        <f>SUM('KB 02'!E$193:E$194,'KB 02'!E$206:E$207)</f>
        <v>0</v>
      </c>
      <c r="G13" s="77">
        <f t="shared" si="0"/>
        <v>0</v>
      </c>
      <c r="H13" s="77">
        <f>'KB 02'!E$200+'KB 02'!E$213</f>
        <v>0</v>
      </c>
      <c r="I13" s="140">
        <f>'KB 02'!E$219</f>
        <v>0</v>
      </c>
      <c r="J13" s="77">
        <f>SUM('KB 02'!F$193:F$194,'KB 02'!F$206:F$207)</f>
        <v>0</v>
      </c>
      <c r="K13" s="77">
        <f t="shared" si="1"/>
        <v>0</v>
      </c>
      <c r="L13" s="77">
        <f>'KB 02'!F$200+'KB 02'!F$213</f>
        <v>0</v>
      </c>
      <c r="M13" s="140">
        <f>'KB 02'!F$219</f>
        <v>0</v>
      </c>
      <c r="N13" s="77">
        <f>SUM('KB 02'!G$193:G$194,'KB 02'!G$206:G$207)</f>
        <v>0</v>
      </c>
      <c r="O13" s="77">
        <f>Q13-P13-N13</f>
        <v>0</v>
      </c>
      <c r="P13" s="77">
        <f>'KB 02'!G$200+'KB 02'!G$213</f>
        <v>0</v>
      </c>
      <c r="Q13" s="140">
        <f>'KB 02'!G$219</f>
        <v>0</v>
      </c>
    </row>
    <row r="14" spans="1:17" ht="15" customHeight="1" x14ac:dyDescent="0.2">
      <c r="A14" s="791" t="str">
        <f>'(B2) Struktura Organizative'!A9</f>
        <v>Nënfunksioni 3</v>
      </c>
      <c r="B14" s="833" t="str">
        <f>'(B2) Struktura Organizative'!B9</f>
        <v>031 Shërbimet Policore</v>
      </c>
      <c r="C14" s="626">
        <f>'KB 03'!B$18</f>
        <v>0</v>
      </c>
      <c r="D14" s="626">
        <f>'KB 03'!C$18</f>
        <v>0</v>
      </c>
      <c r="E14" s="626">
        <f>'KB 03'!D$18</f>
        <v>0</v>
      </c>
      <c r="F14" s="627">
        <f>SUM('KB 03'!E$22:E$23,'KB 03'!E$35:E$36)</f>
        <v>0</v>
      </c>
      <c r="G14" s="627">
        <f t="shared" si="0"/>
        <v>0</v>
      </c>
      <c r="H14" s="627">
        <f>'KB 03'!E$29+'KB 03'!E$42</f>
        <v>0</v>
      </c>
      <c r="I14" s="628">
        <f>'KB 03'!E$48</f>
        <v>0</v>
      </c>
      <c r="J14" s="627">
        <f>SUM('KB 03'!I$22:I$23,'KB 03'!I$35:I$36)</f>
        <v>0</v>
      </c>
      <c r="K14" s="627">
        <f t="shared" si="1"/>
        <v>0</v>
      </c>
      <c r="L14" s="627">
        <f>'KB 03'!F$29+'KB 03'!F$42</f>
        <v>0</v>
      </c>
      <c r="M14" s="628">
        <f>'KB 03'!F$48</f>
        <v>0</v>
      </c>
      <c r="N14" s="627">
        <f>SUM('KB 03'!G$22:G$23,'KB 03'!G$35:G$36)</f>
        <v>0</v>
      </c>
      <c r="O14" s="627">
        <f t="shared" si="2"/>
        <v>0</v>
      </c>
      <c r="P14" s="627">
        <f>'KB 03'!G$29+'KB 03'!G$42</f>
        <v>0</v>
      </c>
      <c r="Q14" s="628">
        <f>'KB 03'!G$48</f>
        <v>0</v>
      </c>
    </row>
    <row r="15" spans="1:17" s="101" customFormat="1" ht="15" customHeight="1" x14ac:dyDescent="0.2">
      <c r="A15" s="829" t="str">
        <f>'(B3) Struktura Funksionale'!B22</f>
        <v>03140</v>
      </c>
      <c r="B15" s="834" t="str">
        <f>'(B3) Struktura Funksionale'!C22</f>
        <v>Shërbimet e Policisë Vendore</v>
      </c>
      <c r="C15" s="589">
        <f>'KB 03'!B72</f>
        <v>0</v>
      </c>
      <c r="D15" s="589">
        <f>'KB 03'!C72</f>
        <v>0</v>
      </c>
      <c r="E15" s="589">
        <f>'KB 03'!D72</f>
        <v>0</v>
      </c>
      <c r="F15" s="77">
        <f>SUM('KB 03'!E$76:E$77,'KB 03'!E$89:E$90)</f>
        <v>0</v>
      </c>
      <c r="G15" s="77">
        <f t="shared" si="0"/>
        <v>0</v>
      </c>
      <c r="H15" s="77">
        <f>'KB 03'!E$83+'KB 03'!E$96</f>
        <v>0</v>
      </c>
      <c r="I15" s="140">
        <f>'KB 03'!E102</f>
        <v>0</v>
      </c>
      <c r="J15" s="77">
        <f>SUM('KB 03'!I$76:I$77,'KB 03'!I$89:I$90)</f>
        <v>0</v>
      </c>
      <c r="K15" s="77">
        <f t="shared" si="1"/>
        <v>0</v>
      </c>
      <c r="L15" s="77">
        <f>'KB 03'!F$83+'KB 03'!F$96</f>
        <v>0</v>
      </c>
      <c r="M15" s="140">
        <f>'KB 03'!F102</f>
        <v>0</v>
      </c>
      <c r="N15" s="77">
        <f>SUM('KB 03'!G$76:G$77,'KB 03'!G$89:G$90)</f>
        <v>0</v>
      </c>
      <c r="O15" s="77">
        <f t="shared" si="2"/>
        <v>0</v>
      </c>
      <c r="P15" s="77">
        <f>'KB 03'!G$83+'KB 03'!G$96</f>
        <v>0</v>
      </c>
      <c r="Q15" s="140">
        <f>'KB 03'!G102</f>
        <v>0</v>
      </c>
    </row>
    <row r="16" spans="1:17" ht="15" customHeight="1" x14ac:dyDescent="0.2">
      <c r="A16" s="791" t="str">
        <f>'(B2) Struktura Organizative'!A10</f>
        <v>Nënfunksioni 4</v>
      </c>
      <c r="B16" s="833" t="str">
        <f>'(B2) Struktura Organizative'!B10</f>
        <v>032 Shërbimet e mbrojtjes ndaj zjarrit</v>
      </c>
      <c r="C16" s="626">
        <f>'KB 04'!B$18</f>
        <v>11570753</v>
      </c>
      <c r="D16" s="626">
        <f>'KB 04'!C$18</f>
        <v>13488330</v>
      </c>
      <c r="E16" s="626">
        <f>'KB 04'!D$18</f>
        <v>20596534</v>
      </c>
      <c r="F16" s="627">
        <f>SUM('KB 04'!E$22:E$23,'KB 04'!E$35:E$36)</f>
        <v>14229650</v>
      </c>
      <c r="G16" s="627">
        <f t="shared" si="0"/>
        <v>3200000</v>
      </c>
      <c r="H16" s="627">
        <f>'KB 04'!E$29+'KB 04'!E$42</f>
        <v>0</v>
      </c>
      <c r="I16" s="628">
        <f>'KB 04'!E$48</f>
        <v>17429650</v>
      </c>
      <c r="J16" s="627">
        <f>SUM('KB 04'!F$22:F$23,'KB 04'!F$35:F$36)</f>
        <v>14229650</v>
      </c>
      <c r="K16" s="627">
        <f t="shared" si="1"/>
        <v>3200000</v>
      </c>
      <c r="L16" s="627">
        <f>'KB 04'!F$29+'KB 04'!F$42</f>
        <v>0</v>
      </c>
      <c r="M16" s="628">
        <f>'KB 04'!F$48</f>
        <v>17429650</v>
      </c>
      <c r="N16" s="627">
        <f>SUM('KB 04'!G$22:G$23,'KB 04'!G$35:G$36)</f>
        <v>14229650</v>
      </c>
      <c r="O16" s="627">
        <f t="shared" si="2"/>
        <v>3200000</v>
      </c>
      <c r="P16" s="627">
        <f>'KB 04'!G$29+'KB 04'!G$42</f>
        <v>0</v>
      </c>
      <c r="Q16" s="628">
        <f>'KB 04'!G$48</f>
        <v>17429650</v>
      </c>
    </row>
    <row r="17" spans="1:17" s="101" customFormat="1" ht="15" customHeight="1" x14ac:dyDescent="0.2">
      <c r="A17" s="829" t="str">
        <f>'(B3) Struktura Funksionale'!B26</f>
        <v>03280</v>
      </c>
      <c r="B17" s="834" t="str">
        <f>'(B3) Struktura Funksionale'!C26</f>
        <v>Mbrotja nga zjarri dhe mbrojtja civile</v>
      </c>
      <c r="C17" s="589">
        <f>'KB 04'!B72</f>
        <v>11570753</v>
      </c>
      <c r="D17" s="589">
        <f>'KB 04'!C72</f>
        <v>13488330</v>
      </c>
      <c r="E17" s="589">
        <f>'KB 04'!D72</f>
        <v>20596534</v>
      </c>
      <c r="F17" s="77">
        <f>SUM('KB 04'!E$76:E$77,'KB 04'!E$89:E$90)</f>
        <v>14229650</v>
      </c>
      <c r="G17" s="77">
        <f t="shared" si="0"/>
        <v>3200000</v>
      </c>
      <c r="H17" s="77">
        <f>'KB 04'!E$83+'KB 04'!E$96</f>
        <v>0</v>
      </c>
      <c r="I17" s="140">
        <f>'KB 04'!E102</f>
        <v>17429650</v>
      </c>
      <c r="J17" s="77">
        <f>SUM('KB 04'!F$76:F$77,'KB 04'!F$89:F$90)</f>
        <v>14229650</v>
      </c>
      <c r="K17" s="77">
        <f t="shared" si="1"/>
        <v>3200000</v>
      </c>
      <c r="L17" s="77">
        <f>'KB 04'!F$83+'KB 04'!F$96</f>
        <v>0</v>
      </c>
      <c r="M17" s="140">
        <f>'KB 04'!F102</f>
        <v>17429650</v>
      </c>
      <c r="N17" s="77">
        <f>SUM('KB 04'!G$76:G$77,'KB 04'!G$89:G$90)</f>
        <v>14229650</v>
      </c>
      <c r="O17" s="77">
        <f t="shared" si="2"/>
        <v>3200000</v>
      </c>
      <c r="P17" s="77">
        <f>'KB 04'!G$83+'KB 04'!G$96</f>
        <v>0</v>
      </c>
      <c r="Q17" s="140">
        <f>'KB 04'!G102</f>
        <v>17429650</v>
      </c>
    </row>
    <row r="18" spans="1:17" ht="15" customHeight="1" x14ac:dyDescent="0.2">
      <c r="A18" s="791" t="str">
        <f>'(B2) Struktura Organizative'!A11</f>
        <v>Nënfunksioni 5</v>
      </c>
      <c r="B18" s="833" t="str">
        <f>'(B2) Struktura Organizative'!B11</f>
        <v>036 Marrdheniet me komunitetin</v>
      </c>
      <c r="C18" s="626">
        <f>'KB 05'!B$18</f>
        <v>0</v>
      </c>
      <c r="D18" s="626">
        <f>'KB 05'!C$18</f>
        <v>0</v>
      </c>
      <c r="E18" s="626">
        <f>'KB 05'!D$18</f>
        <v>0</v>
      </c>
      <c r="F18" s="627">
        <f>SUM('KB 05'!E$22:E$23,'KB 05'!E$35:E$36)</f>
        <v>0</v>
      </c>
      <c r="G18" s="627">
        <f t="shared" si="0"/>
        <v>0</v>
      </c>
      <c r="H18" s="627">
        <f>'KB 05'!E$29+'KB 05'!E$42</f>
        <v>0</v>
      </c>
      <c r="I18" s="628">
        <f>'KB 05'!E$48</f>
        <v>0</v>
      </c>
      <c r="J18" s="627">
        <f>SUM('KB 05'!F$22:F$23,'KB 05'!F$35:F$36)</f>
        <v>0</v>
      </c>
      <c r="K18" s="627">
        <f t="shared" si="1"/>
        <v>0</v>
      </c>
      <c r="L18" s="627">
        <f>'KB 05'!F$29+'KB 05'!F$42</f>
        <v>0</v>
      </c>
      <c r="M18" s="628">
        <f>'KB 05'!F$48</f>
        <v>0</v>
      </c>
      <c r="N18" s="627">
        <f>SUM('KB 05'!G$22:G$23,'KB 05'!G$35:G$36)</f>
        <v>0</v>
      </c>
      <c r="O18" s="627">
        <f t="shared" si="2"/>
        <v>0</v>
      </c>
      <c r="P18" s="627">
        <f>'KB 05'!G$29+'KB 05'!G$42</f>
        <v>0</v>
      </c>
      <c r="Q18" s="628">
        <f>'KB 05'!G$48</f>
        <v>0</v>
      </c>
    </row>
    <row r="19" spans="1:17" s="101" customFormat="1" ht="15" customHeight="1" x14ac:dyDescent="0.2">
      <c r="A19" s="829" t="str">
        <f>'(B3) Struktura Funksionale'!B30</f>
        <v>03600</v>
      </c>
      <c r="B19" s="834" t="str">
        <f>'(B3) Struktura Funksionale'!C30</f>
        <v>Marrdheniet me komunitetin</v>
      </c>
      <c r="C19" s="143">
        <f>'KB 05'!B72</f>
        <v>0</v>
      </c>
      <c r="D19" s="143">
        <f>'KB 05'!C72</f>
        <v>0</v>
      </c>
      <c r="E19" s="143">
        <f>'KB 05'!D72</f>
        <v>0</v>
      </c>
      <c r="F19" s="77">
        <f>SUM('KB 05'!E$76:E$77,'KB 05'!E$89:E$90)</f>
        <v>0</v>
      </c>
      <c r="G19" s="77">
        <f>I19-H19-F19</f>
        <v>0</v>
      </c>
      <c r="H19" s="77">
        <f>'KB 05'!E$83+'KB 05'!E$96</f>
        <v>0</v>
      </c>
      <c r="I19" s="140">
        <f>'KB 05'!E$102</f>
        <v>0</v>
      </c>
      <c r="J19" s="77">
        <f>SUM('KB 05'!F$76:F$77,'KB 05'!F$89:F$90)</f>
        <v>0</v>
      </c>
      <c r="K19" s="77">
        <f>M19-L19-J19</f>
        <v>0</v>
      </c>
      <c r="L19" s="77">
        <f>'KB 05'!F$83+'KB 05'!F$96</f>
        <v>0</v>
      </c>
      <c r="M19" s="140">
        <f>'KB 05'!F$102</f>
        <v>0</v>
      </c>
      <c r="N19" s="77">
        <f>SUM('KB 05'!G$76:G$77,'KB 05'!G$89:G$90)</f>
        <v>0</v>
      </c>
      <c r="O19" s="77">
        <f>Q19-P19-N19</f>
        <v>0</v>
      </c>
      <c r="P19" s="77">
        <f>'KB 05'!G$83+'KB 05'!G$96</f>
        <v>0</v>
      </c>
      <c r="Q19" s="140">
        <f>'KB 05'!G$102</f>
        <v>0</v>
      </c>
    </row>
    <row r="20" spans="1:17" ht="15" customHeight="1" x14ac:dyDescent="0.2">
      <c r="A20" s="791" t="str">
        <f>'(B2) Struktura Organizative'!A12</f>
        <v>Nënfunksioni 6</v>
      </c>
      <c r="B20" s="833" t="str">
        <f>'(B2) Struktura Organizative'!B12</f>
        <v>041 Çështjet e përgjithshme ekonomike, tregtare dhe të punës</v>
      </c>
      <c r="C20" s="626">
        <f>'KB 06'!B$18</f>
        <v>1585692</v>
      </c>
      <c r="D20" s="626">
        <f>'KB 06'!C$18</f>
        <v>1603935</v>
      </c>
      <c r="E20" s="626">
        <f>'KB 06'!D$18</f>
        <v>1675575</v>
      </c>
      <c r="F20" s="627">
        <f>SUM('KB 06'!E$22:E$23,'KB 06'!E$35:E$36)</f>
        <v>1650000</v>
      </c>
      <c r="G20" s="627">
        <f t="shared" ref="G20:G81" si="3">I20-H20-F20</f>
        <v>60000</v>
      </c>
      <c r="H20" s="627">
        <f>'KB 06'!E$29+'KB 06'!E$42</f>
        <v>0</v>
      </c>
      <c r="I20" s="628">
        <f>'KB 06'!E$48</f>
        <v>1710000</v>
      </c>
      <c r="J20" s="627">
        <f>SUM('KB 06'!F$22:F$23,'KB 06'!F$35:F$36)</f>
        <v>1660000</v>
      </c>
      <c r="K20" s="627">
        <f t="shared" ref="K20:K81" si="4">M20-L20-J20</f>
        <v>65000</v>
      </c>
      <c r="L20" s="627">
        <f>'KB 06'!F$29+'KB 06'!F$42</f>
        <v>0</v>
      </c>
      <c r="M20" s="628">
        <f>'KB 06'!F$48</f>
        <v>1725000</v>
      </c>
      <c r="N20" s="627">
        <f>SUM('KB 06'!G$22:G$23,'KB 06'!G$35:G$36)</f>
        <v>1700000</v>
      </c>
      <c r="O20" s="627">
        <f t="shared" ref="O20:O81" si="5">Q20-P20-N20</f>
        <v>70000</v>
      </c>
      <c r="P20" s="627">
        <f>'KB 06'!G$29+'KB 06'!G$42</f>
        <v>0</v>
      </c>
      <c r="Q20" s="628">
        <f>'KB 06'!G$48</f>
        <v>1770000</v>
      </c>
    </row>
    <row r="21" spans="1:17" s="101" customFormat="1" ht="15" hidden="1" customHeight="1" x14ac:dyDescent="0.2">
      <c r="A21" s="829" t="str">
        <f>'(B3) Struktura Funksionale'!B35</f>
        <v>04110</v>
      </c>
      <c r="B21" s="834" t="str">
        <f>'(B3) Struktura Funksionale'!C35</f>
        <v xml:space="preserve">Çështjet e përgjithshme ekonomike dhe tregtare </v>
      </c>
      <c r="C21" s="143">
        <f>'KB 06'!B72</f>
        <v>0</v>
      </c>
      <c r="D21" s="143">
        <f>'KB 06'!C72</f>
        <v>0</v>
      </c>
      <c r="E21" s="143">
        <f>'KB 06'!D72</f>
        <v>0</v>
      </c>
      <c r="F21" s="77">
        <f>SUM('KB 06'!E$76:E$77,'KB 06'!E$89:E$90)</f>
        <v>0</v>
      </c>
      <c r="G21" s="77">
        <f t="shared" si="3"/>
        <v>0</v>
      </c>
      <c r="H21" s="77">
        <f>'KB 06'!E$83+'KB 06'!E$96</f>
        <v>0</v>
      </c>
      <c r="I21" s="140">
        <f>'KB 06'!E102</f>
        <v>0</v>
      </c>
      <c r="J21" s="77">
        <f>SUM('KB 06'!F$76:F$77,'KB 06'!F$89:F$90)</f>
        <v>0</v>
      </c>
      <c r="K21" s="77">
        <f t="shared" si="4"/>
        <v>0</v>
      </c>
      <c r="L21" s="77">
        <f>'KB 06'!F$83+'KB 06'!F$96</f>
        <v>0</v>
      </c>
      <c r="M21" s="140">
        <f>'KB 06'!F102</f>
        <v>0</v>
      </c>
      <c r="N21" s="77">
        <f>SUM('KB 06'!G$76:G$77,'KB 06'!G$89:G$90)</f>
        <v>0</v>
      </c>
      <c r="O21" s="77">
        <f t="shared" si="5"/>
        <v>0</v>
      </c>
      <c r="P21" s="77">
        <f>'KB 06'!G$83+'KB 06'!G$96</f>
        <v>0</v>
      </c>
      <c r="Q21" s="140">
        <f>'KB 06'!G102</f>
        <v>0</v>
      </c>
    </row>
    <row r="22" spans="1:17" s="101" customFormat="1" ht="15" customHeight="1" x14ac:dyDescent="0.2">
      <c r="A22" s="829" t="str">
        <f>'(B3) Struktura Funksionale'!B36</f>
        <v>04130</v>
      </c>
      <c r="B22" s="834" t="str">
        <f>'(B3) Struktura Funksionale'!C36</f>
        <v>Mbështetje për zhvillimin ekonomik</v>
      </c>
      <c r="C22" s="143">
        <f>'KB 06'!B111</f>
        <v>1585692</v>
      </c>
      <c r="D22" s="143">
        <f>'KB 06'!C111</f>
        <v>1603935</v>
      </c>
      <c r="E22" s="143">
        <f>'KB 06'!D111</f>
        <v>1675575</v>
      </c>
      <c r="F22" s="77">
        <f>SUM('KB 06'!E$115:E$116,'KB 06'!E$128:E$129)</f>
        <v>1650000</v>
      </c>
      <c r="G22" s="77">
        <f t="shared" si="3"/>
        <v>60000</v>
      </c>
      <c r="H22" s="77">
        <f>'KB 06'!E$122+'KB 06'!E$135</f>
        <v>0</v>
      </c>
      <c r="I22" s="140">
        <f>'KB 06'!E141</f>
        <v>1710000</v>
      </c>
      <c r="J22" s="77">
        <f>SUM('KB 06'!F$115:F$116,'KB 06'!F$128:F$129)</f>
        <v>1660000</v>
      </c>
      <c r="K22" s="77">
        <f t="shared" si="4"/>
        <v>65000</v>
      </c>
      <c r="L22" s="77">
        <f>'KB 06'!F$122+'KB 06'!F$135</f>
        <v>0</v>
      </c>
      <c r="M22" s="140">
        <f>'KB 06'!F141</f>
        <v>1725000</v>
      </c>
      <c r="N22" s="77">
        <f>SUM('KB 06'!G$115:G$116,'KB 06'!G$128:G$129)</f>
        <v>1700000</v>
      </c>
      <c r="O22" s="77">
        <f t="shared" si="5"/>
        <v>70000</v>
      </c>
      <c r="P22" s="77">
        <f>'KB 06'!G$122+'KB 06'!G$135</f>
        <v>0</v>
      </c>
      <c r="Q22" s="140">
        <f>'KB 06'!G141</f>
        <v>1770000</v>
      </c>
    </row>
    <row r="23" spans="1:17" s="101" customFormat="1" ht="15" hidden="1" customHeight="1" x14ac:dyDescent="0.2">
      <c r="A23" s="829" t="str">
        <f>'(B3) Struktura Funksionale'!B38</f>
        <v>04132</v>
      </c>
      <c r="B23" s="834" t="str">
        <f>'(B3) Struktura Funksionale'!C38</f>
        <v>Mbështetja e Zhvillimit rajonal</v>
      </c>
      <c r="C23" s="143">
        <f>'KB 06'!B189</f>
        <v>0</v>
      </c>
      <c r="D23" s="143">
        <f>'KB 06'!C189</f>
        <v>0</v>
      </c>
      <c r="E23" s="143">
        <f>'KB 06'!D189</f>
        <v>0</v>
      </c>
      <c r="F23" s="77">
        <f>SUM('KB 06'!E$193:E$194,'KB 06'!E$206:E$207)</f>
        <v>0</v>
      </c>
      <c r="G23" s="77">
        <f t="shared" si="3"/>
        <v>0</v>
      </c>
      <c r="H23" s="77">
        <f>'KB 06'!E$220+'KB 06'!E$213</f>
        <v>0</v>
      </c>
      <c r="I23" s="140">
        <f>'KB 06'!E219</f>
        <v>0</v>
      </c>
      <c r="J23" s="77">
        <f>SUM('KB 06'!F$193:F$194,'KB 06'!F$206:F$207)</f>
        <v>0</v>
      </c>
      <c r="K23" s="77">
        <f t="shared" si="4"/>
        <v>0</v>
      </c>
      <c r="L23" s="77">
        <f>'KB 06'!F$220+'KB 06'!F$213</f>
        <v>0</v>
      </c>
      <c r="M23" s="140">
        <f>'KB 06'!F219</f>
        <v>0</v>
      </c>
      <c r="N23" s="77">
        <f>SUM('KB 06'!G$193:G$194,'KB 06'!G$206:G$207)</f>
        <v>0</v>
      </c>
      <c r="O23" s="77">
        <f t="shared" si="5"/>
        <v>0</v>
      </c>
      <c r="P23" s="77">
        <f>'KB 06'!G$220+'KB 06'!G$213</f>
        <v>0</v>
      </c>
      <c r="Q23" s="140">
        <f>'KB 06'!G219</f>
        <v>0</v>
      </c>
    </row>
    <row r="24" spans="1:17" s="101" customFormat="1" ht="15" customHeight="1" x14ac:dyDescent="0.2">
      <c r="A24" s="829" t="str">
        <f>'(B3) Struktura Funksionale'!B39</f>
        <v>04160</v>
      </c>
      <c r="B24" s="834" t="str">
        <f>'(B3) Struktura Funksionale'!C39</f>
        <v>Shërbimet e tregjeve, akreditimi dhe inspektimi</v>
      </c>
      <c r="C24" s="143">
        <f>'KB 06'!B228</f>
        <v>0</v>
      </c>
      <c r="D24" s="143">
        <f>'KB 06'!C228</f>
        <v>0</v>
      </c>
      <c r="E24" s="143">
        <f>'KB 06'!D228</f>
        <v>0</v>
      </c>
      <c r="F24" s="77">
        <f>SUM('KB 06'!E$232:E$233,'KB 06'!E$245:E$246)</f>
        <v>0</v>
      </c>
      <c r="G24" s="77">
        <f t="shared" si="3"/>
        <v>0</v>
      </c>
      <c r="H24" s="77">
        <f>'KB 06'!E$239+'KB 06'!E$252</f>
        <v>0</v>
      </c>
      <c r="I24" s="140">
        <f>'KB 06'!E258</f>
        <v>0</v>
      </c>
      <c r="J24" s="77">
        <f>SUM('KB 06'!F$232:F$233,'KB 06'!F$245:F$246)</f>
        <v>0</v>
      </c>
      <c r="K24" s="77">
        <f t="shared" si="4"/>
        <v>0</v>
      </c>
      <c r="L24" s="77">
        <f>'KB 06'!F$239+'KB 06'!F$252</f>
        <v>0</v>
      </c>
      <c r="M24" s="140">
        <f>'KB 06'!F258</f>
        <v>0</v>
      </c>
      <c r="N24" s="77">
        <f>SUM('KB 06'!G$232:G$233,'KB 06'!G$245:G$246)</f>
        <v>0</v>
      </c>
      <c r="O24" s="77">
        <f t="shared" si="5"/>
        <v>0</v>
      </c>
      <c r="P24" s="77">
        <f>'KB 06'!G$239+'KB 06'!G$252</f>
        <v>0</v>
      </c>
      <c r="Q24" s="140">
        <f>'KB 06'!G258</f>
        <v>0</v>
      </c>
    </row>
    <row r="25" spans="1:17" ht="15" customHeight="1" x14ac:dyDescent="0.2">
      <c r="A25" s="791" t="str">
        <f>'(B2) Struktura Organizative'!A13</f>
        <v>Nënfunksioni 7</v>
      </c>
      <c r="B25" s="833" t="str">
        <f>'(B2) Struktura Organizative'!B13</f>
        <v>042 Bujqësia, pyjet, peshkimi dhe gjuetia</v>
      </c>
      <c r="C25" s="626">
        <f>'KB 07'!B$18</f>
        <v>5930122</v>
      </c>
      <c r="D25" s="626">
        <f>'KB 07'!C$18</f>
        <v>28000050</v>
      </c>
      <c r="E25" s="626">
        <f>'KB 07'!D$18</f>
        <v>50350489</v>
      </c>
      <c r="F25" s="627">
        <f>SUM('KB 07'!E$22:E$23,'KB 07'!E$35:E$36)</f>
        <v>17018302</v>
      </c>
      <c r="G25" s="627">
        <f t="shared" si="3"/>
        <v>16976298</v>
      </c>
      <c r="H25" s="627">
        <f>'KB 07'!E$29+'KB 07'!E$42</f>
        <v>8350000</v>
      </c>
      <c r="I25" s="628">
        <f>'KB 07'!E$48</f>
        <v>42344600</v>
      </c>
      <c r="J25" s="627">
        <f>SUM('KB 07'!F$22:F$23,'KB 07'!F$35:F$36)</f>
        <v>17869204</v>
      </c>
      <c r="K25" s="627">
        <f t="shared" si="4"/>
        <v>17737656</v>
      </c>
      <c r="L25" s="627">
        <f>'KB 07'!F$29+'KB 07'!F$42</f>
        <v>8569600</v>
      </c>
      <c r="M25" s="628">
        <f>'KB 07'!F$48</f>
        <v>44176460</v>
      </c>
      <c r="N25" s="627">
        <f>SUM('KB 07'!G$22:G$23,'KB 07'!G$35:G$36)</f>
        <v>18762667</v>
      </c>
      <c r="O25" s="627">
        <f t="shared" si="5"/>
        <v>18455873</v>
      </c>
      <c r="P25" s="627">
        <f>'KB 07'!G$29+'KB 07'!G$42</f>
        <v>8830700</v>
      </c>
      <c r="Q25" s="628">
        <f>'KB 07'!G$48</f>
        <v>46049240</v>
      </c>
    </row>
    <row r="26" spans="1:17" s="101" customFormat="1" ht="15" customHeight="1" x14ac:dyDescent="0.2">
      <c r="A26" s="829" t="str">
        <f>'(B3) Struktura Funksionale'!B42</f>
        <v>04220</v>
      </c>
      <c r="B26" s="834" t="str">
        <f>'(B3) Struktura Funksionale'!C42</f>
        <v>Shërbimet bujqësore, inspektimi, ushqimi dhe mbrojtja e konsumatoreve</v>
      </c>
      <c r="C26" s="143">
        <f>'KB 07'!B72</f>
        <v>0</v>
      </c>
      <c r="D26" s="143">
        <f>'KB 07'!C72</f>
        <v>0</v>
      </c>
      <c r="E26" s="143">
        <f>'KB 07'!D72</f>
        <v>0</v>
      </c>
      <c r="F26" s="77">
        <f>SUM('KB 07'!E$76:E$77,'KB 07'!E$89:E$90)</f>
        <v>0</v>
      </c>
      <c r="G26" s="77">
        <f t="shared" si="3"/>
        <v>0</v>
      </c>
      <c r="H26" s="77">
        <f>'KB 07'!E$83+'KB 07'!E$96</f>
        <v>0</v>
      </c>
      <c r="I26" s="140">
        <f>'KB 07'!E$102</f>
        <v>0</v>
      </c>
      <c r="J26" s="77">
        <f>SUM('KB 07'!F$76:F$77,'KB 07'!F$89:F$90)</f>
        <v>0</v>
      </c>
      <c r="K26" s="77">
        <f t="shared" si="4"/>
        <v>0</v>
      </c>
      <c r="L26" s="77"/>
      <c r="M26" s="140">
        <f>'KB 07'!F$102</f>
        <v>0</v>
      </c>
      <c r="N26" s="77">
        <f>SUM('KB 07'!G$76:G$77,'KB 07'!G$89:G$90)</f>
        <v>0</v>
      </c>
      <c r="O26" s="77">
        <f t="shared" si="5"/>
        <v>0</v>
      </c>
      <c r="P26" s="77"/>
      <c r="Q26" s="140">
        <f>'KB 07'!G$102</f>
        <v>0</v>
      </c>
    </row>
    <row r="27" spans="1:17" s="101" customFormat="1" ht="15" hidden="1" customHeight="1" x14ac:dyDescent="0.2">
      <c r="A27" s="829" t="str">
        <f>'(B3) Struktura Funksionale'!B44</f>
        <v>04223</v>
      </c>
      <c r="B27" s="834" t="str">
        <f>'(B3) Struktura Funksionale'!C44</f>
        <v>Veterineria</v>
      </c>
      <c r="C27" s="143">
        <f>'KB 07'!B150</f>
        <v>0</v>
      </c>
      <c r="D27" s="143">
        <f>'KB 07'!C150</f>
        <v>0</v>
      </c>
      <c r="E27" s="143">
        <f>'KB 07'!D150</f>
        <v>0</v>
      </c>
      <c r="F27" s="77">
        <f>SUM('KB 07'!E$154:E$155,'KB 07'!E$167:E$168)</f>
        <v>0</v>
      </c>
      <c r="G27" s="77">
        <f t="shared" si="3"/>
        <v>0</v>
      </c>
      <c r="H27" s="77">
        <f>'KB 07'!E$161+'KB 07'!E$174</f>
        <v>0</v>
      </c>
      <c r="I27" s="140">
        <f>'KB 07'!E$180</f>
        <v>0</v>
      </c>
      <c r="J27" s="77">
        <f>SUM('KB 07'!F$154:F$155,'KB 07'!F$167:F$168)</f>
        <v>0</v>
      </c>
      <c r="K27" s="77">
        <f t="shared" si="4"/>
        <v>0</v>
      </c>
      <c r="L27" s="77">
        <f>'KB 07'!F$161+'KB 07'!F$174</f>
        <v>0</v>
      </c>
      <c r="M27" s="140">
        <f>'KB 07'!F$180</f>
        <v>0</v>
      </c>
      <c r="N27" s="77">
        <f>SUM('KB 07'!G$154:G$155,'KB 07'!G$167:G$168)</f>
        <v>0</v>
      </c>
      <c r="O27" s="77">
        <f t="shared" si="5"/>
        <v>0</v>
      </c>
      <c r="P27" s="77">
        <f>'KB 07'!G$161+'KB 07'!G$174</f>
        <v>0</v>
      </c>
      <c r="Q27" s="140">
        <f>'KB 07'!G$180</f>
        <v>0</v>
      </c>
    </row>
    <row r="28" spans="1:17" s="101" customFormat="1" ht="15" customHeight="1" x14ac:dyDescent="0.2">
      <c r="A28" s="829" t="str">
        <f>'(B3) Struktura Funksionale'!B45</f>
        <v>04240</v>
      </c>
      <c r="B28" s="834" t="str">
        <f>'(B3) Struktura Funksionale'!C45</f>
        <v>Menaxhimi i Infrastruktuës së ujitjes dhe kullimit</v>
      </c>
      <c r="C28" s="143">
        <f>'KB 07'!B189</f>
        <v>4526866</v>
      </c>
      <c r="D28" s="143">
        <f>'KB 07'!C189</f>
        <v>9893759</v>
      </c>
      <c r="E28" s="143">
        <f>'KB 07'!D189</f>
        <v>15646730</v>
      </c>
      <c r="F28" s="77">
        <f>SUM('KB 07'!E$193:E$194,'KB 07'!E$206:E$207)</f>
        <v>3057520</v>
      </c>
      <c r="G28" s="77">
        <f t="shared" si="3"/>
        <v>8530758</v>
      </c>
      <c r="H28" s="77">
        <f>'KB 07'!E$200+'KB 07'!E$213</f>
        <v>0</v>
      </c>
      <c r="I28" s="140">
        <f>'KB 07'!E$219</f>
        <v>11588278</v>
      </c>
      <c r="J28" s="77">
        <f>SUM('KB 07'!F$193:F$194,'KB 07'!F$206:F$207)</f>
        <v>3204582</v>
      </c>
      <c r="K28" s="77">
        <f t="shared" si="4"/>
        <v>8957296</v>
      </c>
      <c r="L28" s="77">
        <f>'KB 07'!F$200+'KB 07'!F$213</f>
        <v>0</v>
      </c>
      <c r="M28" s="140">
        <f>'KB 07'!F$219</f>
        <v>12161878</v>
      </c>
      <c r="N28" s="77">
        <f>SUM('KB 07'!G$193:G$194,'KB 07'!G$206:G$207)</f>
        <v>4562970</v>
      </c>
      <c r="O28" s="77">
        <f t="shared" si="5"/>
        <v>9405163</v>
      </c>
      <c r="P28" s="77">
        <f>'KB 07'!G$200+'KB 07'!G$213</f>
        <v>0</v>
      </c>
      <c r="Q28" s="140">
        <f>'KB 07'!G$219</f>
        <v>13968133</v>
      </c>
    </row>
    <row r="29" spans="1:17" s="101" customFormat="1" ht="15" customHeight="1" x14ac:dyDescent="0.2">
      <c r="A29" s="829" t="str">
        <f>'(B3) Struktura Funksionale'!B46</f>
        <v>04260</v>
      </c>
      <c r="B29" s="834" t="str">
        <f>'(B3) Struktura Funksionale'!C46</f>
        <v>Administrimi i pyjeve dhe kullotave</v>
      </c>
      <c r="C29" s="143">
        <f>'KB 07'!B228</f>
        <v>1403256</v>
      </c>
      <c r="D29" s="143">
        <f>'KB 07'!C228</f>
        <v>18106291</v>
      </c>
      <c r="E29" s="143">
        <f>'KB 07'!D228</f>
        <v>34703759</v>
      </c>
      <c r="F29" s="77">
        <f>SUM('KB 07'!E$232:E$233,'KB 07'!E$245:E$246)</f>
        <v>13960782</v>
      </c>
      <c r="G29" s="77">
        <f t="shared" si="3"/>
        <v>8445540</v>
      </c>
      <c r="H29" s="77">
        <f>'KB 07'!E$239+'KB 07'!E$252</f>
        <v>8350000</v>
      </c>
      <c r="I29" s="140">
        <f>'KB 07'!E$258</f>
        <v>30756322</v>
      </c>
      <c r="J29" s="77">
        <f>SUM('KB 07'!F$232:F$233,'KB 07'!F$245:F$246)</f>
        <v>14664622</v>
      </c>
      <c r="K29" s="77">
        <f t="shared" si="4"/>
        <v>8780360</v>
      </c>
      <c r="L29" s="77">
        <f>'KB 07'!F$239+'KB 07'!F$252</f>
        <v>8569600</v>
      </c>
      <c r="M29" s="140">
        <f>'KB 07'!F$258</f>
        <v>32014582</v>
      </c>
      <c r="N29" s="77">
        <f>SUM('KB 07'!G$232:G$233,'KB 07'!G$245:G$246)</f>
        <v>14199697</v>
      </c>
      <c r="O29" s="77">
        <f t="shared" si="5"/>
        <v>9050710</v>
      </c>
      <c r="P29" s="77">
        <f>'KB 07'!G$239+'KB 07'!G$252</f>
        <v>8830700</v>
      </c>
      <c r="Q29" s="140">
        <f>'KB 07'!G$258</f>
        <v>32081107</v>
      </c>
    </row>
    <row r="30" spans="1:17" ht="15" customHeight="1" x14ac:dyDescent="0.2">
      <c r="A30" s="791" t="str">
        <f>'(B2) Struktura Organizative'!A14</f>
        <v>Nënfunksioni 8</v>
      </c>
      <c r="B30" s="833" t="str">
        <f>'(B2) Struktura Organizative'!B14</f>
        <v>045 Trasporti</v>
      </c>
      <c r="C30" s="626">
        <f>'KB 08'!B$18</f>
        <v>213152994</v>
      </c>
      <c r="D30" s="626">
        <f>'KB 08'!C$18</f>
        <v>84739057</v>
      </c>
      <c r="E30" s="626">
        <f>'KB 08'!D$18</f>
        <v>175922899</v>
      </c>
      <c r="F30" s="627">
        <f>SUM('KB 08'!E$22:E$23,'KB 08'!E$35:E$36)</f>
        <v>21725550</v>
      </c>
      <c r="G30" s="627">
        <f t="shared" si="3"/>
        <v>16119760</v>
      </c>
      <c r="H30" s="627">
        <f>'KB 08'!E$29+'KB 08'!E$42</f>
        <v>167700000</v>
      </c>
      <c r="I30" s="628">
        <f>'KB 08'!E$48</f>
        <v>205545310</v>
      </c>
      <c r="J30" s="627">
        <f>SUM('KB 08'!F$22:F$23,'KB 08'!F$35:F$36)</f>
        <v>22812000</v>
      </c>
      <c r="K30" s="627">
        <f t="shared" si="4"/>
        <v>17550000</v>
      </c>
      <c r="L30" s="627">
        <f>'KB 08'!F$29+'KB 08'!F$42</f>
        <v>168100000</v>
      </c>
      <c r="M30" s="628">
        <f>'KB 08'!F$48</f>
        <v>208462000</v>
      </c>
      <c r="N30" s="627">
        <f>SUM('KB 08'!G$22:G$23,'KB 08'!G$35:G$36)</f>
        <v>23952600</v>
      </c>
      <c r="O30" s="627">
        <f t="shared" si="5"/>
        <v>18300000</v>
      </c>
      <c r="P30" s="627">
        <f>'KB 08'!G$29+'KB 08'!G$42</f>
        <v>172202000</v>
      </c>
      <c r="Q30" s="628">
        <f>'KB 08'!G$48</f>
        <v>214454600</v>
      </c>
    </row>
    <row r="31" spans="1:17" s="101" customFormat="1" ht="15" customHeight="1" x14ac:dyDescent="0.2">
      <c r="A31" s="829" t="str">
        <f>'(B3) Struktura Funksionale'!B49</f>
        <v>04520</v>
      </c>
      <c r="B31" s="834" t="str">
        <f>'(B3) Struktura Funksionale'!C49</f>
        <v>Rrjeti rrugor rural</v>
      </c>
      <c r="C31" s="143">
        <f>'KB 08'!B72</f>
        <v>213152994</v>
      </c>
      <c r="D31" s="143">
        <f>'KB 08'!C72</f>
        <v>32485173</v>
      </c>
      <c r="E31" s="143">
        <f>'KB 08'!D72</f>
        <v>47482899</v>
      </c>
      <c r="F31" s="77">
        <f>SUM('KB 08'!E$76:E$77,'KB 08'!E$89:E$90)</f>
        <v>21725550</v>
      </c>
      <c r="G31" s="77">
        <f t="shared" si="3"/>
        <v>16119760</v>
      </c>
      <c r="H31" s="77">
        <f>'KB 08'!E$83+'KB 08'!E$96</f>
        <v>167700000</v>
      </c>
      <c r="I31" s="140">
        <f>'KB 08'!E$102</f>
        <v>205545310</v>
      </c>
      <c r="J31" s="77">
        <f>SUM('KB 08'!F$76:F$77,'KB 08'!F$89:F$90)</f>
        <v>22812000</v>
      </c>
      <c r="K31" s="77">
        <f t="shared" si="4"/>
        <v>17550000</v>
      </c>
      <c r="L31" s="77">
        <f>'KB 08'!F$83+'KB 08'!F$96</f>
        <v>168100000</v>
      </c>
      <c r="M31" s="140">
        <f>'KB 08'!F$102</f>
        <v>208462000</v>
      </c>
      <c r="N31" s="77">
        <f>SUM('KB 08'!G$76:G$77,'KB 08'!G$89:G$90)</f>
        <v>23952600</v>
      </c>
      <c r="O31" s="77">
        <f t="shared" si="5"/>
        <v>18300000</v>
      </c>
      <c r="P31" s="77">
        <f>'KB 08'!G$83+'KB 08'!G$96</f>
        <v>172202000</v>
      </c>
      <c r="Q31" s="140">
        <f>'KB 08'!G$102</f>
        <v>214454600</v>
      </c>
    </row>
    <row r="32" spans="1:17" s="101" customFormat="1" ht="15" customHeight="1" x14ac:dyDescent="0.2">
      <c r="A32" s="829" t="str">
        <f>'(B3) Struktura Funksionale'!B50</f>
        <v>04530</v>
      </c>
      <c r="B32" s="834" t="str">
        <f>'(B3) Struktura Funksionale'!C50</f>
        <v>Studimi i rrugëve</v>
      </c>
      <c r="C32" s="143">
        <f>'KB 08'!B111</f>
        <v>0</v>
      </c>
      <c r="D32" s="143">
        <f>'KB 08'!C111</f>
        <v>52253884</v>
      </c>
      <c r="E32" s="143">
        <f>'KB 08'!D111</f>
        <v>128440000</v>
      </c>
      <c r="F32" s="77">
        <f>SUM('KB 08'!E$115:E$116,'KB 08'!E$128:E$129)</f>
        <v>0</v>
      </c>
      <c r="G32" s="77">
        <f t="shared" si="3"/>
        <v>0</v>
      </c>
      <c r="H32" s="77">
        <f>'KB 08'!E$122+'KB 08'!E$135</f>
        <v>0</v>
      </c>
      <c r="I32" s="140">
        <f>'KB 08'!E$141</f>
        <v>0</v>
      </c>
      <c r="J32" s="77">
        <f>SUM('KB 08'!F$115:F$116,'KB 08'!F$128:F$129)</f>
        <v>0</v>
      </c>
      <c r="K32" s="77">
        <f t="shared" si="4"/>
        <v>0</v>
      </c>
      <c r="L32" s="77">
        <f>'KB 08'!F$122+'KB 08'!F$135</f>
        <v>0</v>
      </c>
      <c r="M32" s="140">
        <f>'KB 08'!F$141</f>
        <v>0</v>
      </c>
      <c r="N32" s="77">
        <f>SUM('KB 08'!G$115:G$116,'KB 08'!G$128:G$129)</f>
        <v>0</v>
      </c>
      <c r="O32" s="77">
        <f t="shared" si="5"/>
        <v>0</v>
      </c>
      <c r="P32" s="77">
        <f>'KB 08'!G$122+'KB 08'!G$135</f>
        <v>0</v>
      </c>
      <c r="Q32" s="140">
        <f>'KB 08'!G$141</f>
        <v>0</v>
      </c>
    </row>
    <row r="33" spans="1:17" s="101" customFormat="1" ht="15" customHeight="1" x14ac:dyDescent="0.2">
      <c r="A33" s="829" t="str">
        <f>'(B3) Struktura Funksionale'!B51</f>
        <v>04570</v>
      </c>
      <c r="B33" s="834" t="str">
        <f>'(B3) Struktura Funksionale'!C51</f>
        <v>Transporti publik</v>
      </c>
      <c r="C33" s="143">
        <f>'KB 08'!B150</f>
        <v>0</v>
      </c>
      <c r="D33" s="143">
        <f>'KB 08'!C150</f>
        <v>0</v>
      </c>
      <c r="E33" s="143">
        <f>'KB 08'!D150</f>
        <v>0</v>
      </c>
      <c r="F33" s="77">
        <f>SUM('KB 08'!E$154:E$155,'KB 08'!E$167:E$168)</f>
        <v>0</v>
      </c>
      <c r="G33" s="77">
        <f t="shared" si="3"/>
        <v>0</v>
      </c>
      <c r="H33" s="77">
        <f>'KB 08'!E$161+'KB 08'!E$174</f>
        <v>0</v>
      </c>
      <c r="I33" s="140">
        <f>'KB 08'!E$180</f>
        <v>0</v>
      </c>
      <c r="J33" s="77">
        <f>SUM('KB 08'!F$154:F$155,'KB 08'!F$167:F$168)</f>
        <v>0</v>
      </c>
      <c r="K33" s="77">
        <f t="shared" si="4"/>
        <v>0</v>
      </c>
      <c r="L33" s="77">
        <f>'KB 08'!F$161+'KB 08'!F$174</f>
        <v>0</v>
      </c>
      <c r="M33" s="140">
        <f>'KB 08'!F$180</f>
        <v>0</v>
      </c>
      <c r="N33" s="77">
        <f>SUM('KB 08'!G$154:G$155,'KB 08'!G$167:G$168)</f>
        <v>0</v>
      </c>
      <c r="O33" s="77">
        <f t="shared" si="5"/>
        <v>0</v>
      </c>
      <c r="P33" s="77">
        <f>'KB 08'!G$161+'KB 08'!G$174</f>
        <v>0</v>
      </c>
      <c r="Q33" s="140">
        <f>'KB 08'!G$180</f>
        <v>0</v>
      </c>
    </row>
    <row r="34" spans="1:17" ht="15" customHeight="1" x14ac:dyDescent="0.2">
      <c r="A34" s="791" t="str">
        <f>'(B2) Struktura Organizative'!A15</f>
        <v>Nënfunksioni 9</v>
      </c>
      <c r="B34" s="833" t="str">
        <f>'(B2) Struktura Organizative'!B15</f>
        <v>047 Industri të tjera</v>
      </c>
      <c r="C34" s="626">
        <f>'KB 09'!B$18</f>
        <v>0</v>
      </c>
      <c r="D34" s="626">
        <f>'KB 09'!C$18</f>
        <v>0</v>
      </c>
      <c r="E34" s="626">
        <f>'KB 09'!D$18</f>
        <v>0</v>
      </c>
      <c r="F34" s="627">
        <f>SUM('KB 09'!E$22:E$23,'KB 09'!E$35:E$36)</f>
        <v>0</v>
      </c>
      <c r="G34" s="627">
        <f t="shared" si="3"/>
        <v>0</v>
      </c>
      <c r="H34" s="627">
        <f>'KB 09'!E$29+'KB 09'!E$42</f>
        <v>0</v>
      </c>
      <c r="I34" s="628">
        <f>'KB 09'!E$48</f>
        <v>0</v>
      </c>
      <c r="J34" s="627">
        <f>SUM('KB 09'!F$22:F$23,'KB 09'!F$35:F$36)</f>
        <v>0</v>
      </c>
      <c r="K34" s="627">
        <f t="shared" si="4"/>
        <v>0</v>
      </c>
      <c r="L34" s="627">
        <f>'KB 09'!F$29+'KB 09'!F$42</f>
        <v>0</v>
      </c>
      <c r="M34" s="628">
        <f>'KB 09'!F$48</f>
        <v>0</v>
      </c>
      <c r="N34" s="627">
        <f>SUM('KB 09'!G$22:G$23,'KB 09'!G$35:G$36)</f>
        <v>0</v>
      </c>
      <c r="O34" s="627">
        <f t="shared" si="5"/>
        <v>0</v>
      </c>
      <c r="P34" s="627">
        <f>'KB 09'!G$29+'KB 09'!G$42</f>
        <v>0</v>
      </c>
      <c r="Q34" s="628">
        <f>'KB 09'!G$48</f>
        <v>0</v>
      </c>
    </row>
    <row r="35" spans="1:17" s="101" customFormat="1" ht="15" customHeight="1" x14ac:dyDescent="0.2">
      <c r="A35" s="829" t="str">
        <f>'(B3) Struktura Funksionale'!B54</f>
        <v>04740</v>
      </c>
      <c r="B35" s="834" t="str">
        <f>'(B3) Struktura Funksionale'!C54</f>
        <v>Projekte Zhvillimi</v>
      </c>
      <c r="C35" s="143">
        <f>'KB 09'!B72</f>
        <v>0</v>
      </c>
      <c r="D35" s="143">
        <f>'KB 09'!C72</f>
        <v>0</v>
      </c>
      <c r="E35" s="143">
        <f>'KB 09'!D72</f>
        <v>0</v>
      </c>
      <c r="F35" s="77">
        <f>SUM('KB 09'!E$76:E$77,'KB 09'!E$89:E$90)</f>
        <v>0</v>
      </c>
      <c r="G35" s="77">
        <f t="shared" si="3"/>
        <v>0</v>
      </c>
      <c r="H35" s="77">
        <f>'KB 09'!E$83+'KB 09'!E$96</f>
        <v>0</v>
      </c>
      <c r="I35" s="140">
        <f>'KB 09'!E$102</f>
        <v>0</v>
      </c>
      <c r="J35" s="77">
        <f>SUM('KB 09'!F$76:F$77,'KB 09'!F$89:F$90)</f>
        <v>0</v>
      </c>
      <c r="K35" s="77">
        <f t="shared" si="4"/>
        <v>0</v>
      </c>
      <c r="L35" s="77">
        <f>'KB 09'!F$83+'KB 09'!F$96</f>
        <v>0</v>
      </c>
      <c r="M35" s="140">
        <f>'KB 09'!F$102</f>
        <v>0</v>
      </c>
      <c r="N35" s="77">
        <f>SUM('KB 09'!G$76:G$77,'KB 09'!G$89:G$90)</f>
        <v>0</v>
      </c>
      <c r="O35" s="77">
        <f t="shared" si="5"/>
        <v>0</v>
      </c>
      <c r="P35" s="77">
        <f>'KB 09'!G$83+'KB 09'!G$96</f>
        <v>0</v>
      </c>
      <c r="Q35" s="140">
        <f>'KB 09'!G$102</f>
        <v>0</v>
      </c>
    </row>
    <row r="36" spans="1:17" s="101" customFormat="1" ht="15" customHeight="1" x14ac:dyDescent="0.2">
      <c r="A36" s="829" t="str">
        <f>'(B3) Struktura Funksionale'!B55</f>
        <v>04760</v>
      </c>
      <c r="B36" s="834" t="str">
        <f>'(B3) Struktura Funksionale'!C55</f>
        <v>Zhvillimi i turizmit</v>
      </c>
      <c r="C36" s="143">
        <f>'KB 09'!B111</f>
        <v>0</v>
      </c>
      <c r="D36" s="143">
        <f>'KB 09'!C111</f>
        <v>0</v>
      </c>
      <c r="E36" s="143">
        <f>'KB 09'!D111</f>
        <v>0</v>
      </c>
      <c r="F36" s="77">
        <f>SUM('KB 09'!E$115:E$116,'KB 09'!E$128:E$129)</f>
        <v>0</v>
      </c>
      <c r="G36" s="77">
        <f t="shared" si="3"/>
        <v>0</v>
      </c>
      <c r="H36" s="77">
        <f>'KB 09'!E$122+'KB 09'!E$135</f>
        <v>0</v>
      </c>
      <c r="I36" s="140">
        <f>'KB 09'!E$141</f>
        <v>0</v>
      </c>
      <c r="J36" s="77">
        <f>SUM('KB 09'!F$115:F$116,'KB 09'!F$128:F$129)</f>
        <v>0</v>
      </c>
      <c r="K36" s="77">
        <f t="shared" si="4"/>
        <v>0</v>
      </c>
      <c r="L36" s="77">
        <f>'KB 09'!F$122+'KB 09'!F$135</f>
        <v>0</v>
      </c>
      <c r="M36" s="140">
        <f>'KB 09'!F$141</f>
        <v>0</v>
      </c>
      <c r="N36" s="77">
        <f>SUM('KB 09'!G$115:G$116,'KB 09'!G$128:G$129)</f>
        <v>0</v>
      </c>
      <c r="O36" s="77">
        <f t="shared" si="5"/>
        <v>0</v>
      </c>
      <c r="P36" s="77">
        <f>'KB 09'!G$122+'KB 09'!G$135</f>
        <v>0</v>
      </c>
      <c r="Q36" s="140">
        <f>'KB 09'!G$141</f>
        <v>0</v>
      </c>
    </row>
    <row r="37" spans="1:17" ht="15" customHeight="1" x14ac:dyDescent="0.2">
      <c r="A37" s="791" t="str">
        <f>'(B2) Struktura Organizative'!A16</f>
        <v>Nënfunksioni 10</v>
      </c>
      <c r="B37" s="833" t="str">
        <f>'(B2) Struktura Organizative'!B16</f>
        <v>062 Menaxhimi i i mbetjeve</v>
      </c>
      <c r="C37" s="626">
        <f>'KB 10'!B$18</f>
        <v>37620677</v>
      </c>
      <c r="D37" s="626">
        <f>'KB 10'!C$18</f>
        <v>105911830</v>
      </c>
      <c r="E37" s="626">
        <f>'KB 10'!D$18</f>
        <v>140388286</v>
      </c>
      <c r="F37" s="627">
        <f>SUM('KB 10'!E$22:E$23,'KB 10'!E$35:E$36)</f>
        <v>0</v>
      </c>
      <c r="G37" s="627">
        <f t="shared" si="3"/>
        <v>150000000</v>
      </c>
      <c r="H37" s="627">
        <f>'KB 10'!E$29+'KB 10'!E$42</f>
        <v>0</v>
      </c>
      <c r="I37" s="628">
        <f>'KB 10'!E$48</f>
        <v>150000000</v>
      </c>
      <c r="J37" s="627">
        <f>SUM('KB 10'!F$22:F$23,'KB 10'!F$35:F$36)</f>
        <v>0</v>
      </c>
      <c r="K37" s="627">
        <f t="shared" si="4"/>
        <v>150000000</v>
      </c>
      <c r="L37" s="627">
        <f>'KB 10'!F$29+'KB 10'!F$42</f>
        <v>0</v>
      </c>
      <c r="M37" s="628">
        <f>'KB 10'!F$48</f>
        <v>150000000</v>
      </c>
      <c r="N37" s="627">
        <f>SUM('KB 10'!G$22:G$23,'KB 10'!G$35:G$36)</f>
        <v>0</v>
      </c>
      <c r="O37" s="627">
        <f t="shared" si="5"/>
        <v>150000000</v>
      </c>
      <c r="P37" s="627">
        <f>'KB 10'!G$29+'KB 10'!G$42</f>
        <v>0</v>
      </c>
      <c r="Q37" s="628">
        <f>'KB 10'!G$48</f>
        <v>150000000</v>
      </c>
    </row>
    <row r="38" spans="1:17" s="101" customFormat="1" ht="15" customHeight="1" x14ac:dyDescent="0.2">
      <c r="A38" s="829" t="str">
        <f>'(B3) Struktura Funksionale'!B60</f>
        <v>06260</v>
      </c>
      <c r="B38" s="834" t="str">
        <f>'(B3) Struktura Funksionale'!C60</f>
        <v>Menaxhimi i mbetjeve</v>
      </c>
      <c r="C38" s="143">
        <f>'KB 10'!B72</f>
        <v>37620677</v>
      </c>
      <c r="D38" s="143">
        <f>'KB 10'!C72</f>
        <v>105911830</v>
      </c>
      <c r="E38" s="143">
        <f>'KB 10'!D72</f>
        <v>140388286</v>
      </c>
      <c r="F38" s="77">
        <f>SUM('KB 10'!E$76:E$77,'KB 10'!E$89:E$90)</f>
        <v>0</v>
      </c>
      <c r="G38" s="77">
        <f t="shared" si="3"/>
        <v>150000000</v>
      </c>
      <c r="H38" s="77">
        <f>'KB 10'!E$83+'KB 10'!E$96</f>
        <v>0</v>
      </c>
      <c r="I38" s="140">
        <f>'KB 10'!E$102</f>
        <v>150000000</v>
      </c>
      <c r="J38" s="77">
        <f>SUM('KB 10'!F$76:F$77,'KB 10'!F$89:F$90)</f>
        <v>0</v>
      </c>
      <c r="K38" s="77">
        <f t="shared" si="4"/>
        <v>150000000</v>
      </c>
      <c r="L38" s="77">
        <f>'KB 10'!F$83+'KB 10'!F$96</f>
        <v>0</v>
      </c>
      <c r="M38" s="140">
        <f>'KB 10'!F$102</f>
        <v>150000000</v>
      </c>
      <c r="N38" s="77">
        <f>SUM('KB 10'!G$76:G$77,'KB 10'!G$89:G$90)</f>
        <v>0</v>
      </c>
      <c r="O38" s="77">
        <f t="shared" si="5"/>
        <v>150000000</v>
      </c>
      <c r="P38" s="77">
        <f>'KB 10'!G$83+'KB 10'!G$96</f>
        <v>0</v>
      </c>
      <c r="Q38" s="140">
        <f>'KB 10'!G$102</f>
        <v>150000000</v>
      </c>
    </row>
    <row r="39" spans="1:17" ht="15" customHeight="1" x14ac:dyDescent="0.2">
      <c r="A39" s="791" t="str">
        <f>'(B2) Struktura Organizative'!A17</f>
        <v>Nënfunksioni 11</v>
      </c>
      <c r="B39" s="833" t="str">
        <f>'(B2) Struktura Organizative'!B17</f>
        <v>052 Menaxhimi i ujrave të zeza</v>
      </c>
      <c r="C39" s="626">
        <f>'KB 11'!B$18</f>
        <v>0</v>
      </c>
      <c r="D39" s="626">
        <f>'KB 11'!C$18</f>
        <v>0</v>
      </c>
      <c r="E39" s="626">
        <f>'KB 11'!D$18</f>
        <v>0</v>
      </c>
      <c r="F39" s="627">
        <f>SUM('KB 11'!E$22:E$23,'KB 11'!E$35:E$36)</f>
        <v>0</v>
      </c>
      <c r="G39" s="627">
        <f t="shared" si="3"/>
        <v>0</v>
      </c>
      <c r="H39" s="627">
        <f>'KB 11'!E$29+'KB 11'!E$42</f>
        <v>0</v>
      </c>
      <c r="I39" s="628">
        <f>'KB 11'!E$48</f>
        <v>0</v>
      </c>
      <c r="J39" s="627">
        <f>SUM('KB 11'!F$22:F$23,'KB 11'!F$35:F$36)</f>
        <v>0</v>
      </c>
      <c r="K39" s="627">
        <f t="shared" si="4"/>
        <v>0</v>
      </c>
      <c r="L39" s="627">
        <f>'KB 11'!F$29+'KB 11'!F$42</f>
        <v>0</v>
      </c>
      <c r="M39" s="628">
        <f>'KB 11'!F$48</f>
        <v>0</v>
      </c>
      <c r="N39" s="627">
        <f>SUM('KB 11'!G$22:G$23,'KB 11'!G$35:G$36)</f>
        <v>0</v>
      </c>
      <c r="O39" s="627">
        <f t="shared" si="5"/>
        <v>0</v>
      </c>
      <c r="P39" s="627">
        <f>'KB 11'!G$29+'KB 11'!G$42</f>
        <v>0</v>
      </c>
      <c r="Q39" s="628">
        <f>'KB 11'!G$48</f>
        <v>0</v>
      </c>
    </row>
    <row r="40" spans="1:17" s="101" customFormat="1" ht="15" customHeight="1" x14ac:dyDescent="0.2">
      <c r="A40" s="829" t="str">
        <f>'(B3) Struktura Funksionale'!B64</f>
        <v>05200</v>
      </c>
      <c r="B40" s="834" t="str">
        <f>'(B3) Struktura Funksionale'!C64</f>
        <v>Menaxhimi i ujrave të zeza dhe kanalizimeve</v>
      </c>
      <c r="C40" s="143">
        <f>'KB 11'!B72</f>
        <v>0</v>
      </c>
      <c r="D40" s="143">
        <f>'KB 11'!C72</f>
        <v>0</v>
      </c>
      <c r="E40" s="143">
        <f>'KB 11'!D72</f>
        <v>0</v>
      </c>
      <c r="F40" s="77">
        <f>SUM('KB 11'!E$76:E$77,'KB 11'!E$89:E$90)</f>
        <v>0</v>
      </c>
      <c r="G40" s="77">
        <f t="shared" si="3"/>
        <v>0</v>
      </c>
      <c r="H40" s="77">
        <f>'KB 11'!E$83+'KB 11'!E$96</f>
        <v>0</v>
      </c>
      <c r="I40" s="140">
        <f>'KB 11'!E$102</f>
        <v>0</v>
      </c>
      <c r="J40" s="77">
        <f>SUM('KB 11'!F$76:F$77,'KB 11'!F$89:F$90)</f>
        <v>0</v>
      </c>
      <c r="K40" s="77">
        <f t="shared" si="4"/>
        <v>0</v>
      </c>
      <c r="L40" s="77">
        <f>'KB 11'!F$83+'KB 11'!F$96</f>
        <v>0</v>
      </c>
      <c r="M40" s="140">
        <f>'KB 11'!F$102</f>
        <v>0</v>
      </c>
      <c r="N40" s="77">
        <f>SUM('KB 11'!G$76:G$77,'KB 11'!G$89:G$90)</f>
        <v>0</v>
      </c>
      <c r="O40" s="77">
        <f t="shared" si="5"/>
        <v>0</v>
      </c>
      <c r="P40" s="77">
        <f>'KB 11'!G$83+'KB 11'!G$96</f>
        <v>0</v>
      </c>
      <c r="Q40" s="140">
        <f>'KB 11'!G$102</f>
        <v>0</v>
      </c>
    </row>
    <row r="41" spans="1:17" ht="15" customHeight="1" x14ac:dyDescent="0.2">
      <c r="A41" s="791" t="str">
        <f>'(B2) Struktura Organizative'!A18</f>
        <v>Nënfunksioni 12</v>
      </c>
      <c r="B41" s="833" t="str">
        <f>'(B2) Struktura Organizative'!B18</f>
        <v>053 Reduktimi i ndotjes</v>
      </c>
      <c r="C41" s="626">
        <f>'KB 12'!B$18</f>
        <v>0</v>
      </c>
      <c r="D41" s="626">
        <f>'KB 12'!C$18</f>
        <v>0</v>
      </c>
      <c r="E41" s="626">
        <f>'KB 12'!D$18</f>
        <v>0</v>
      </c>
      <c r="F41" s="627">
        <f>SUM('KB 12'!E$22:E$23,'KB 12'!E$35:E$36)</f>
        <v>0</v>
      </c>
      <c r="G41" s="627">
        <f t="shared" si="3"/>
        <v>0</v>
      </c>
      <c r="H41" s="627">
        <f>'KB 12'!E$29+'KB 12'!E$42</f>
        <v>0</v>
      </c>
      <c r="I41" s="628">
        <f>'KB 12'!E$48</f>
        <v>0</v>
      </c>
      <c r="J41" s="627">
        <f>SUM('KB 12'!F$22:F$23,'KB 12'!F$35:F$36)</f>
        <v>0</v>
      </c>
      <c r="K41" s="627">
        <f t="shared" si="4"/>
        <v>0</v>
      </c>
      <c r="L41" s="627">
        <f>'KB 12'!F$29+'KB 12'!F$42</f>
        <v>0</v>
      </c>
      <c r="M41" s="628">
        <f>'KB 12'!F$48</f>
        <v>0</v>
      </c>
      <c r="N41" s="627">
        <f>SUM('KB 12'!G$22:G$23,'KB 12'!G$35:G$36)</f>
        <v>0</v>
      </c>
      <c r="O41" s="627">
        <f t="shared" si="5"/>
        <v>0</v>
      </c>
      <c r="P41" s="627">
        <f>'KB 12'!G$29+'KB 12'!G$42</f>
        <v>0</v>
      </c>
      <c r="Q41" s="628">
        <f>'KB 12'!G$48</f>
        <v>0</v>
      </c>
    </row>
    <row r="42" spans="1:17" s="101" customFormat="1" ht="15" customHeight="1" x14ac:dyDescent="0.2">
      <c r="A42" s="829" t="str">
        <f>'(B3) Struktura Funksionale'!B68</f>
        <v>05320</v>
      </c>
      <c r="B42" s="834" t="str">
        <f>'(B3) Struktura Funksionale'!C68</f>
        <v>Programet e mbrojtjes së mjedisit</v>
      </c>
      <c r="C42" s="143">
        <f>'KB 12'!B72</f>
        <v>0</v>
      </c>
      <c r="D42" s="143">
        <f>'KB 12'!C72</f>
        <v>0</v>
      </c>
      <c r="E42" s="143">
        <f>'KB 12'!D72</f>
        <v>0</v>
      </c>
      <c r="F42" s="77">
        <f>SUM('KB 12'!E$76:E$77,'KB 12'!E$89:E$90)</f>
        <v>0</v>
      </c>
      <c r="G42" s="77">
        <f t="shared" si="3"/>
        <v>0</v>
      </c>
      <c r="H42" s="77">
        <f>'KB 12'!E$83+'KB 12'!E$96</f>
        <v>0</v>
      </c>
      <c r="I42" s="140">
        <f>'KB 12'!E$102</f>
        <v>0</v>
      </c>
      <c r="J42" s="77">
        <f>SUM('KB 12'!F$76:F$77,'KB 12'!F$89:F$90)</f>
        <v>0</v>
      </c>
      <c r="K42" s="77">
        <f t="shared" si="4"/>
        <v>0</v>
      </c>
      <c r="L42" s="77">
        <f>'KB 12'!F$83+'KB 12'!F$96</f>
        <v>0</v>
      </c>
      <c r="M42" s="140">
        <f>'KB 12'!F$102</f>
        <v>0</v>
      </c>
      <c r="N42" s="77">
        <f>SUM('KB 12'!G$76:G$77,'KB 12'!G$89:G$90)</f>
        <v>0</v>
      </c>
      <c r="O42" s="77">
        <f t="shared" si="5"/>
        <v>0</v>
      </c>
      <c r="P42" s="77">
        <f>'KB 12'!G$83+'KB 12'!G$96</f>
        <v>0</v>
      </c>
      <c r="Q42" s="140">
        <f>'KB 12'!G$102</f>
        <v>0</v>
      </c>
    </row>
    <row r="43" spans="1:17" ht="15" customHeight="1" x14ac:dyDescent="0.2">
      <c r="A43" s="791" t="str">
        <f>'(B2) Struktura Organizative'!A19</f>
        <v>Nënfunksioni 13</v>
      </c>
      <c r="B43" s="833" t="str">
        <f>'(B2) Struktura Organizative'!B19</f>
        <v>056 Mbrojtja e mjedisit</v>
      </c>
      <c r="C43" s="626">
        <f>'KB 13'!B$18</f>
        <v>0</v>
      </c>
      <c r="D43" s="626">
        <f>'KB 13'!C$18</f>
        <v>0</v>
      </c>
      <c r="E43" s="626">
        <f>'KB 13'!D$18</f>
        <v>0</v>
      </c>
      <c r="F43" s="627">
        <f>SUM('KB 13'!E$22:E$23,'KB 13'!E$35:E$36)</f>
        <v>0</v>
      </c>
      <c r="G43" s="627">
        <f t="shared" si="3"/>
        <v>0</v>
      </c>
      <c r="H43" s="627">
        <f>'KB 13'!E$29+'KB 13'!E$42</f>
        <v>0</v>
      </c>
      <c r="I43" s="628">
        <f>'KB 13'!E$48</f>
        <v>0</v>
      </c>
      <c r="J43" s="627">
        <f>SUM('KB 13'!F$22:F$23,'KB 13'!F$35:F$36)</f>
        <v>0</v>
      </c>
      <c r="K43" s="627">
        <f t="shared" si="4"/>
        <v>0</v>
      </c>
      <c r="L43" s="627">
        <f>'KB 13'!F$29+'KB 13'!F$42</f>
        <v>0</v>
      </c>
      <c r="M43" s="628">
        <f>'KB 13'!F$48</f>
        <v>0</v>
      </c>
      <c r="N43" s="627">
        <f>SUM('KB 13'!G$22:G$23,'KB 13'!G$35:G$36)</f>
        <v>0</v>
      </c>
      <c r="O43" s="627">
        <f t="shared" si="5"/>
        <v>0</v>
      </c>
      <c r="P43" s="627">
        <f>'KB 13'!G$29+'KB 13'!G$42</f>
        <v>0</v>
      </c>
      <c r="Q43" s="628">
        <f>'KB 13'!G$48</f>
        <v>0</v>
      </c>
    </row>
    <row r="44" spans="1:17" s="101" customFormat="1" ht="15" customHeight="1" x14ac:dyDescent="0.2">
      <c r="A44" s="829" t="str">
        <f>'(B3) Struktura Funksionale'!B72</f>
        <v>05630</v>
      </c>
      <c r="B44" s="834" t="str">
        <f>'(B3) Struktura Funksionale'!C72</f>
        <v>Ndërgjegjësimi mjedisor</v>
      </c>
      <c r="C44" s="143">
        <f>'KB 13'!B72</f>
        <v>0</v>
      </c>
      <c r="D44" s="143">
        <f>'KB 13'!C72</f>
        <v>0</v>
      </c>
      <c r="E44" s="143">
        <f>'KB 13'!D72</f>
        <v>0</v>
      </c>
      <c r="F44" s="77">
        <f>SUM('KB 13'!E$76:E$77,'KB 13'!E$89:E$90)</f>
        <v>0</v>
      </c>
      <c r="G44" s="77">
        <f t="shared" si="3"/>
        <v>0</v>
      </c>
      <c r="H44" s="77">
        <f>'KB 13'!E$83+'KB 13'!E$96</f>
        <v>0</v>
      </c>
      <c r="I44" s="140">
        <f>'KB 13'!E$102</f>
        <v>0</v>
      </c>
      <c r="J44" s="77">
        <f>SUM('KB 13'!F$76:F$77,'KB 13'!F$89:F$90)</f>
        <v>0</v>
      </c>
      <c r="K44" s="77">
        <f t="shared" si="4"/>
        <v>0</v>
      </c>
      <c r="L44" s="77">
        <f>'KB 13'!F$83+'KB 13'!F$96</f>
        <v>0</v>
      </c>
      <c r="M44" s="140">
        <f>'KB 13'!F$102</f>
        <v>0</v>
      </c>
      <c r="N44" s="77">
        <f>SUM('KB 13'!G$76:G$77,'KB 13'!G$89:G$90)</f>
        <v>0</v>
      </c>
      <c r="O44" s="77">
        <f t="shared" si="5"/>
        <v>0</v>
      </c>
      <c r="P44" s="77">
        <f>'KB 13'!G$83+'KB 13'!G$96</f>
        <v>0</v>
      </c>
      <c r="Q44" s="140">
        <f>'KB 13'!G$102</f>
        <v>0</v>
      </c>
    </row>
    <row r="45" spans="1:17" s="101" customFormat="1" ht="15" hidden="1" customHeight="1" x14ac:dyDescent="0.2">
      <c r="A45" s="829" t="str">
        <f>'(B3) Struktura Funksionale'!B73</f>
        <v>05640</v>
      </c>
      <c r="B45" s="834" t="str">
        <f>'(B3) Struktura Funksionale'!C73</f>
        <v>Administrimi i resurseve ujore</v>
      </c>
      <c r="C45" s="143">
        <f>'KB 13'!B111</f>
        <v>0</v>
      </c>
      <c r="D45" s="143">
        <f>'KB 13'!C111</f>
        <v>0</v>
      </c>
      <c r="E45" s="143">
        <f>'KB 13'!D111</f>
        <v>0</v>
      </c>
      <c r="F45" s="77">
        <f>SUM('KB 13'!E$115:E$116,'KB 13'!E$128:E$129)</f>
        <v>0</v>
      </c>
      <c r="G45" s="77">
        <f t="shared" si="3"/>
        <v>0</v>
      </c>
      <c r="H45" s="77">
        <f>'KB 13'!E$122+'KB 13'!E$135</f>
        <v>0</v>
      </c>
      <c r="I45" s="140">
        <f>'KB 13'!E$141</f>
        <v>0</v>
      </c>
      <c r="J45" s="77">
        <f>SUM('KB 13'!F$115:F$116,'KB 13'!F$128:F$129)</f>
        <v>0</v>
      </c>
      <c r="K45" s="77">
        <f t="shared" si="4"/>
        <v>0</v>
      </c>
      <c r="L45" s="77">
        <f>'KB 13'!F$122+'KB 13'!F$135</f>
        <v>0</v>
      </c>
      <c r="M45" s="140">
        <f>'KB 13'!F$141</f>
        <v>0</v>
      </c>
      <c r="N45" s="77">
        <f>SUM('KB 13'!G$115:G$116,'KB 13'!G$128:G$129)</f>
        <v>0</v>
      </c>
      <c r="O45" s="77">
        <f t="shared" si="5"/>
        <v>0</v>
      </c>
      <c r="P45" s="77">
        <f>'KB 13'!G$122+'KB 13'!G$135</f>
        <v>0</v>
      </c>
      <c r="Q45" s="140">
        <f>'KB 13'!G$141</f>
        <v>0</v>
      </c>
    </row>
    <row r="46" spans="1:17" ht="15" customHeight="1" x14ac:dyDescent="0.2">
      <c r="A46" s="791" t="str">
        <f>'(B2) Struktura Organizative'!A20</f>
        <v>Nënfunksioni 14</v>
      </c>
      <c r="B46" s="833" t="str">
        <f>'(B2) Struktura Organizative'!B20</f>
        <v>061 Urbanistika</v>
      </c>
      <c r="C46" s="626">
        <f>'KB 14'!B$18</f>
        <v>311473</v>
      </c>
      <c r="D46" s="626">
        <f>'KB 14'!C$18</f>
        <v>1379258</v>
      </c>
      <c r="E46" s="626">
        <f>'KB 14'!D$18</f>
        <v>14372555</v>
      </c>
      <c r="F46" s="627">
        <f>SUM('KB 14'!E$22:E$23,'KB 14'!E$35:E$36)</f>
        <v>0</v>
      </c>
      <c r="G46" s="627">
        <f t="shared" si="3"/>
        <v>0</v>
      </c>
      <c r="H46" s="627">
        <f>'KB 14'!E$29+'KB 14'!E$42</f>
        <v>0</v>
      </c>
      <c r="I46" s="628">
        <f>'KB 14'!E$48</f>
        <v>0</v>
      </c>
      <c r="J46" s="627">
        <f>SUM('KB 14'!F$22:F$23,'KB 14'!F$35:F$36)</f>
        <v>0</v>
      </c>
      <c r="K46" s="627">
        <f t="shared" si="4"/>
        <v>0</v>
      </c>
      <c r="L46" s="627">
        <f>'KB 14'!F$29+'KB 14'!F$42</f>
        <v>0</v>
      </c>
      <c r="M46" s="628">
        <f>'KB 14'!F$48</f>
        <v>0</v>
      </c>
      <c r="N46" s="627">
        <f>SUM('KB 14'!G$22:G$23,'KB 14'!G$35:G$36)</f>
        <v>0</v>
      </c>
      <c r="O46" s="627">
        <f t="shared" si="5"/>
        <v>0</v>
      </c>
      <c r="P46" s="627">
        <f>'KB 14'!G$29+'KB 14'!G$42</f>
        <v>0</v>
      </c>
      <c r="Q46" s="628">
        <f>'KB 14'!G$48</f>
        <v>0</v>
      </c>
    </row>
    <row r="47" spans="1:17" s="101" customFormat="1" ht="15" customHeight="1" x14ac:dyDescent="0.2">
      <c r="A47" s="829" t="str">
        <f>'(B3) Struktura Funksionale'!B77</f>
        <v>06140</v>
      </c>
      <c r="B47" s="834" t="str">
        <f>'(B3) Struktura Funksionale'!C77</f>
        <v>Planifikimi Urban Vendor</v>
      </c>
      <c r="C47" s="143">
        <f>'KB 14'!B72</f>
        <v>311473</v>
      </c>
      <c r="D47" s="143">
        <f>'KB 14'!C72</f>
        <v>1379258</v>
      </c>
      <c r="E47" s="143">
        <f>'KB 14'!D72</f>
        <v>14372555</v>
      </c>
      <c r="F47" s="77">
        <f>SUM('KB 14'!E$76:E$77,'KB 14'!E$89:E$90)</f>
        <v>0</v>
      </c>
      <c r="G47" s="77">
        <f t="shared" si="3"/>
        <v>0</v>
      </c>
      <c r="H47" s="77">
        <f>'KB 14'!E$83+'KB 14'!E$96</f>
        <v>0</v>
      </c>
      <c r="I47" s="140">
        <f>'KB 14'!E$102</f>
        <v>0</v>
      </c>
      <c r="J47" s="77">
        <f>SUM('KB 14'!F$76:F$77,'KB 14'!F$89:F$90)</f>
        <v>0</v>
      </c>
      <c r="K47" s="77">
        <f t="shared" si="4"/>
        <v>0</v>
      </c>
      <c r="L47" s="77">
        <f>'KB 14'!F$83+'KB 14'!F$96</f>
        <v>0</v>
      </c>
      <c r="M47" s="140">
        <f>'KB 14'!F$102</f>
        <v>0</v>
      </c>
      <c r="N47" s="77">
        <f>SUM('KB 14'!G$76:G$77,'KB 14'!G$89:G$90)</f>
        <v>0</v>
      </c>
      <c r="O47" s="77">
        <f t="shared" si="5"/>
        <v>0</v>
      </c>
      <c r="P47" s="77">
        <f>'KB 14'!G$83+'KB 14'!G$96</f>
        <v>0</v>
      </c>
      <c r="Q47" s="140">
        <f>'KB 14'!G$102</f>
        <v>0</v>
      </c>
    </row>
    <row r="48" spans="1:17" s="101" customFormat="1" ht="15" hidden="1" customHeight="1" x14ac:dyDescent="0.2">
      <c r="A48" s="829" t="str">
        <f>'(B3) Struktura Funksionale'!B78</f>
        <v>06180</v>
      </c>
      <c r="B48" s="834" t="str">
        <f>'(B3) Struktura Funksionale'!C78</f>
        <v>Planifikimi urban dhe strehimi</v>
      </c>
      <c r="C48" s="143">
        <f>'KB 14'!B111</f>
        <v>0</v>
      </c>
      <c r="D48" s="143">
        <f>'KB 14'!C111</f>
        <v>0</v>
      </c>
      <c r="E48" s="143">
        <f>'KB 14'!D111</f>
        <v>0</v>
      </c>
      <c r="F48" s="77">
        <f>SUM('KB 14'!E$115:E$116,'KB 14'!E$128:E$129)</f>
        <v>0</v>
      </c>
      <c r="G48" s="77">
        <f t="shared" si="3"/>
        <v>0</v>
      </c>
      <c r="H48" s="77">
        <f>'KB 14'!E$122+'KB 14'!E$135</f>
        <v>0</v>
      </c>
      <c r="I48" s="140">
        <f>'KB 14'!E$141</f>
        <v>0</v>
      </c>
      <c r="J48" s="77">
        <f>SUM('KB 14'!F$115:F$116,'KB 14'!F$128:F$129)</f>
        <v>0</v>
      </c>
      <c r="K48" s="77">
        <f t="shared" si="4"/>
        <v>0</v>
      </c>
      <c r="L48" s="77">
        <f>'KB 14'!F$122+'KB 14'!F$135</f>
        <v>0</v>
      </c>
      <c r="M48" s="140">
        <f>'KB 14'!F$141</f>
        <v>0</v>
      </c>
      <c r="N48" s="77">
        <f>SUM('KB 14'!G$115:G$116,'KB 14'!G$128:G$129)</f>
        <v>0</v>
      </c>
      <c r="O48" s="77">
        <f t="shared" si="5"/>
        <v>0</v>
      </c>
      <c r="P48" s="77">
        <f>'KB 14'!G$122+'KB 14'!G$135</f>
        <v>0</v>
      </c>
      <c r="Q48" s="140">
        <f>'KB 14'!G$141</f>
        <v>0</v>
      </c>
    </row>
    <row r="49" spans="1:17" ht="15" customHeight="1" x14ac:dyDescent="0.2">
      <c r="A49" s="791" t="str">
        <f>'(B2) Struktura Organizative'!A21</f>
        <v>Nënfunksioni 15</v>
      </c>
      <c r="B49" s="833" t="str">
        <f>'(B2) Struktura Organizative'!B21</f>
        <v>062 Zhvillimi i komunitetit</v>
      </c>
      <c r="C49" s="626">
        <f>'KB 15'!B$18</f>
        <v>48731493</v>
      </c>
      <c r="D49" s="626">
        <f>'KB 15'!C$18</f>
        <v>72282837</v>
      </c>
      <c r="E49" s="626">
        <f>'KB 15'!D$18</f>
        <v>193698859</v>
      </c>
      <c r="F49" s="627">
        <f>SUM('KB 15'!E$22:E$23,'KB 15'!E$35:E$36)</f>
        <v>74096900</v>
      </c>
      <c r="G49" s="627">
        <f t="shared" si="3"/>
        <v>22310000</v>
      </c>
      <c r="H49" s="627">
        <f>'KB 15'!E$29+'KB 15'!E$42</f>
        <v>2929000</v>
      </c>
      <c r="I49" s="628">
        <f>'KB 15'!E$48</f>
        <v>99335900</v>
      </c>
      <c r="J49" s="627">
        <f>SUM('KB 15'!F$22:F$23,'KB 15'!F$35:F$36)</f>
        <v>76910800</v>
      </c>
      <c r="K49" s="627">
        <f t="shared" si="4"/>
        <v>22910200</v>
      </c>
      <c r="L49" s="627">
        <f>'KB 15'!F$29+'KB 15'!F$42</f>
        <v>3002000</v>
      </c>
      <c r="M49" s="628">
        <f>'KB 15'!F$48</f>
        <v>102823000</v>
      </c>
      <c r="N49" s="627">
        <f>SUM('KB 15'!G$22:G$23,'KB 15'!G$35:G$36)</f>
        <v>79850800</v>
      </c>
      <c r="O49" s="627">
        <f t="shared" si="5"/>
        <v>23690800</v>
      </c>
      <c r="P49" s="627">
        <f>'KB 15'!G$29+'KB 15'!G$42</f>
        <v>3126000</v>
      </c>
      <c r="Q49" s="628">
        <f>'KB 15'!G$48</f>
        <v>106667600</v>
      </c>
    </row>
    <row r="50" spans="1:17" s="101" customFormat="1" ht="15" customHeight="1" x14ac:dyDescent="0.2">
      <c r="A50" s="829" t="str">
        <f>'(B3) Struktura Funksionale'!B81</f>
        <v>06210</v>
      </c>
      <c r="B50" s="834" t="str">
        <f>'(B3) Struktura Funksionale'!C81</f>
        <v>Programet e zhvillimit</v>
      </c>
      <c r="C50" s="143">
        <f>'KB 15'!B72</f>
        <v>0</v>
      </c>
      <c r="D50" s="143">
        <f>'KB 15'!C72</f>
        <v>0</v>
      </c>
      <c r="E50" s="143">
        <f>'KB 15'!D72</f>
        <v>0</v>
      </c>
      <c r="F50" s="77">
        <f>SUM('KB 15'!E$76:E$77,'KB 15'!E$89:E$90)</f>
        <v>0</v>
      </c>
      <c r="G50" s="77">
        <f t="shared" si="3"/>
        <v>0</v>
      </c>
      <c r="H50" s="77">
        <f>'KB 15'!E$83+'KB 15'!E$96</f>
        <v>0</v>
      </c>
      <c r="I50" s="140">
        <f>'KB 15'!E$102</f>
        <v>0</v>
      </c>
      <c r="J50" s="77">
        <f>SUM('KB 15'!F$76:F$77,'KB 15'!F$89:F$90)</f>
        <v>0</v>
      </c>
      <c r="K50" s="77">
        <f t="shared" si="4"/>
        <v>0</v>
      </c>
      <c r="L50" s="77">
        <f>'KB 15'!F$83+'KB 15'!F$96</f>
        <v>0</v>
      </c>
      <c r="M50" s="140">
        <f>'KB 15'!F$102</f>
        <v>0</v>
      </c>
      <c r="N50" s="77">
        <f>SUM('KB 15'!G$76:G$77,'KB 15'!G$89:G$90)</f>
        <v>0</v>
      </c>
      <c r="O50" s="77">
        <f t="shared" si="5"/>
        <v>0</v>
      </c>
      <c r="P50" s="77">
        <f>'KB 15'!G$83+'KB 15'!G$96</f>
        <v>0</v>
      </c>
      <c r="Q50" s="140">
        <f>'KB 15'!G$102</f>
        <v>0</v>
      </c>
    </row>
    <row r="51" spans="1:17" s="101" customFormat="1" ht="15" customHeight="1" x14ac:dyDescent="0.2">
      <c r="A51" s="829" t="str">
        <f>'(B3) Struktura Funksionale'!B82</f>
        <v>06260</v>
      </c>
      <c r="B51" s="834" t="str">
        <f>'(B3) Struktura Funksionale'!C82</f>
        <v>Sherbime publike vendore</v>
      </c>
      <c r="C51" s="143">
        <f>'KB 15'!B111</f>
        <v>48731493</v>
      </c>
      <c r="D51" s="143">
        <f>'KB 15'!C111</f>
        <v>72282837</v>
      </c>
      <c r="E51" s="143">
        <f>'KB 15'!D111</f>
        <v>193698859</v>
      </c>
      <c r="F51" s="77">
        <f>SUM('KB 15'!E$115:E$116,'KB 15'!E$128:E$129)</f>
        <v>74096900</v>
      </c>
      <c r="G51" s="77">
        <f t="shared" si="3"/>
        <v>22310000</v>
      </c>
      <c r="H51" s="77">
        <f>'KB 15'!E$122+'KB 15'!E$135</f>
        <v>2929000</v>
      </c>
      <c r="I51" s="140">
        <f>'KB 15'!E$141</f>
        <v>99335900</v>
      </c>
      <c r="J51" s="77">
        <f>SUM('KB 15'!F$115:F$116,'KB 15'!F$128:F$129)</f>
        <v>76910800</v>
      </c>
      <c r="K51" s="77">
        <f t="shared" si="4"/>
        <v>22910200</v>
      </c>
      <c r="L51" s="77">
        <f>'KB 15'!F$122+'KB 15'!F$135</f>
        <v>3002000</v>
      </c>
      <c r="M51" s="140">
        <f>'KB 15'!F$141</f>
        <v>102823000</v>
      </c>
      <c r="N51" s="77">
        <f>SUM('KB 15'!G$115:G$116,'KB 15'!G$128:G$129)</f>
        <v>79850800</v>
      </c>
      <c r="O51" s="77">
        <f t="shared" si="5"/>
        <v>23690800</v>
      </c>
      <c r="P51" s="77">
        <f>'KB 15'!G$122+'KB 15'!G$135</f>
        <v>3126000</v>
      </c>
      <c r="Q51" s="140">
        <f>'KB 15'!G$141</f>
        <v>106667600</v>
      </c>
    </row>
    <row r="52" spans="1:17" ht="15" customHeight="1" x14ac:dyDescent="0.2">
      <c r="A52" s="791" t="str">
        <f>'(B2) Struktura Organizative'!A22</f>
        <v>Nënfunksioni 16</v>
      </c>
      <c r="B52" s="833" t="str">
        <f>'(B2) Struktura Organizative'!B22</f>
        <v>063 Furnizimi me ujë</v>
      </c>
      <c r="C52" s="626">
        <f>'KB 16'!B$18</f>
        <v>11999999</v>
      </c>
      <c r="D52" s="626">
        <f>'KB 16'!C$18</f>
        <v>272714</v>
      </c>
      <c r="E52" s="626">
        <f>'KB 16'!D$18</f>
        <v>59359820</v>
      </c>
      <c r="F52" s="627">
        <f>SUM('KB 16'!E$22:E$23,'KB 16'!E$35:E$36)</f>
        <v>0</v>
      </c>
      <c r="G52" s="627">
        <f t="shared" si="3"/>
        <v>0</v>
      </c>
      <c r="H52" s="627">
        <f>'KB 16'!E$29+'KB 16'!E$42</f>
        <v>0</v>
      </c>
      <c r="I52" s="628">
        <f>'KB 16'!E$48</f>
        <v>0</v>
      </c>
      <c r="J52" s="627">
        <f>SUM('KB 16'!F$22:F$23,'KB 16'!F$35:F$36)</f>
        <v>0</v>
      </c>
      <c r="K52" s="627">
        <f t="shared" si="4"/>
        <v>0</v>
      </c>
      <c r="L52" s="627">
        <f>'KB 16'!F$29+'KB 16'!F$42</f>
        <v>0</v>
      </c>
      <c r="M52" s="628">
        <f>'KB 16'!F$48</f>
        <v>0</v>
      </c>
      <c r="N52" s="627">
        <f>SUM('KB 16'!G$22:G$23,'KB 16'!G$35:G$36)</f>
        <v>0</v>
      </c>
      <c r="O52" s="627">
        <f t="shared" si="5"/>
        <v>0</v>
      </c>
      <c r="P52" s="627">
        <f>'KB 16'!G$29+'KB 16'!G$42</f>
        <v>0</v>
      </c>
      <c r="Q52" s="628">
        <f>'KB 16'!G$48</f>
        <v>0</v>
      </c>
    </row>
    <row r="53" spans="1:17" s="101" customFormat="1" ht="15" customHeight="1" x14ac:dyDescent="0.2">
      <c r="A53" s="829" t="str">
        <f>'(B3) Struktura Funksionale'!B85</f>
        <v>06330</v>
      </c>
      <c r="B53" s="834" t="str">
        <f>'(B3) Struktura Funksionale'!C85</f>
        <v xml:space="preserve">Furnizimi me ujë </v>
      </c>
      <c r="C53" s="143">
        <f>'KB 16'!B72</f>
        <v>11999999</v>
      </c>
      <c r="D53" s="143">
        <f>'KB 16'!C72</f>
        <v>272714</v>
      </c>
      <c r="E53" s="143">
        <f>'KB 16'!D72</f>
        <v>59359820</v>
      </c>
      <c r="F53" s="77">
        <f>SUM('KB 16'!E$76:E$77,'KB 16'!E$89:E$90)</f>
        <v>0</v>
      </c>
      <c r="G53" s="77">
        <f t="shared" si="3"/>
        <v>0</v>
      </c>
      <c r="H53" s="77">
        <f>'KB 16'!E$83+'KB 16'!E$96</f>
        <v>0</v>
      </c>
      <c r="I53" s="140">
        <f>'KB 16'!E$102</f>
        <v>0</v>
      </c>
      <c r="J53" s="77">
        <f>SUM('KB 16'!F$76:F$77,'KB 16'!F$89:F$90)</f>
        <v>0</v>
      </c>
      <c r="K53" s="77">
        <f t="shared" si="4"/>
        <v>0</v>
      </c>
      <c r="L53" s="77">
        <f>'KB 16'!F$83+'KB 16'!F$96</f>
        <v>0</v>
      </c>
      <c r="M53" s="140">
        <f>'KB 16'!F$102</f>
        <v>0</v>
      </c>
      <c r="N53" s="77">
        <f>SUM('KB 16'!G$76:G$77,'KB 16'!G$89:G$90)</f>
        <v>0</v>
      </c>
      <c r="O53" s="77">
        <f t="shared" si="5"/>
        <v>0</v>
      </c>
      <c r="P53" s="77">
        <f>'KB 16'!G$83+'KB 16'!G$96</f>
        <v>0</v>
      </c>
      <c r="Q53" s="140">
        <f>'KB 16'!G$102</f>
        <v>0</v>
      </c>
    </row>
    <row r="54" spans="1:17" ht="15" customHeight="1" x14ac:dyDescent="0.2">
      <c r="A54" s="791" t="str">
        <f>'(B2) Struktura Organizative'!A23</f>
        <v>Nënfunksioni 17</v>
      </c>
      <c r="B54" s="833" t="str">
        <f>'(B2) Struktura Organizative'!B23</f>
        <v>064 Ndriçimi i rrugëve</v>
      </c>
      <c r="C54" s="626">
        <f>'KB 17'!B$18</f>
        <v>17084331</v>
      </c>
      <c r="D54" s="626">
        <f>'KB 17'!C$18</f>
        <v>19881683</v>
      </c>
      <c r="E54" s="626">
        <f>'KB 17'!D$18</f>
        <v>26000000</v>
      </c>
      <c r="F54" s="627">
        <f>SUM('KB 17'!E$22:E$23,'KB 17'!E$35:E$36)</f>
        <v>0</v>
      </c>
      <c r="G54" s="627">
        <f t="shared" si="3"/>
        <v>36800000</v>
      </c>
      <c r="H54" s="627">
        <f>'KB 17'!E$29+'KB 17'!E$42</f>
        <v>0</v>
      </c>
      <c r="I54" s="628">
        <f>'KB 17'!E$48</f>
        <v>36800000</v>
      </c>
      <c r="J54" s="627">
        <f>SUM('KB 17'!F$22:F$23,'KB 17'!F$35:F$36)</f>
        <v>0</v>
      </c>
      <c r="K54" s="627">
        <f t="shared" si="4"/>
        <v>37700000</v>
      </c>
      <c r="L54" s="627">
        <f>'KB 17'!F$29+'KB 17'!F$42</f>
        <v>0</v>
      </c>
      <c r="M54" s="628">
        <f>'KB 17'!F$48</f>
        <v>37700000</v>
      </c>
      <c r="N54" s="627">
        <f>SUM('KB 17'!G$22:G$23,'KB 17'!G$35:G$36)</f>
        <v>0</v>
      </c>
      <c r="O54" s="627">
        <f t="shared" si="5"/>
        <v>48600000</v>
      </c>
      <c r="P54" s="627">
        <f>'KB 17'!G$29+'KB 17'!G$42</f>
        <v>0</v>
      </c>
      <c r="Q54" s="628">
        <f>'KB 17'!G$48</f>
        <v>48600000</v>
      </c>
    </row>
    <row r="55" spans="1:17" s="101" customFormat="1" ht="15" customHeight="1" x14ac:dyDescent="0.2">
      <c r="A55" s="829" t="str">
        <f>'(B3) Struktura Funksionale'!B89</f>
        <v>06440</v>
      </c>
      <c r="B55" s="834" t="str">
        <f>'(B3) Struktura Funksionale'!C89</f>
        <v>Ndriçim rrugësh</v>
      </c>
      <c r="C55" s="143">
        <f>'KB 17'!B72</f>
        <v>17084331</v>
      </c>
      <c r="D55" s="143">
        <f>'KB 17'!C72</f>
        <v>19881683</v>
      </c>
      <c r="E55" s="143">
        <f>'KB 17'!D72</f>
        <v>26000000</v>
      </c>
      <c r="F55" s="77">
        <f>SUM('KB 17'!E$76:E$77,'KB 17'!E$89:E$90)</f>
        <v>0</v>
      </c>
      <c r="G55" s="77">
        <f t="shared" si="3"/>
        <v>0</v>
      </c>
      <c r="H55" s="77">
        <f>'KB 17'!E$83+'KB 17'!E$96</f>
        <v>0</v>
      </c>
      <c r="I55" s="140">
        <f>'KB 17'!E$102</f>
        <v>0</v>
      </c>
      <c r="J55" s="77">
        <f>SUM('KB 17'!F$76:F$77,'KB 17'!F$89:F$90)</f>
        <v>0</v>
      </c>
      <c r="K55" s="77">
        <f t="shared" si="4"/>
        <v>0</v>
      </c>
      <c r="L55" s="77">
        <f>'KB 17'!F$83+'KB 17'!F$96</f>
        <v>0</v>
      </c>
      <c r="M55" s="140">
        <f>'KB 17'!F$102</f>
        <v>0</v>
      </c>
      <c r="N55" s="77">
        <f>SUM('KB 17'!G$76:G$77,'KB 17'!G$89:G$90)</f>
        <v>0</v>
      </c>
      <c r="O55" s="77">
        <f t="shared" si="5"/>
        <v>0</v>
      </c>
      <c r="P55" s="77">
        <f>'KB 17'!G$83+'KB 17'!G$96</f>
        <v>0</v>
      </c>
      <c r="Q55" s="140">
        <f>'KB 17'!G$102</f>
        <v>0</v>
      </c>
    </row>
    <row r="56" spans="1:17" ht="15" customHeight="1" x14ac:dyDescent="0.2">
      <c r="A56" s="791" t="str">
        <f>'(B2) Struktura Organizative'!A24</f>
        <v>Nënfunksioni 18</v>
      </c>
      <c r="B56" s="833" t="str">
        <f>'(B2) Struktura Organizative'!B24</f>
        <v xml:space="preserve">072 Shërbimet e kujdesit parësor </v>
      </c>
      <c r="C56" s="626">
        <f>'KB 18'!B$18</f>
        <v>0</v>
      </c>
      <c r="D56" s="626">
        <f>'KB 18'!C$18</f>
        <v>0</v>
      </c>
      <c r="E56" s="626">
        <f>'KB 18'!D$18</f>
        <v>0</v>
      </c>
      <c r="F56" s="627">
        <f>SUM('KB 18'!E$22:E$23,'KB 18'!E$35:E$36)</f>
        <v>0</v>
      </c>
      <c r="G56" s="627">
        <f t="shared" si="3"/>
        <v>0</v>
      </c>
      <c r="H56" s="627">
        <f>'KB 18'!E$29+'KB 18'!E$42</f>
        <v>0</v>
      </c>
      <c r="I56" s="628">
        <f>'KB 18'!E$48</f>
        <v>0</v>
      </c>
      <c r="J56" s="627">
        <f>SUM('KB 18'!F$22:F$23,'KB 18'!F$35:F$36)</f>
        <v>0</v>
      </c>
      <c r="K56" s="627">
        <f t="shared" si="4"/>
        <v>0</v>
      </c>
      <c r="L56" s="627">
        <f>'KB 18'!F$29+'KB 18'!F$42</f>
        <v>0</v>
      </c>
      <c r="M56" s="628">
        <f>'KB 18'!F$48</f>
        <v>0</v>
      </c>
      <c r="N56" s="627">
        <f>SUM('KB 18'!G$22:G$23,'KB 18'!G$35:G$36)</f>
        <v>0</v>
      </c>
      <c r="O56" s="627">
        <f t="shared" si="5"/>
        <v>0</v>
      </c>
      <c r="P56" s="627">
        <f>'KB 18'!G$29+'KB 18'!G$42</f>
        <v>0</v>
      </c>
      <c r="Q56" s="628">
        <f>'KB 18'!G$48</f>
        <v>0</v>
      </c>
    </row>
    <row r="57" spans="1:17" s="101" customFormat="1" ht="15" customHeight="1" x14ac:dyDescent="0.2">
      <c r="A57" s="829" t="str">
        <f>'(B3) Struktura Funksionale'!B94</f>
        <v>07220</v>
      </c>
      <c r="B57" s="834" t="str">
        <f>'(B3) Struktura Funksionale'!C94</f>
        <v>Shërbimet e kujdesit parësor</v>
      </c>
      <c r="C57" s="143">
        <f>'KB 18'!B72</f>
        <v>0</v>
      </c>
      <c r="D57" s="143">
        <f>'KB 18'!C72</f>
        <v>0</v>
      </c>
      <c r="E57" s="143">
        <f>'KB 18'!D72</f>
        <v>0</v>
      </c>
      <c r="F57" s="77">
        <f>SUM('KB 18'!E$76:E$77,'KB 18'!E$89:E$90)</f>
        <v>0</v>
      </c>
      <c r="G57" s="77">
        <f t="shared" si="3"/>
        <v>0</v>
      </c>
      <c r="H57" s="77">
        <f>'KB 18'!E$83+'KB 18'!E$96</f>
        <v>0</v>
      </c>
      <c r="I57" s="140">
        <f>'KB 18'!E$102</f>
        <v>0</v>
      </c>
      <c r="J57" s="77">
        <f>SUM('KB 18'!F$76:F$77,'KB 18'!F$89:F$90)</f>
        <v>0</v>
      </c>
      <c r="K57" s="77">
        <f t="shared" si="4"/>
        <v>0</v>
      </c>
      <c r="L57" s="77">
        <f>'KB 18'!F$83+'KB 18'!F$96</f>
        <v>0</v>
      </c>
      <c r="M57" s="140">
        <f>'KB 18'!F$102</f>
        <v>0</v>
      </c>
      <c r="N57" s="77">
        <f>SUM('KB 18'!G$76:G$77,'KB 18'!G$89:G$90)</f>
        <v>0</v>
      </c>
      <c r="O57" s="77">
        <f t="shared" si="5"/>
        <v>0</v>
      </c>
      <c r="P57" s="77">
        <f>'KB 18'!G$83+'KB 18'!G$96</f>
        <v>0</v>
      </c>
      <c r="Q57" s="140">
        <f>'KB 18'!G$102</f>
        <v>0</v>
      </c>
    </row>
    <row r="58" spans="1:17" ht="15" customHeight="1" x14ac:dyDescent="0.2">
      <c r="A58" s="791" t="str">
        <f>'(B2) Struktura Organizative'!A25</f>
        <v>Nënfunksioni 19</v>
      </c>
      <c r="B58" s="833" t="str">
        <f>'(B2) Struktura Organizative'!B25</f>
        <v>081 Shërbimet rekreative dhe sportive</v>
      </c>
      <c r="C58" s="626">
        <f>'KB 19'!B$18</f>
        <v>24247564</v>
      </c>
      <c r="D58" s="626">
        <f>'KB 19'!C$18</f>
        <v>10803448</v>
      </c>
      <c r="E58" s="626">
        <f>'KB 19'!D$18</f>
        <v>20764388</v>
      </c>
      <c r="F58" s="627">
        <f>SUM('KB 19'!E$22:E$23,'KB 19'!E$35:E$36)</f>
        <v>5835000</v>
      </c>
      <c r="G58" s="627">
        <f t="shared" si="3"/>
        <v>9820000</v>
      </c>
      <c r="H58" s="627">
        <f>'KB 19'!E$29+'KB 19'!E$42</f>
        <v>50000</v>
      </c>
      <c r="I58" s="628">
        <f>'KB 19'!E$48</f>
        <v>15705000</v>
      </c>
      <c r="J58" s="627">
        <f>SUM('KB 19'!F$22:F$23,'KB 19'!F$35:F$36)</f>
        <v>6418500</v>
      </c>
      <c r="K58" s="627">
        <f t="shared" si="4"/>
        <v>10326500</v>
      </c>
      <c r="L58" s="627">
        <f>'KB 19'!F$29+'KB 19'!F$42</f>
        <v>50000</v>
      </c>
      <c r="M58" s="628">
        <f>'KB 19'!F$48</f>
        <v>16795000</v>
      </c>
      <c r="N58" s="627">
        <f>SUM('KB 19'!G$22:G$23,'KB 19'!G$35:G$36)</f>
        <v>6768600</v>
      </c>
      <c r="O58" s="627">
        <f t="shared" si="5"/>
        <v>10500000</v>
      </c>
      <c r="P58" s="627">
        <f>'KB 19'!G$29+'KB 19'!G$42</f>
        <v>100000</v>
      </c>
      <c r="Q58" s="628">
        <f>'KB 19'!G$48</f>
        <v>17368600</v>
      </c>
    </row>
    <row r="59" spans="1:17" s="101" customFormat="1" ht="15" hidden="1" customHeight="1" x14ac:dyDescent="0.2">
      <c r="A59" s="829" t="str">
        <f>'(B3) Struktura Funksionale'!B99</f>
        <v>08120</v>
      </c>
      <c r="B59" s="834" t="str">
        <f>'(B3) Struktura Funksionale'!C99</f>
        <v>Parqet</v>
      </c>
      <c r="C59" s="143">
        <f>'KB 19'!B72</f>
        <v>0</v>
      </c>
      <c r="D59" s="143">
        <f>'KB 19'!C72</f>
        <v>0</v>
      </c>
      <c r="E59" s="143">
        <f>'KB 19'!D72</f>
        <v>0</v>
      </c>
      <c r="F59" s="77">
        <f>SUM('KB 19'!E$76:E$77,'KB 19'!E$89:E$90)</f>
        <v>0</v>
      </c>
      <c r="G59" s="77">
        <f t="shared" si="3"/>
        <v>0</v>
      </c>
      <c r="H59" s="77">
        <f>'KB 19'!E$83+'KB 19'!E$96</f>
        <v>0</v>
      </c>
      <c r="I59" s="140">
        <f>'KB 19'!E$102</f>
        <v>0</v>
      </c>
      <c r="J59" s="77">
        <f>SUM('KB 19'!F$76:F$77,'KB 19'!F$89:F$90)</f>
        <v>0</v>
      </c>
      <c r="K59" s="77">
        <f t="shared" si="4"/>
        <v>0</v>
      </c>
      <c r="L59" s="77">
        <f>'KB 19'!F$83+'KB 19'!F$96</f>
        <v>0</v>
      </c>
      <c r="M59" s="140">
        <f>'KB 19'!F$102</f>
        <v>0</v>
      </c>
      <c r="N59" s="77">
        <f>SUM('KB 19'!G$76:G$77,'KB 19'!G$89:G$90)</f>
        <v>0</v>
      </c>
      <c r="O59" s="77">
        <f t="shared" si="5"/>
        <v>0</v>
      </c>
      <c r="P59" s="77">
        <f>'KB 19'!G$83+'KB 19'!G$96</f>
        <v>0</v>
      </c>
      <c r="Q59" s="140">
        <f>'KB 19'!G$102</f>
        <v>0</v>
      </c>
    </row>
    <row r="60" spans="1:17" s="101" customFormat="1" ht="15" customHeight="1" x14ac:dyDescent="0.2">
      <c r="A60" s="829" t="str">
        <f>'(B3) Struktura Funksionale'!B100</f>
        <v>08130</v>
      </c>
      <c r="B60" s="834" t="str">
        <f>'(B3) Struktura Funksionale'!C100</f>
        <v>Sport dhe argëtim</v>
      </c>
      <c r="C60" s="143">
        <f>'KB 19'!B111</f>
        <v>24247564</v>
      </c>
      <c r="D60" s="143">
        <f>'KB 19'!C111</f>
        <v>10803448</v>
      </c>
      <c r="E60" s="143">
        <f>'KB 19'!D111</f>
        <v>20764388</v>
      </c>
      <c r="F60" s="77">
        <f>SUM('KB 19'!E$115:E$116,'KB 19'!E$128:E$129)</f>
        <v>5835000</v>
      </c>
      <c r="G60" s="77">
        <f t="shared" si="3"/>
        <v>9820000</v>
      </c>
      <c r="H60" s="77">
        <f>'KB 19'!E$122+'KB 19'!E$135</f>
        <v>50000</v>
      </c>
      <c r="I60" s="140">
        <f>'KB 19'!E$141</f>
        <v>15705000</v>
      </c>
      <c r="J60" s="77">
        <f>SUM('KB 19'!F$115:F$116,'KB 19'!F$128:F$129)</f>
        <v>6418500</v>
      </c>
      <c r="K60" s="77">
        <f t="shared" si="4"/>
        <v>10326500</v>
      </c>
      <c r="L60" s="77">
        <f>'KB 19'!F$122+'KB 19'!F$135</f>
        <v>50000</v>
      </c>
      <c r="M60" s="140">
        <f>'KB 19'!F$141</f>
        <v>16795000</v>
      </c>
      <c r="N60" s="77">
        <f>SUM('KB 19'!G$115:G$116,'KB 19'!G$128:G$129)</f>
        <v>6768600</v>
      </c>
      <c r="O60" s="77">
        <f t="shared" si="5"/>
        <v>10500000</v>
      </c>
      <c r="P60" s="77">
        <f>'KB 19'!G$122+'KB 19'!G$135</f>
        <v>100000</v>
      </c>
      <c r="Q60" s="140">
        <f>'KB 19'!G$141</f>
        <v>17368600</v>
      </c>
    </row>
    <row r="61" spans="1:17" ht="15" customHeight="1" x14ac:dyDescent="0.2">
      <c r="A61" s="791" t="str">
        <f>'(B2) Struktura Organizative'!A26</f>
        <v>Nënfunksioni 20</v>
      </c>
      <c r="B61" s="833" t="str">
        <f>'(B2) Struktura Organizative'!B26</f>
        <v>082 Shërbimet kulturore</v>
      </c>
      <c r="C61" s="626">
        <f>'KB 20'!B$18</f>
        <v>1020083</v>
      </c>
      <c r="D61" s="626">
        <f>'KB 20'!C$18</f>
        <v>17381102</v>
      </c>
      <c r="E61" s="626">
        <f>'KB 20'!D$18</f>
        <v>35846037</v>
      </c>
      <c r="F61" s="627">
        <f>SUM('KB 20'!E$22:E$23,'KB 20'!E$35:E$36)</f>
        <v>15714600</v>
      </c>
      <c r="G61" s="627">
        <f t="shared" si="3"/>
        <v>12100600</v>
      </c>
      <c r="H61" s="627">
        <f>'KB 20'!E$29+'KB 20'!E$42</f>
        <v>6983300</v>
      </c>
      <c r="I61" s="628">
        <f>'KB 20'!E$48</f>
        <v>34798500</v>
      </c>
      <c r="J61" s="627">
        <f>SUM('KB 20'!F$22:F$23,'KB 20'!F$35:F$36)</f>
        <v>16186060</v>
      </c>
      <c r="K61" s="627">
        <f t="shared" si="4"/>
        <v>12463640</v>
      </c>
      <c r="L61" s="627">
        <f>'KB 20'!F$29+'KB 20'!F$42</f>
        <v>6198800</v>
      </c>
      <c r="M61" s="628">
        <f>'KB 20'!F$48</f>
        <v>34848500</v>
      </c>
      <c r="N61" s="627">
        <f>SUM('KB 20'!G$22:G$23,'KB 20'!G$35:G$36)</f>
        <v>16690000</v>
      </c>
      <c r="O61" s="627">
        <f t="shared" si="5"/>
        <v>12800000</v>
      </c>
      <c r="P61" s="627">
        <f>'KB 20'!G$29+'KB 20'!G$42</f>
        <v>5368500</v>
      </c>
      <c r="Q61" s="628">
        <f>'KB 20'!G$48</f>
        <v>34858500</v>
      </c>
    </row>
    <row r="62" spans="1:17" s="101" customFormat="1" ht="15" customHeight="1" x14ac:dyDescent="0.2">
      <c r="A62" s="829" t="str">
        <f>'(B3) Struktura Funksionale'!B103</f>
        <v>08220</v>
      </c>
      <c r="B62" s="834" t="str">
        <f>'(B3) Struktura Funksionale'!C103</f>
        <v>Trashëgimia kulturore, eventet artistike dhe kulturore</v>
      </c>
      <c r="C62" s="143">
        <f>'KB 20'!B72</f>
        <v>1020083</v>
      </c>
      <c r="D62" s="143">
        <f>'KB 20'!C72</f>
        <v>17381102</v>
      </c>
      <c r="E62" s="143">
        <f>'KB 20'!D72</f>
        <v>35846037</v>
      </c>
      <c r="F62" s="77">
        <f>SUM('KB 20'!E$76:E$77,'KB 20'!E$89:E$90)</f>
        <v>15714600</v>
      </c>
      <c r="G62" s="77">
        <f t="shared" si="3"/>
        <v>12100600</v>
      </c>
      <c r="H62" s="77">
        <f>'KB 20'!E$83+'KB 20'!E$96</f>
        <v>6983300</v>
      </c>
      <c r="I62" s="140">
        <f>'KB 20'!E$102</f>
        <v>34798500</v>
      </c>
      <c r="J62" s="77">
        <f>SUM('KB 20'!F$76:F$77,'KB 20'!F$89:F$90)</f>
        <v>16186060</v>
      </c>
      <c r="K62" s="77">
        <f t="shared" si="4"/>
        <v>12463640</v>
      </c>
      <c r="L62" s="77">
        <f>'KB 20'!F$83+'KB 20'!F$96</f>
        <v>6198800</v>
      </c>
      <c r="M62" s="140">
        <f>'KB 20'!F$102</f>
        <v>34848500</v>
      </c>
      <c r="N62" s="77">
        <f>SUM('KB 20'!G$76:G$77,'KB 20'!G$89:G$90)</f>
        <v>16690000</v>
      </c>
      <c r="O62" s="77">
        <f t="shared" si="5"/>
        <v>12800000</v>
      </c>
      <c r="P62" s="77">
        <f>'KB 20'!G$83+'KB 20'!G$96</f>
        <v>5368500</v>
      </c>
      <c r="Q62" s="140">
        <f>'KB 20'!G$102</f>
        <v>34858500</v>
      </c>
    </row>
    <row r="63" spans="1:17" s="101" customFormat="1" ht="15" hidden="1" customHeight="1" x14ac:dyDescent="0.2">
      <c r="A63" s="829" t="str">
        <f>'(B3) Struktura Funksionale'!B104</f>
        <v>08230</v>
      </c>
      <c r="B63" s="834" t="str">
        <f>'(B3) Struktura Funksionale'!C104</f>
        <v>Arti dhe kultura</v>
      </c>
      <c r="C63" s="143">
        <f>'KB 20'!B111</f>
        <v>0</v>
      </c>
      <c r="D63" s="143">
        <f>'KB 20'!C111</f>
        <v>0</v>
      </c>
      <c r="E63" s="143">
        <f>'KB 20'!D111</f>
        <v>0</v>
      </c>
      <c r="F63" s="77">
        <f>SUM('KB 20'!E$115:E$116,'KB 20'!E$128:E$129)</f>
        <v>0</v>
      </c>
      <c r="G63" s="77">
        <f t="shared" si="3"/>
        <v>0</v>
      </c>
      <c r="H63" s="77">
        <f>'KB 20'!E$122+'KB 20'!E$135</f>
        <v>0</v>
      </c>
      <c r="I63" s="140">
        <f>'KB 20'!E$141</f>
        <v>0</v>
      </c>
      <c r="J63" s="77">
        <f>SUM('KB 20'!F$115:F$116,'KB 20'!F$128:F$129)</f>
        <v>0</v>
      </c>
      <c r="K63" s="77">
        <f t="shared" si="4"/>
        <v>0</v>
      </c>
      <c r="L63" s="77">
        <f>'KB 20'!F$122+'KB 20'!F$135</f>
        <v>0</v>
      </c>
      <c r="M63" s="140">
        <f>'KB 20'!F$141</f>
        <v>0</v>
      </c>
      <c r="N63" s="77">
        <f>SUM('KB 20'!G$115:G$116,'KB 20'!G$128:G$129)</f>
        <v>0</v>
      </c>
      <c r="O63" s="77">
        <f t="shared" si="5"/>
        <v>0</v>
      </c>
      <c r="P63" s="77">
        <f>'KB 20'!G$122+'KB 20'!G$135</f>
        <v>0</v>
      </c>
      <c r="Q63" s="140">
        <f>'KB 20'!G$141</f>
        <v>0</v>
      </c>
    </row>
    <row r="64" spans="1:17" s="101" customFormat="1" ht="15" hidden="1" customHeight="1" x14ac:dyDescent="0.2">
      <c r="A64" s="829" t="str">
        <f>'(B3) Struktura Funksionale'!B105</f>
        <v>08280</v>
      </c>
      <c r="B64" s="834" t="str">
        <f>'(B3) Struktura Funksionale'!C105</f>
        <v xml:space="preserve">Muzetë, teatrot dhe eventet kulturore </v>
      </c>
      <c r="C64" s="143">
        <f>'KB 20'!B150</f>
        <v>0</v>
      </c>
      <c r="D64" s="143">
        <f>'KB 20'!C150</f>
        <v>0</v>
      </c>
      <c r="E64" s="143">
        <f>'KB 20'!D150</f>
        <v>0</v>
      </c>
      <c r="F64" s="77">
        <f>SUM('KB 20'!E$154:E$155,'KB 20'!E$167:E$168)</f>
        <v>0</v>
      </c>
      <c r="G64" s="77">
        <f t="shared" si="3"/>
        <v>0</v>
      </c>
      <c r="H64" s="77">
        <f>'KB 20'!E$161+'KB 20'!E$174</f>
        <v>0</v>
      </c>
      <c r="I64" s="140">
        <f>'KB 20'!E$180</f>
        <v>0</v>
      </c>
      <c r="J64" s="77">
        <f>SUM('KB 20'!F$154:F$155,'KB 20'!F$167:F$168)</f>
        <v>0</v>
      </c>
      <c r="K64" s="77">
        <f t="shared" si="4"/>
        <v>0</v>
      </c>
      <c r="L64" s="77">
        <f>'KB 20'!F$161+'KB 20'!F$174</f>
        <v>0</v>
      </c>
      <c r="M64" s="140">
        <f>'KB 20'!F$180</f>
        <v>0</v>
      </c>
      <c r="N64" s="77">
        <f>SUM('KB 20'!G$154:G$155,'KB 20'!G$167:G$168)</f>
        <v>0</v>
      </c>
      <c r="O64" s="77">
        <f t="shared" si="5"/>
        <v>0</v>
      </c>
      <c r="P64" s="77">
        <f>'KB 20'!G$161+'KB 20'!G$174</f>
        <v>0</v>
      </c>
      <c r="Q64" s="140">
        <f>'KB 20'!G$180</f>
        <v>0</v>
      </c>
    </row>
    <row r="65" spans="1:17" ht="15" customHeight="1" x14ac:dyDescent="0.2">
      <c r="A65" s="791" t="str">
        <f>'(B2) Struktura Organizative'!A27</f>
        <v>Nënfunksioni 21</v>
      </c>
      <c r="B65" s="833" t="str">
        <f>'(B2) Struktura Organizative'!B27</f>
        <v>091 Arsimi bazë dhe parashkollor</v>
      </c>
      <c r="C65" s="626">
        <f>'KB 21'!B$18</f>
        <v>162011189</v>
      </c>
      <c r="D65" s="626">
        <f>'KB 21'!C$18</f>
        <v>171800051</v>
      </c>
      <c r="E65" s="626">
        <f>'KB 21'!D$18</f>
        <v>216831061</v>
      </c>
      <c r="F65" s="627">
        <f>SUM('KB 21'!E$22:E$23,'KB 21'!E$35:E$36)</f>
        <v>161240000</v>
      </c>
      <c r="G65" s="627">
        <f t="shared" si="3"/>
        <v>48293000</v>
      </c>
      <c r="H65" s="627">
        <f>'KB 21'!E$29+'KB 21'!E$42</f>
        <v>1850000</v>
      </c>
      <c r="I65" s="628">
        <f>'KB 21'!E$48</f>
        <v>211383000</v>
      </c>
      <c r="J65" s="627">
        <f>SUM('KB 21'!F$22:F$23,'KB 21'!F$35:F$36)</f>
        <v>166075000</v>
      </c>
      <c r="K65" s="627">
        <f t="shared" si="4"/>
        <v>49747000</v>
      </c>
      <c r="L65" s="627">
        <f>'KB 21'!F$29+'KB 21'!F$42</f>
        <v>1900000</v>
      </c>
      <c r="M65" s="628">
        <f>'KB 21'!F$48</f>
        <v>217722000</v>
      </c>
      <c r="N65" s="627">
        <f>SUM('KB 21'!G$22:G$23,'KB 21'!G$35:G$36)</f>
        <v>171058000</v>
      </c>
      <c r="O65" s="627">
        <f t="shared" si="5"/>
        <v>51311000</v>
      </c>
      <c r="P65" s="627">
        <f>'KB 21'!G$29+'KB 21'!G$42</f>
        <v>2100000</v>
      </c>
      <c r="Q65" s="628">
        <f>'KB 21'!G$48</f>
        <v>224469000</v>
      </c>
    </row>
    <row r="66" spans="1:17" s="101" customFormat="1" ht="15" customHeight="1" x14ac:dyDescent="0.2">
      <c r="A66" s="829" t="str">
        <f>'(B3) Struktura Funksionale'!B109</f>
        <v>09120</v>
      </c>
      <c r="B66" s="834" t="str">
        <f>'(B3) Struktura Funksionale'!C109</f>
        <v>Arsimi bazë përfshirë arsimin parashkollor.</v>
      </c>
      <c r="C66" s="143">
        <f>'KB 21'!B72</f>
        <v>162011189</v>
      </c>
      <c r="D66" s="143">
        <f>'KB 21'!C72</f>
        <v>171800051</v>
      </c>
      <c r="E66" s="143">
        <f>'KB 21'!D72</f>
        <v>216831061</v>
      </c>
      <c r="F66" s="77">
        <f>SUM('KB 21'!E$76:E$77,'KB 21'!E$89:E$90)</f>
        <v>161240000</v>
      </c>
      <c r="G66" s="77">
        <f t="shared" si="3"/>
        <v>48293000</v>
      </c>
      <c r="H66" s="77">
        <f>'KB 21'!E$83+'KB 21'!E$96</f>
        <v>1850000</v>
      </c>
      <c r="I66" s="140">
        <f>'KB 21'!E$102</f>
        <v>211383000</v>
      </c>
      <c r="J66" s="77">
        <f>SUM('KB 21'!F$76:F$77,'KB 21'!F$89:F$90)</f>
        <v>166075000</v>
      </c>
      <c r="K66" s="77">
        <f t="shared" si="4"/>
        <v>49747000</v>
      </c>
      <c r="L66" s="77">
        <f>'KB 21'!F$83+'KB 21'!F$96</f>
        <v>1900000</v>
      </c>
      <c r="M66" s="140">
        <f>'KB 21'!F$102</f>
        <v>217722000</v>
      </c>
      <c r="N66" s="77">
        <f>SUM('KB 21'!G$76:G$77,'KB 21'!G$89:G$90)</f>
        <v>171058000</v>
      </c>
      <c r="O66" s="77">
        <f t="shared" si="5"/>
        <v>51311000</v>
      </c>
      <c r="P66" s="77">
        <f>'KB 21'!G$83+'KB 21'!G$96</f>
        <v>2100000</v>
      </c>
      <c r="Q66" s="140">
        <f>'KB 21'!G$102</f>
        <v>224469000</v>
      </c>
    </row>
    <row r="67" spans="1:17" s="101" customFormat="1" ht="15" customHeight="1" x14ac:dyDescent="0.2">
      <c r="A67" s="791" t="str">
        <f>'(B2) Struktura Organizative'!A28</f>
        <v>Nënfunksioni 22</v>
      </c>
      <c r="B67" s="833" t="str">
        <f>'(B2) Struktura Organizative'!B28</f>
        <v>092 Arsimi  parauniversitar</v>
      </c>
      <c r="C67" s="626">
        <f>'KB 22'!B$18</f>
        <v>28558839</v>
      </c>
      <c r="D67" s="626">
        <f>'KB 22'!C$18</f>
        <v>41191090</v>
      </c>
      <c r="E67" s="626">
        <f>'KB 22'!D$18</f>
        <v>23292569</v>
      </c>
      <c r="F67" s="627">
        <f>SUM('KB 22'!E$22:E$23,'KB 22'!E$35:E$36)</f>
        <v>9835000</v>
      </c>
      <c r="G67" s="627">
        <f t="shared" si="3"/>
        <v>0</v>
      </c>
      <c r="H67" s="627">
        <f>'KB 22'!E$29+'KB 22'!E$42</f>
        <v>0</v>
      </c>
      <c r="I67" s="628">
        <f>'KB 22'!E$48</f>
        <v>9835000</v>
      </c>
      <c r="J67" s="627">
        <f>SUM('KB 22'!F$22:F$23,'KB 22'!F$35:F$36)</f>
        <v>10130000</v>
      </c>
      <c r="K67" s="627">
        <f t="shared" si="4"/>
        <v>0</v>
      </c>
      <c r="L67" s="627">
        <f>'KB 22'!F$29+'KB 22'!F$42</f>
        <v>0</v>
      </c>
      <c r="M67" s="628">
        <f>'KB 22'!F$48</f>
        <v>10130000</v>
      </c>
      <c r="N67" s="627">
        <f>SUM('KB 22'!G$22:G$23,'KB 22'!G$35:G$36)</f>
        <v>10435000</v>
      </c>
      <c r="O67" s="627">
        <f t="shared" si="5"/>
        <v>0</v>
      </c>
      <c r="P67" s="627">
        <f>'KB 22'!G$29+'KB 22'!G$42</f>
        <v>0</v>
      </c>
      <c r="Q67" s="628">
        <f>'KB 22'!G$48</f>
        <v>10435000</v>
      </c>
    </row>
    <row r="68" spans="1:17" s="101" customFormat="1" ht="15" customHeight="1" x14ac:dyDescent="0.2">
      <c r="A68" s="829" t="str">
        <f>'(B3) Struktura Funksionale'!B114</f>
        <v>09230</v>
      </c>
      <c r="B68" s="834" t="str">
        <f>'(B3) Struktura Funksionale'!C114</f>
        <v>Arsimi i mesëm i përgjithshëm</v>
      </c>
      <c r="C68" s="143">
        <f>'KB 22'!B72</f>
        <v>28558839</v>
      </c>
      <c r="D68" s="143">
        <f>'KB 22'!C72</f>
        <v>41191090</v>
      </c>
      <c r="E68" s="143">
        <f>'KB 22'!D72</f>
        <v>23292569</v>
      </c>
      <c r="F68" s="77">
        <f>SUM('KB 22'!E$76:E$77,'KB 22'!E$89:E$90)</f>
        <v>9835000</v>
      </c>
      <c r="G68" s="77">
        <f t="shared" si="3"/>
        <v>0</v>
      </c>
      <c r="H68" s="77">
        <f>'KB 22'!E$83+'KB 22'!E$96</f>
        <v>0</v>
      </c>
      <c r="I68" s="140">
        <f>'KB 22'!E$102</f>
        <v>9835000</v>
      </c>
      <c r="J68" s="77">
        <f>SUM('KB 22'!F$76:F$77,'KB 22'!F$89:F$90)</f>
        <v>10130000</v>
      </c>
      <c r="K68" s="77">
        <f t="shared" si="4"/>
        <v>0</v>
      </c>
      <c r="L68" s="77">
        <f>'KB 22'!F$83+'KB 22'!F$96</f>
        <v>0</v>
      </c>
      <c r="M68" s="140">
        <f>'KB 22'!F$102</f>
        <v>10130000</v>
      </c>
      <c r="N68" s="77">
        <f>SUM('KB 22'!G$76:G$77,'KB 22'!G$89:G$90)</f>
        <v>10435000</v>
      </c>
      <c r="O68" s="77">
        <f t="shared" si="5"/>
        <v>0</v>
      </c>
      <c r="P68" s="77">
        <f>'KB 22'!G$83+'KB 22'!G$96</f>
        <v>0</v>
      </c>
      <c r="Q68" s="140">
        <f>'KB 22'!G$102</f>
        <v>10435000</v>
      </c>
    </row>
    <row r="69" spans="1:17" s="101" customFormat="1" ht="15" hidden="1" customHeight="1" x14ac:dyDescent="0.2">
      <c r="A69" s="829" t="str">
        <f>'(B3) Struktura Funksionale'!B115</f>
        <v>09232</v>
      </c>
      <c r="B69" s="834" t="str">
        <f>'(B3) Struktura Funksionale'!C115</f>
        <v>Pagat e stafit mbështetës</v>
      </c>
      <c r="C69" s="143">
        <f>'KB 22'!B111</f>
        <v>0</v>
      </c>
      <c r="D69" s="143">
        <f>'KB 22'!C111</f>
        <v>0</v>
      </c>
      <c r="E69" s="143">
        <f>'KB 22'!D111</f>
        <v>0</v>
      </c>
      <c r="F69" s="77">
        <f>SUM('KB 22'!E$115:E$116,'KB 22'!E$128:E$129)</f>
        <v>0</v>
      </c>
      <c r="G69" s="77">
        <f t="shared" si="3"/>
        <v>0</v>
      </c>
      <c r="H69" s="77">
        <f>'KB 22'!E$122+'KB 22'!E$135</f>
        <v>0</v>
      </c>
      <c r="I69" s="140">
        <f>'KB 22'!E$141</f>
        <v>0</v>
      </c>
      <c r="J69" s="77">
        <f>SUM('KB 22'!F$115:F$116,'KB 22'!F$128:F$129)</f>
        <v>0</v>
      </c>
      <c r="K69" s="77">
        <f t="shared" si="4"/>
        <v>0</v>
      </c>
      <c r="L69" s="77">
        <f>'KB 22'!F$122+'KB 22'!F$135</f>
        <v>0</v>
      </c>
      <c r="M69" s="140">
        <f>'KB 22'!F$141</f>
        <v>0</v>
      </c>
      <c r="N69" s="77">
        <f>SUM('KB 22'!G$115:G$116,'KB 22'!G$128:G$129)</f>
        <v>0</v>
      </c>
      <c r="O69" s="77">
        <f t="shared" si="5"/>
        <v>0</v>
      </c>
      <c r="P69" s="77">
        <f>'KB 22'!G$122+'KB 22'!G$135</f>
        <v>0</v>
      </c>
      <c r="Q69" s="140">
        <f>'KB 22'!G$141</f>
        <v>0</v>
      </c>
    </row>
    <row r="70" spans="1:17" s="101" customFormat="1" ht="15" customHeight="1" x14ac:dyDescent="0.2">
      <c r="A70" s="829" t="str">
        <f>'(B3) Struktura Funksionale'!B116</f>
        <v>09240</v>
      </c>
      <c r="B70" s="834" t="str">
        <f>'(B3) Struktura Funksionale'!C116</f>
        <v>Arsimi profesional</v>
      </c>
      <c r="C70" s="143">
        <f>'KB 22'!B150</f>
        <v>0</v>
      </c>
      <c r="D70" s="143">
        <f>'KB 22'!C150</f>
        <v>0</v>
      </c>
      <c r="E70" s="143">
        <f>'KB 22'!D150</f>
        <v>0</v>
      </c>
      <c r="F70" s="77">
        <f>SUM('KB 22'!E$154:E$155,'KB 22'!E$167:E$168)</f>
        <v>0</v>
      </c>
      <c r="G70" s="77">
        <f t="shared" si="3"/>
        <v>0</v>
      </c>
      <c r="H70" s="77">
        <f>'KB 22'!E$161+'KB 22'!E$174</f>
        <v>0</v>
      </c>
      <c r="I70" s="140">
        <f>'KB 22'!E$180</f>
        <v>0</v>
      </c>
      <c r="J70" s="77">
        <f>SUM('KB 22'!F$154:F$155,'KB 22'!F$167:F$168)</f>
        <v>0</v>
      </c>
      <c r="K70" s="77">
        <f t="shared" si="4"/>
        <v>0</v>
      </c>
      <c r="L70" s="77">
        <f>'KB 22'!F$161+'KB 22'!F$174</f>
        <v>0</v>
      </c>
      <c r="M70" s="140">
        <f>'KB 22'!F$180</f>
        <v>0</v>
      </c>
      <c r="N70" s="77">
        <f>SUM('KB 22'!G$154:G$155,'KB 22'!G$167:G$168)</f>
        <v>0</v>
      </c>
      <c r="O70" s="77">
        <f t="shared" si="5"/>
        <v>0</v>
      </c>
      <c r="P70" s="77">
        <f>'KB 22'!G$161+'KB 22'!G$174</f>
        <v>0</v>
      </c>
      <c r="Q70" s="140">
        <f>'KB 22'!G$180</f>
        <v>0</v>
      </c>
    </row>
    <row r="71" spans="1:17" s="101" customFormat="1" ht="15" customHeight="1" x14ac:dyDescent="0.2">
      <c r="A71" s="791" t="str">
        <f>'(B2) Struktura Organizative'!A29</f>
        <v>Nënfunksioni 23</v>
      </c>
      <c r="B71" s="833" t="str">
        <f>'(B2) Struktura Organizative'!B29</f>
        <v>101 Sëmundje dhe paaftësi</v>
      </c>
      <c r="C71" s="626">
        <f>'KB23'!B$18</f>
        <v>0</v>
      </c>
      <c r="D71" s="626">
        <f>'KB23'!C$18</f>
        <v>0</v>
      </c>
      <c r="E71" s="626">
        <f>'KB23'!D$18</f>
        <v>0</v>
      </c>
      <c r="F71" s="627">
        <f>SUM('KB23'!E$22:E$23,'KB23'!E$35:E$36)</f>
        <v>0</v>
      </c>
      <c r="G71" s="627">
        <f t="shared" si="3"/>
        <v>0</v>
      </c>
      <c r="H71" s="627">
        <f>'KB23'!E$29+'KB23'!E$42</f>
        <v>0</v>
      </c>
      <c r="I71" s="628">
        <f>'KB23'!E$48</f>
        <v>0</v>
      </c>
      <c r="J71" s="627">
        <f>SUM('KB23'!F$22:F$23,'KB23'!F$35:F$36)</f>
        <v>0</v>
      </c>
      <c r="K71" s="627">
        <f t="shared" si="4"/>
        <v>0</v>
      </c>
      <c r="L71" s="627">
        <f>'KB23'!F$29+'KB23'!F$42</f>
        <v>0</v>
      </c>
      <c r="M71" s="628">
        <f>'KB23'!F$48</f>
        <v>0</v>
      </c>
      <c r="N71" s="627">
        <f>SUM('KB23'!G$22:G$23,'KB23'!G$35:G$36)</f>
        <v>0</v>
      </c>
      <c r="O71" s="627">
        <f t="shared" si="5"/>
        <v>0</v>
      </c>
      <c r="P71" s="627">
        <f>'KB23'!G$29+'KB23'!G$42</f>
        <v>0</v>
      </c>
      <c r="Q71" s="628">
        <f>'KB23'!G$48</f>
        <v>0</v>
      </c>
    </row>
    <row r="72" spans="1:17" s="101" customFormat="1" ht="15" customHeight="1" x14ac:dyDescent="0.2">
      <c r="A72" s="829" t="str">
        <f>'(B3) Struktura Funksionale'!B124</f>
        <v>10140</v>
      </c>
      <c r="B72" s="834" t="str">
        <f>'(B3) Struktura Funksionale'!C124</f>
        <v>Kujdesi social për personat e sëmurë dhe me aftësi të kufizuara</v>
      </c>
      <c r="C72" s="143">
        <f>'KB23'!B72</f>
        <v>0</v>
      </c>
      <c r="D72" s="143">
        <f>'KB23'!C72</f>
        <v>0</v>
      </c>
      <c r="E72" s="143">
        <f>'KB23'!D72</f>
        <v>0</v>
      </c>
      <c r="F72" s="77">
        <f>SUM('KB23'!E$76:E$77,'KB23'!E$89:E$90)</f>
        <v>0</v>
      </c>
      <c r="G72" s="77">
        <f t="shared" si="3"/>
        <v>0</v>
      </c>
      <c r="H72" s="77">
        <f>'KB23'!E$83+'KB23'!E$96</f>
        <v>0</v>
      </c>
      <c r="I72" s="140">
        <f>'KB23'!E$102</f>
        <v>0</v>
      </c>
      <c r="J72" s="77">
        <f>SUM('KB23'!F$76:F$77,'KB23'!F$89:F$90)</f>
        <v>0</v>
      </c>
      <c r="K72" s="77">
        <f t="shared" si="4"/>
        <v>0</v>
      </c>
      <c r="L72" s="77">
        <f>'KB23'!F$83+'KB23'!F$96</f>
        <v>0</v>
      </c>
      <c r="M72" s="140">
        <f>'KB23'!F$102</f>
        <v>0</v>
      </c>
      <c r="N72" s="77">
        <f>SUM('KB23'!G$76:G$77,'KB23'!G$89:G$90)</f>
        <v>0</v>
      </c>
      <c r="O72" s="77">
        <f t="shared" si="5"/>
        <v>0</v>
      </c>
      <c r="P72" s="77">
        <f>'KB23'!G$83+'KB23'!G$96</f>
        <v>0</v>
      </c>
      <c r="Q72" s="140">
        <f>'KB23'!G$102</f>
        <v>0</v>
      </c>
    </row>
    <row r="73" spans="1:17" s="101" customFormat="1" ht="15" customHeight="1" x14ac:dyDescent="0.2">
      <c r="A73" s="791" t="str">
        <f>'(B2) Struktura Organizative'!A30</f>
        <v>Nënfunksioni 24</v>
      </c>
      <c r="B73" s="833" t="str">
        <f>'(B2) Struktura Organizative'!B30</f>
        <v>102 Të moshuarit</v>
      </c>
      <c r="C73" s="626">
        <f>'KB24'!B$18</f>
        <v>0</v>
      </c>
      <c r="D73" s="626">
        <f>'KB24'!C$18</f>
        <v>0</v>
      </c>
      <c r="E73" s="626">
        <f>'KB24'!D$18</f>
        <v>0</v>
      </c>
      <c r="F73" s="627">
        <f>SUM('KB24'!E$22:E$23,'KB24'!E$35:E$36)</f>
        <v>0</v>
      </c>
      <c r="G73" s="627">
        <f t="shared" si="3"/>
        <v>0</v>
      </c>
      <c r="H73" s="627">
        <f>'KB24'!E$29+'KB24'!E$42</f>
        <v>0</v>
      </c>
      <c r="I73" s="628">
        <f>'KB24'!E$48</f>
        <v>0</v>
      </c>
      <c r="J73" s="627">
        <f>SUM('KB24'!F$22:F$23,'KB24'!F$35:F$36)</f>
        <v>0</v>
      </c>
      <c r="K73" s="627">
        <f t="shared" si="4"/>
        <v>0</v>
      </c>
      <c r="L73" s="627">
        <f>'KB24'!F$29+'KB24'!F$42</f>
        <v>0</v>
      </c>
      <c r="M73" s="628">
        <f>'KB24'!F$48</f>
        <v>0</v>
      </c>
      <c r="N73" s="627">
        <f>SUM('KB24'!G$22:G$23,'KB24'!G$35:G$36)</f>
        <v>0</v>
      </c>
      <c r="O73" s="627">
        <f t="shared" si="5"/>
        <v>0</v>
      </c>
      <c r="P73" s="627">
        <f>'KB24'!G$29+'KB24'!G$42</f>
        <v>0</v>
      </c>
      <c r="Q73" s="628">
        <f>'KB24'!G$48</f>
        <v>0</v>
      </c>
    </row>
    <row r="74" spans="1:17" s="101" customFormat="1" ht="15" customHeight="1" x14ac:dyDescent="0.2">
      <c r="A74" s="829" t="str">
        <f>'(B3) Struktura Funksionale'!B128</f>
        <v>10220</v>
      </c>
      <c r="B74" s="834" t="str">
        <f>'(B3) Struktura Funksionale'!C128</f>
        <v>Sigurimi shoqëror</v>
      </c>
      <c r="C74" s="143">
        <f>'KB24'!B72</f>
        <v>0</v>
      </c>
      <c r="D74" s="143">
        <f>'KB24'!C72</f>
        <v>0</v>
      </c>
      <c r="E74" s="143">
        <f>'KB24'!D72</f>
        <v>0</v>
      </c>
      <c r="F74" s="77">
        <f>SUM('KB24'!E$76:E$77,'KB24'!E$89:E$90)</f>
        <v>0</v>
      </c>
      <c r="G74" s="77">
        <f t="shared" si="3"/>
        <v>0</v>
      </c>
      <c r="H74" s="77">
        <f>'KB24'!E$83+'KB24'!E$96</f>
        <v>0</v>
      </c>
      <c r="I74" s="140">
        <f>'KB24'!E$102</f>
        <v>0</v>
      </c>
      <c r="J74" s="77">
        <f>SUM('KB24'!F$76:F$77,'KB24'!F$89:F$90)</f>
        <v>0</v>
      </c>
      <c r="K74" s="77">
        <f t="shared" si="4"/>
        <v>0</v>
      </c>
      <c r="L74" s="77">
        <f>'KB24'!F$83+'KB24'!F$96</f>
        <v>0</v>
      </c>
      <c r="M74" s="140">
        <f>'KB24'!F$102</f>
        <v>0</v>
      </c>
      <c r="N74" s="77">
        <f>SUM('KB24'!G$76:G$77,'KB24'!G$89:G$90)</f>
        <v>0</v>
      </c>
      <c r="O74" s="77">
        <f t="shared" si="5"/>
        <v>0</v>
      </c>
      <c r="P74" s="77">
        <f>'KB24'!G$83+'KB24'!G$96</f>
        <v>0</v>
      </c>
      <c r="Q74" s="140">
        <f>'KB24'!G$102</f>
        <v>0</v>
      </c>
    </row>
    <row r="75" spans="1:17" s="101" customFormat="1" ht="15" customHeight="1" x14ac:dyDescent="0.2">
      <c r="A75" s="791" t="str">
        <f>'(B2) Struktura Organizative'!A31</f>
        <v>Nënfunksioni 25</v>
      </c>
      <c r="B75" s="833" t="str">
        <f>'(B2) Struktura Organizative'!B31</f>
        <v>104 Familje dhe fëmijë</v>
      </c>
      <c r="C75" s="626">
        <f>'KB25'!B$18</f>
        <v>754931278</v>
      </c>
      <c r="D75" s="626">
        <f>'KB25'!C$18</f>
        <v>937920190</v>
      </c>
      <c r="E75" s="626">
        <f>'KB25'!D$18</f>
        <v>940463352</v>
      </c>
      <c r="F75" s="627">
        <f>SUM('KB25'!E$22:E$23,'KB25'!E$35:E$36)</f>
        <v>6347000</v>
      </c>
      <c r="G75" s="627">
        <f t="shared" si="3"/>
        <v>951442000</v>
      </c>
      <c r="H75" s="627">
        <f>'KB25'!E$29+'KB25'!E$42</f>
        <v>0</v>
      </c>
      <c r="I75" s="628">
        <f>'KB25'!E$48</f>
        <v>957789000</v>
      </c>
      <c r="J75" s="627">
        <f>SUM('KB25'!F$22:F$23,'KB25'!F$35:F$36)</f>
        <v>6347000</v>
      </c>
      <c r="K75" s="627">
        <f t="shared" si="4"/>
        <v>951442000</v>
      </c>
      <c r="L75" s="627">
        <f>'KB25'!F$29+'KB25'!F$42</f>
        <v>0</v>
      </c>
      <c r="M75" s="628">
        <f>'KB25'!F$48</f>
        <v>957789000</v>
      </c>
      <c r="N75" s="627">
        <f>SUM('KB25'!G$22:G$23,'KB25'!G$35:G$36)</f>
        <v>6347000</v>
      </c>
      <c r="O75" s="627">
        <f t="shared" si="5"/>
        <v>951442000</v>
      </c>
      <c r="P75" s="627">
        <f>'KB25'!G$29+'KB25'!G$42</f>
        <v>0</v>
      </c>
      <c r="Q75" s="628">
        <f>'KB25'!G$48</f>
        <v>957789000</v>
      </c>
    </row>
    <row r="76" spans="1:17" s="101" customFormat="1" ht="15" customHeight="1" x14ac:dyDescent="0.2">
      <c r="A76" s="829" t="str">
        <f>'(B3) Struktura Funksionale'!B132</f>
        <v>10430</v>
      </c>
      <c r="B76" s="834" t="str">
        <f>'(B3) Struktura Funksionale'!C132</f>
        <v>Kujdesi social për familjet dhe fëmijët</v>
      </c>
      <c r="C76" s="143">
        <f>'KB25'!B72</f>
        <v>754931278</v>
      </c>
      <c r="D76" s="143">
        <f>'KB25'!C72</f>
        <v>937920190</v>
      </c>
      <c r="E76" s="143">
        <f>'KB25'!D72</f>
        <v>940463352</v>
      </c>
      <c r="F76" s="77">
        <f>SUM('KB25'!E$76:E$77,'KB25'!E$89:E$90)</f>
        <v>6347000</v>
      </c>
      <c r="G76" s="77">
        <f t="shared" si="3"/>
        <v>951442000</v>
      </c>
      <c r="H76" s="77">
        <f>'KB25'!E$83+'KB25'!E$96</f>
        <v>0</v>
      </c>
      <c r="I76" s="140">
        <f>'KB25'!E$102</f>
        <v>957789000</v>
      </c>
      <c r="J76" s="77">
        <f>SUM('KB25'!F$76:F$77,'KB25'!F$89:F$90)</f>
        <v>6347000</v>
      </c>
      <c r="K76" s="77">
        <f t="shared" si="4"/>
        <v>951442000</v>
      </c>
      <c r="L76" s="77">
        <f>'KB25'!F$83+'KB25'!F$96</f>
        <v>0</v>
      </c>
      <c r="M76" s="140">
        <f>'KB25'!F$102</f>
        <v>957789000</v>
      </c>
      <c r="N76" s="77">
        <f>SUM('KB25'!G$76:G$77,'KB25'!G$89:G$90)</f>
        <v>6347000</v>
      </c>
      <c r="O76" s="77">
        <f t="shared" si="5"/>
        <v>951442000</v>
      </c>
      <c r="P76" s="77">
        <f>'KB25'!G$83+'KB25'!G$96</f>
        <v>0</v>
      </c>
      <c r="Q76" s="140">
        <f>'KB25'!G$102</f>
        <v>957789000</v>
      </c>
    </row>
    <row r="77" spans="1:17" s="101" customFormat="1" ht="15" hidden="1" customHeight="1" x14ac:dyDescent="0.2">
      <c r="A77" s="829" t="str">
        <f>'(B3) Struktura Funksionale'!B133</f>
        <v>10460</v>
      </c>
      <c r="B77" s="834" t="str">
        <f>'(B3) Struktura Funksionale'!C133</f>
        <v>Përfshirja sociale</v>
      </c>
      <c r="C77" s="143">
        <f>'KB25'!B111</f>
        <v>0</v>
      </c>
      <c r="D77" s="143">
        <f>'KB25'!C111</f>
        <v>0</v>
      </c>
      <c r="E77" s="143">
        <f>'KB25'!D111</f>
        <v>0</v>
      </c>
      <c r="F77" s="77">
        <f>SUM('KB25'!E$115:E$116,'KB25'!E$128:E$129)</f>
        <v>0</v>
      </c>
      <c r="G77" s="77">
        <f t="shared" si="3"/>
        <v>0</v>
      </c>
      <c r="H77" s="77">
        <f>'KB25'!E$122+'KB25'!E$135</f>
        <v>0</v>
      </c>
      <c r="I77" s="140">
        <f>'KB25'!E$141</f>
        <v>0</v>
      </c>
      <c r="J77" s="77">
        <f>SUM('KB25'!F$115:F$116,'KB25'!F$128:F$129)</f>
        <v>0</v>
      </c>
      <c r="K77" s="77">
        <f t="shared" si="4"/>
        <v>0</v>
      </c>
      <c r="L77" s="77">
        <f>'KB25'!F$122+'KB25'!F$135</f>
        <v>0</v>
      </c>
      <c r="M77" s="140">
        <f>'KB25'!F$141</f>
        <v>0</v>
      </c>
      <c r="N77" s="77">
        <f>SUM('KB25'!G$115:G$116,'KB25'!G$128:G$129)</f>
        <v>0</v>
      </c>
      <c r="O77" s="77">
        <f t="shared" si="5"/>
        <v>0</v>
      </c>
      <c r="P77" s="77">
        <f>'KB25'!G$122+'KB25'!G$135</f>
        <v>0</v>
      </c>
      <c r="Q77" s="140">
        <f>'KB25'!G$141</f>
        <v>0</v>
      </c>
    </row>
    <row r="78" spans="1:17" s="101" customFormat="1" ht="15" customHeight="1" x14ac:dyDescent="0.2">
      <c r="A78" s="791" t="str">
        <f>'(B2) Struktura Organizative'!A32</f>
        <v>Nënfunksioni 26</v>
      </c>
      <c r="B78" s="833" t="str">
        <f>'(B2) Struktura Organizative'!B32</f>
        <v>105 Papunësia</v>
      </c>
      <c r="C78" s="626">
        <f>'KB26'!B$18</f>
        <v>0</v>
      </c>
      <c r="D78" s="626">
        <f>'KB26'!C$18</f>
        <v>0</v>
      </c>
      <c r="E78" s="626">
        <f>'KB26'!D$18</f>
        <v>0</v>
      </c>
      <c r="F78" s="627">
        <f>SUM('KB26'!E$22:E$23,'KB26'!E$35:E$36)</f>
        <v>0</v>
      </c>
      <c r="G78" s="627">
        <f t="shared" si="3"/>
        <v>0</v>
      </c>
      <c r="H78" s="627">
        <f>'KB26'!E$29+'KB26'!E$42</f>
        <v>0</v>
      </c>
      <c r="I78" s="628">
        <f>'KB26'!E$48</f>
        <v>0</v>
      </c>
      <c r="J78" s="627">
        <f>SUM('KB26'!F$22:F$23,'KB26'!F$35:F$36)</f>
        <v>0</v>
      </c>
      <c r="K78" s="627">
        <f t="shared" si="4"/>
        <v>0</v>
      </c>
      <c r="L78" s="627">
        <f>'KB26'!F$29+'KB26'!F$42</f>
        <v>0</v>
      </c>
      <c r="M78" s="628">
        <f>'KB26'!F$48</f>
        <v>0</v>
      </c>
      <c r="N78" s="627">
        <f>SUM('KB26'!G$22:G$23,'KB26'!G$35:G$36)</f>
        <v>0</v>
      </c>
      <c r="O78" s="627">
        <f t="shared" si="5"/>
        <v>0</v>
      </c>
      <c r="P78" s="627">
        <f>'KB26'!G$29+'KB26'!G$42</f>
        <v>0</v>
      </c>
      <c r="Q78" s="628">
        <f>'KB26'!G$48</f>
        <v>0</v>
      </c>
    </row>
    <row r="79" spans="1:17" s="101" customFormat="1" ht="15" customHeight="1" x14ac:dyDescent="0.2">
      <c r="A79" s="829" t="str">
        <f>'(B3) Struktura Funksionale'!B136</f>
        <v>10550</v>
      </c>
      <c r="B79" s="834" t="str">
        <f>'(B3) Struktura Funksionale'!C136</f>
        <v>Papunësia, arsim dhe aftësim</v>
      </c>
      <c r="C79" s="143">
        <f>'KB26'!B72</f>
        <v>0</v>
      </c>
      <c r="D79" s="143">
        <f>'KB26'!C72</f>
        <v>0</v>
      </c>
      <c r="E79" s="143">
        <f>'KB26'!D72</f>
        <v>0</v>
      </c>
      <c r="F79" s="77">
        <f>SUM('KB26'!E$76:E$77,'KB26'!E$89:E$90)</f>
        <v>0</v>
      </c>
      <c r="G79" s="77">
        <f t="shared" si="3"/>
        <v>0</v>
      </c>
      <c r="H79" s="77">
        <f>'KB26'!E$83+'KB26'!E$96</f>
        <v>0</v>
      </c>
      <c r="I79" s="140">
        <f>'KB26'!E$102</f>
        <v>0</v>
      </c>
      <c r="J79" s="77">
        <f>SUM('KB26'!F$76:F$77,'KB26'!F$89:F$90)</f>
        <v>0</v>
      </c>
      <c r="K79" s="77">
        <f t="shared" si="4"/>
        <v>0</v>
      </c>
      <c r="L79" s="77">
        <f>'KB26'!F$83+'KB26'!F$96</f>
        <v>0</v>
      </c>
      <c r="M79" s="140">
        <f>'KB26'!F$102</f>
        <v>0</v>
      </c>
      <c r="N79" s="77">
        <f>SUM('KB26'!G$76:G$77,'KB26'!G$89:G$90)</f>
        <v>0</v>
      </c>
      <c r="O79" s="77">
        <f t="shared" si="5"/>
        <v>0</v>
      </c>
      <c r="P79" s="77">
        <f>'KB26'!G$83+'KB26'!G$96</f>
        <v>0</v>
      </c>
      <c r="Q79" s="140">
        <f>'KB26'!G$102</f>
        <v>0</v>
      </c>
    </row>
    <row r="80" spans="1:17" s="101" customFormat="1" ht="15" customHeight="1" x14ac:dyDescent="0.2">
      <c r="A80" s="791" t="str">
        <f>'(B2) Struktura Organizative'!A33</f>
        <v>Nënfunksioni 27</v>
      </c>
      <c r="B80" s="833" t="str">
        <f>'(B2) Struktura Organizative'!B33</f>
        <v>106 Strehimi social</v>
      </c>
      <c r="C80" s="626">
        <f>'KB27'!B$18</f>
        <v>0</v>
      </c>
      <c r="D80" s="626">
        <f>'KB27'!C$18</f>
        <v>0</v>
      </c>
      <c r="E80" s="626">
        <f>'KB27'!D$18</f>
        <v>0</v>
      </c>
      <c r="F80" s="627">
        <f>SUM('KB27'!E$22:E$23,'KB27'!E$35:E$36)</f>
        <v>0</v>
      </c>
      <c r="G80" s="627">
        <f t="shared" si="3"/>
        <v>0</v>
      </c>
      <c r="H80" s="627">
        <f>'KB27'!E$29+'KB27'!E$42</f>
        <v>0</v>
      </c>
      <c r="I80" s="628">
        <f>'KB27'!E$48</f>
        <v>0</v>
      </c>
      <c r="J80" s="627">
        <f>SUM('KB27'!F$22:F$23,'KB27'!F$35:F$36)</f>
        <v>0</v>
      </c>
      <c r="K80" s="627">
        <f t="shared" si="4"/>
        <v>0</v>
      </c>
      <c r="L80" s="627">
        <f>'KB27'!F$29+'KB27'!F$42</f>
        <v>0</v>
      </c>
      <c r="M80" s="628">
        <f>'KB27'!F$48</f>
        <v>0</v>
      </c>
      <c r="N80" s="627">
        <f>SUM('KB27'!G$22:G$23,'KB27'!G$35:G$36)</f>
        <v>0</v>
      </c>
      <c r="O80" s="627">
        <f t="shared" si="5"/>
        <v>0</v>
      </c>
      <c r="P80" s="627">
        <f>'KB27'!G$29+'KB27'!G$42</f>
        <v>0</v>
      </c>
      <c r="Q80" s="628">
        <f>'KB27'!G$48</f>
        <v>0</v>
      </c>
    </row>
    <row r="81" spans="1:17" s="101" customFormat="1" ht="15" customHeight="1" x14ac:dyDescent="0.2">
      <c r="A81" s="829" t="str">
        <f>'(B3) Struktura Funksionale'!B140</f>
        <v>10661</v>
      </c>
      <c r="B81" s="834" t="str">
        <f>'(B3) Struktura Funksionale'!C140</f>
        <v>Strehimi social</v>
      </c>
      <c r="C81" s="143">
        <f>'KB27'!B72</f>
        <v>0</v>
      </c>
      <c r="D81" s="143">
        <f>'KB27'!C72</f>
        <v>0</v>
      </c>
      <c r="E81" s="143">
        <f>'KB27'!D72</f>
        <v>0</v>
      </c>
      <c r="F81" s="77">
        <f>SUM('KB27'!E$76:E$77,'KB27'!E$89:E$90)</f>
        <v>0</v>
      </c>
      <c r="G81" s="77">
        <f t="shared" si="3"/>
        <v>0</v>
      </c>
      <c r="H81" s="77">
        <f>'KB27'!E$83+'KB27'!E$96</f>
        <v>0</v>
      </c>
      <c r="I81" s="140">
        <f>'KB27'!E$102</f>
        <v>0</v>
      </c>
      <c r="J81" s="77">
        <f>SUM('KB27'!F$76:F$77,'KB27'!F$89:F$90)</f>
        <v>0</v>
      </c>
      <c r="K81" s="77">
        <f t="shared" si="4"/>
        <v>0</v>
      </c>
      <c r="L81" s="77">
        <f>'KB27'!F$83+'KB27'!F$96</f>
        <v>0</v>
      </c>
      <c r="M81" s="140">
        <f>'KB27'!F$102</f>
        <v>0</v>
      </c>
      <c r="N81" s="77">
        <f>SUM('KB27'!G$76:G$77,'KB27'!G$89:G$90)</f>
        <v>0</v>
      </c>
      <c r="O81" s="77">
        <f t="shared" si="5"/>
        <v>0</v>
      </c>
      <c r="P81" s="77">
        <f>'KB27'!G$83+'KB27'!G$96</f>
        <v>0</v>
      </c>
      <c r="Q81" s="140">
        <f>'KB27'!G$102</f>
        <v>0</v>
      </c>
    </row>
    <row r="82" spans="1:17" s="101" customFormat="1" ht="15" customHeight="1" x14ac:dyDescent="0.2">
      <c r="A82" s="1131" t="str">
        <f>'(G1) Fjalori'!A751</f>
        <v>TOTALI I FONDEVE REZERVE + KONTIGJENCË</v>
      </c>
      <c r="B82" s="1133"/>
      <c r="C82" s="652"/>
      <c r="D82" s="653"/>
      <c r="E82" s="654"/>
      <c r="F82" s="1131"/>
      <c r="G82" s="1132"/>
      <c r="H82" s="631"/>
      <c r="I82" s="630">
        <f>'(D1) Tavanet buxhetore'!C494</f>
        <v>23729331.258680001</v>
      </c>
      <c r="J82" s="1131"/>
      <c r="K82" s="1132"/>
      <c r="L82" s="631"/>
      <c r="M82" s="630">
        <f>'(D1) Tavanet buxhetore'!D494</f>
        <v>23163619.133885641</v>
      </c>
      <c r="N82" s="1131"/>
      <c r="O82" s="1132"/>
      <c r="P82" s="631"/>
      <c r="Q82" s="630">
        <f>'(D1) Tavanet buxhetore'!E494</f>
        <v>23346806.474902656</v>
      </c>
    </row>
    <row r="83" spans="1:17" s="792" customFormat="1" ht="15" customHeight="1" x14ac:dyDescent="0.2">
      <c r="A83" s="1433" t="str">
        <f>'(G1) Fjalori'!A426</f>
        <v>Totali</v>
      </c>
      <c r="B83" s="1433"/>
      <c r="C83" s="836">
        <f>C6+C10+C14+C16+C18+C20+C25+C30+C34+C37+C39+C41+C43+C46+C49+C52+C54+C56+C58+C61+C65+C67+C71+C73+C75+C78+C80+C82</f>
        <v>1519965155</v>
      </c>
      <c r="D83" s="836">
        <f t="shared" ref="D83:Q83" si="6">D6+D10+D14+D16+D18+D20+D25+D30+D34+D37+D39+D41+D43+D46+D49+D52+D54+D56+D58+D61+D65+D67+D71+D73+D75+D78+D80+D82</f>
        <v>1822305984</v>
      </c>
      <c r="E83" s="836">
        <f t="shared" si="6"/>
        <v>2351787988</v>
      </c>
      <c r="F83" s="836">
        <f t="shared" si="6"/>
        <v>513772002</v>
      </c>
      <c r="G83" s="836">
        <f t="shared" si="6"/>
        <v>1377355658</v>
      </c>
      <c r="H83" s="836">
        <f t="shared" si="6"/>
        <v>270280988</v>
      </c>
      <c r="I83" s="836">
        <f t="shared" si="6"/>
        <v>2185137979.2586799</v>
      </c>
      <c r="J83" s="836">
        <f t="shared" si="6"/>
        <v>526504214</v>
      </c>
      <c r="K83" s="836">
        <f t="shared" si="6"/>
        <v>1383867996</v>
      </c>
      <c r="L83" s="836">
        <f t="shared" si="6"/>
        <v>209417260</v>
      </c>
      <c r="M83" s="836">
        <f t="shared" si="6"/>
        <v>2142953089.1338856</v>
      </c>
      <c r="N83" s="836">
        <f t="shared" si="6"/>
        <v>539464177</v>
      </c>
      <c r="O83" s="836">
        <f t="shared" si="6"/>
        <v>1400202873</v>
      </c>
      <c r="P83" s="836">
        <f t="shared" si="6"/>
        <v>209773423</v>
      </c>
      <c r="Q83" s="836">
        <f t="shared" si="6"/>
        <v>2172787279.4749026</v>
      </c>
    </row>
  </sheetData>
  <sheetProtection selectLockedCells="1"/>
  <mergeCells count="9">
    <mergeCell ref="A83:B83"/>
    <mergeCell ref="A1:Q1"/>
    <mergeCell ref="F3:I4"/>
    <mergeCell ref="J3:M4"/>
    <mergeCell ref="N3:Q4"/>
    <mergeCell ref="A82:B82"/>
    <mergeCell ref="F82:G82"/>
    <mergeCell ref="J82:K82"/>
    <mergeCell ref="N82:O82"/>
  </mergeCells>
  <pageMargins left="0.22" right="0.19" top="0.74803149606299202" bottom="0.74803149606299202" header="0.31496062992126" footer="0.31496062992126"/>
  <pageSetup paperSize="9" scale="57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1" manualBreakCount="1">
    <brk id="158" max="1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tabColor rgb="FF92D050"/>
  </sheetPr>
  <dimension ref="A1:J33"/>
  <sheetViews>
    <sheetView showGridLines="0" topLeftCell="A19" workbookViewId="0">
      <selection activeCell="G66" sqref="G66"/>
    </sheetView>
  </sheetViews>
  <sheetFormatPr defaultColWidth="4.140625" defaultRowHeight="12.75" x14ac:dyDescent="0.2"/>
  <cols>
    <col min="1" max="1" width="4.140625" style="42"/>
    <col min="2" max="2" width="15.42578125" style="42" customWidth="1"/>
    <col min="3" max="3" width="21.85546875" style="42" customWidth="1"/>
    <col min="4" max="4" width="15.28515625" style="101" customWidth="1"/>
    <col min="5" max="5" width="15.28515625" style="42" customWidth="1"/>
    <col min="6" max="6" width="15.28515625" style="42" customWidth="1" collapsed="1"/>
    <col min="7" max="7" width="22" style="42" customWidth="1"/>
    <col min="8" max="9" width="15.28515625" style="42" customWidth="1"/>
    <col min="10" max="10" width="13.28515625" style="42" customWidth="1"/>
    <col min="11" max="195" width="11.5703125" style="42" customWidth="1"/>
    <col min="196" max="196" width="3.85546875" style="42" customWidth="1"/>
    <col min="197" max="197" width="22" style="42" customWidth="1"/>
    <col min="198" max="200" width="4.140625" style="42" customWidth="1"/>
    <col min="201" max="201" width="5.85546875" style="42" customWidth="1"/>
    <col min="202" max="202" width="4.140625" style="42" customWidth="1"/>
    <col min="203" max="203" width="0.85546875" style="42" customWidth="1"/>
    <col min="204" max="204" width="5.85546875" style="42" customWidth="1"/>
    <col min="205" max="205" width="4.140625" style="42" customWidth="1"/>
    <col min="206" max="206" width="0.85546875" style="42" customWidth="1"/>
    <col min="207" max="207" width="5.85546875" style="42" customWidth="1"/>
    <col min="208" max="208" width="4.140625" style="42" customWidth="1"/>
    <col min="209" max="209" width="0.85546875" style="42" customWidth="1"/>
    <col min="210" max="210" width="5.85546875" style="42" customWidth="1"/>
    <col min="211" max="16384" width="4.140625" style="42"/>
  </cols>
  <sheetData>
    <row r="1" spans="1:10" s="212" customFormat="1" ht="21" x14ac:dyDescent="0.25">
      <c r="A1" s="1181" t="str">
        <f>'(G1) Fjalori'!A423:A423</f>
        <v>(F3) GRAFIKU I SHPENZIMEVE SIPAS NËNFUNKSIONIT - VLERA BRUTO</v>
      </c>
      <c r="B1" s="1181"/>
      <c r="C1" s="1181"/>
      <c r="D1" s="1181"/>
      <c r="E1" s="1181"/>
      <c r="F1" s="1181"/>
      <c r="G1" s="1181"/>
      <c r="H1" s="1181"/>
      <c r="I1" s="1181"/>
      <c r="J1" s="1181"/>
    </row>
    <row r="2" spans="1:10" s="4" customFormat="1" ht="27" customHeight="1" x14ac:dyDescent="0.2">
      <c r="D2" s="95"/>
      <c r="I2" s="6"/>
    </row>
    <row r="3" spans="1:10" ht="15" customHeight="1" x14ac:dyDescent="0.2">
      <c r="D3" s="44">
        <f>'(F2) Shpenzimet sipas nenfunk.b'!C3</f>
        <v>2019</v>
      </c>
      <c r="E3" s="44">
        <f>'(F2) Shpenzimet sipas nenfunk.b'!D3</f>
        <v>2020</v>
      </c>
      <c r="F3" s="44">
        <f>'(F2) Shpenzimet sipas nenfunk.b'!E3</f>
        <v>2021</v>
      </c>
      <c r="G3" s="1437">
        <f>'(F2) Shpenzimet sipas nenfunk.b'!F3</f>
        <v>2022</v>
      </c>
      <c r="H3" s="1437">
        <f>'(F2) Shpenzimet sipas nenfunk.b'!J3</f>
        <v>2023</v>
      </c>
      <c r="I3" s="1437">
        <f>'(F2) Shpenzimet sipas nenfunk.b'!N3</f>
        <v>2024</v>
      </c>
    </row>
    <row r="4" spans="1:10" s="46" customFormat="1" ht="21" customHeight="1" x14ac:dyDescent="0.25">
      <c r="B4" s="45"/>
      <c r="C4" s="45"/>
      <c r="D4" s="141" t="s">
        <v>32</v>
      </c>
      <c r="E4" s="141" t="s">
        <v>32</v>
      </c>
      <c r="F4" s="142" t="s">
        <v>33</v>
      </c>
      <c r="G4" s="1437"/>
      <c r="H4" s="1437"/>
      <c r="I4" s="1437"/>
    </row>
    <row r="5" spans="1:10" s="104" customFormat="1" ht="61.5" customHeight="1" x14ac:dyDescent="0.25">
      <c r="B5" s="103"/>
      <c r="C5" s="103"/>
      <c r="D5" s="144" t="str">
        <f>'(F2) Shpenzimet sipas nenfunk.b'!C5</f>
        <v>SHPENZIME TË PRITSHME</v>
      </c>
      <c r="E5" s="144" t="str">
        <f>'(F2) Shpenzimet sipas nenfunk.b'!D5</f>
        <v>SHPENZIME TË PRITSHME</v>
      </c>
      <c r="F5" s="144" t="str">
        <f>'(F2) Shpenzimet sipas nenfunk.b'!E5</f>
        <v>SHPENZIME TË PRITSHME</v>
      </c>
      <c r="G5" s="145" t="str">
        <f>'(F2) Shpenzimet sipas nenfunk.b'!I5</f>
        <v>SHPENZIME TË PRITSHME</v>
      </c>
      <c r="H5" s="145" t="str">
        <f>'(F2) Shpenzimet sipas nenfunk.b'!M5</f>
        <v>SHPENZIME TË PRITSHME</v>
      </c>
      <c r="I5" s="145" t="str">
        <f>G5</f>
        <v>SHPENZIME TË PRITSHME</v>
      </c>
    </row>
    <row r="6" spans="1:10" ht="13.5" customHeight="1" x14ac:dyDescent="0.2">
      <c r="B6" s="19" t="str">
        <f>'(F2) Shpenzimet sipas nenfunk.b'!A6</f>
        <v>Nënfunksioni 1</v>
      </c>
      <c r="C6" s="188" t="str">
        <f>'(F2) Shpenzimet sipas nenfunk.b'!B6</f>
        <v>011 Organet ekzekutive dhe legjislative, për çështjet financiare dhe fiskale, çështjet e brendshme</v>
      </c>
      <c r="D6" s="146">
        <f>'(F2) Shpenzimet sipas nenfunk.b'!C6</f>
        <v>196792965</v>
      </c>
      <c r="E6" s="146">
        <f>'(F2) Shpenzimet sipas nenfunk.b'!D6</f>
        <v>310542368</v>
      </c>
      <c r="F6" s="146">
        <f>'(F2) Shpenzimet sipas nenfunk.b'!E6</f>
        <v>431325564</v>
      </c>
      <c r="G6" s="147">
        <f>'(F2) Shpenzimet sipas nenfunk.b'!I6</f>
        <v>378732688</v>
      </c>
      <c r="H6" s="147">
        <f>'(F2) Shpenzimet sipas nenfunk.b'!M6</f>
        <v>320188860</v>
      </c>
      <c r="I6" s="147">
        <f>'(F2) Shpenzimet sipas nenfunk.b'!Q6</f>
        <v>319549283</v>
      </c>
    </row>
    <row r="7" spans="1:10" ht="13.5" customHeight="1" x14ac:dyDescent="0.2">
      <c r="B7" s="188" t="str">
        <f>'(F2) Shpenzimet sipas nenfunk.b'!A10</f>
        <v>Nënfunksioni 2</v>
      </c>
      <c r="C7" s="188" t="str">
        <f>'(F2) Shpenzimet sipas nenfunk.b'!B10</f>
        <v>017 Shërbime të  huamarrjes vendore</v>
      </c>
      <c r="D7" s="146">
        <f>'(F2) Shpenzimet sipas nenfunk.b'!C10</f>
        <v>4415703</v>
      </c>
      <c r="E7" s="146">
        <f>'(F2) Shpenzimet sipas nenfunk.b'!D10</f>
        <v>5108041</v>
      </c>
      <c r="F7" s="146">
        <f>'(F2) Shpenzimet sipas nenfunk.b'!E10</f>
        <v>900000</v>
      </c>
      <c r="G7" s="147">
        <f>'(F2) Shpenzimet sipas nenfunk.b'!I10</f>
        <v>0</v>
      </c>
      <c r="H7" s="147">
        <f>'(F2) Shpenzimet sipas nenfunk.b'!M10</f>
        <v>0</v>
      </c>
      <c r="I7" s="147">
        <f>'(F2) Shpenzimet sipas nenfunk.b'!Q10</f>
        <v>0</v>
      </c>
    </row>
    <row r="8" spans="1:10" ht="13.5" customHeight="1" x14ac:dyDescent="0.2">
      <c r="B8" s="188" t="str">
        <f>'(F2) Shpenzimet sipas nenfunk.b'!A14</f>
        <v>Nënfunksioni 3</v>
      </c>
      <c r="C8" s="188" t="str">
        <f>'(F2) Shpenzimet sipas nenfunk.b'!B14</f>
        <v>031 Shërbimet Policore</v>
      </c>
      <c r="D8" s="146">
        <f>'(F2) Shpenzimet sipas nenfunk.b'!C14</f>
        <v>0</v>
      </c>
      <c r="E8" s="146">
        <f>'(F2) Shpenzimet sipas nenfunk.b'!D14</f>
        <v>0</v>
      </c>
      <c r="F8" s="146">
        <f>'(F2) Shpenzimet sipas nenfunk.b'!E14</f>
        <v>0</v>
      </c>
      <c r="G8" s="147">
        <f>'(F2) Shpenzimet sipas nenfunk.b'!I14</f>
        <v>0</v>
      </c>
      <c r="H8" s="147">
        <f>'(F2) Shpenzimet sipas nenfunk.b'!M14</f>
        <v>0</v>
      </c>
      <c r="I8" s="147">
        <f>'(F2) Shpenzimet sipas nenfunk.b'!Q14</f>
        <v>0</v>
      </c>
    </row>
    <row r="9" spans="1:10" ht="13.5" customHeight="1" x14ac:dyDescent="0.2">
      <c r="B9" s="188" t="str">
        <f>'(F2) Shpenzimet sipas nenfunk.b'!A16</f>
        <v>Nënfunksioni 4</v>
      </c>
      <c r="C9" s="188" t="str">
        <f>'(F2) Shpenzimet sipas nenfunk.b'!B16</f>
        <v>032 Shërbimet e mbrojtjes ndaj zjarrit</v>
      </c>
      <c r="D9" s="146">
        <f>'(F2) Shpenzimet sipas nenfunk.b'!C16</f>
        <v>11570753</v>
      </c>
      <c r="E9" s="146">
        <f>'(F2) Shpenzimet sipas nenfunk.b'!D16</f>
        <v>13488330</v>
      </c>
      <c r="F9" s="146">
        <f>'(F2) Shpenzimet sipas nenfunk.b'!E16</f>
        <v>20596534</v>
      </c>
      <c r="G9" s="147">
        <f>'(F2) Shpenzimet sipas nenfunk.b'!I16</f>
        <v>17429650</v>
      </c>
      <c r="H9" s="147">
        <f>'(F2) Shpenzimet sipas nenfunk.b'!M16</f>
        <v>17429650</v>
      </c>
      <c r="I9" s="147">
        <f>'(F2) Shpenzimet sipas nenfunk.b'!Q16</f>
        <v>17429650</v>
      </c>
    </row>
    <row r="10" spans="1:10" ht="13.5" customHeight="1" x14ac:dyDescent="0.2">
      <c r="B10" s="188" t="str">
        <f>'(F2) Shpenzimet sipas nenfunk.b'!A18</f>
        <v>Nënfunksioni 5</v>
      </c>
      <c r="C10" s="188" t="str">
        <f>'(F2) Shpenzimet sipas nenfunk.b'!B18</f>
        <v>036 Marrdheniet me komunitetin</v>
      </c>
      <c r="D10" s="146">
        <f>'(F2) Shpenzimet sipas nenfunk.b'!C18</f>
        <v>0</v>
      </c>
      <c r="E10" s="146">
        <f>'(F2) Shpenzimet sipas nenfunk.b'!D18</f>
        <v>0</v>
      </c>
      <c r="F10" s="146">
        <f>'(F2) Shpenzimet sipas nenfunk.b'!E18</f>
        <v>0</v>
      </c>
      <c r="G10" s="147">
        <f>'(F2) Shpenzimet sipas nenfunk.b'!I18</f>
        <v>0</v>
      </c>
      <c r="H10" s="147">
        <f>'(F2) Shpenzimet sipas nenfunk.b'!M18</f>
        <v>0</v>
      </c>
      <c r="I10" s="147">
        <f>'(F2) Shpenzimet sipas nenfunk.b'!Q18</f>
        <v>0</v>
      </c>
    </row>
    <row r="11" spans="1:10" ht="13.5" customHeight="1" x14ac:dyDescent="0.2">
      <c r="B11" s="188" t="str">
        <f>'(F2) Shpenzimet sipas nenfunk.b'!A20</f>
        <v>Nënfunksioni 6</v>
      </c>
      <c r="C11" s="188" t="str">
        <f>'(F2) Shpenzimet sipas nenfunk.b'!B20</f>
        <v>041 Çështjet e përgjithshme ekonomike, tregtare dhe të punës</v>
      </c>
      <c r="D11" s="146">
        <f>'(F2) Shpenzimet sipas nenfunk.b'!C20</f>
        <v>1585692</v>
      </c>
      <c r="E11" s="146">
        <f>'(F2) Shpenzimet sipas nenfunk.b'!D20</f>
        <v>1603935</v>
      </c>
      <c r="F11" s="146">
        <f>'(F2) Shpenzimet sipas nenfunk.b'!E20</f>
        <v>1675575</v>
      </c>
      <c r="G11" s="147">
        <f>'(F2) Shpenzimet sipas nenfunk.b'!I20</f>
        <v>1710000</v>
      </c>
      <c r="H11" s="147">
        <f>'(F2) Shpenzimet sipas nenfunk.b'!M20</f>
        <v>1725000</v>
      </c>
      <c r="I11" s="147">
        <f>'(F2) Shpenzimet sipas nenfunk.b'!Q20</f>
        <v>1770000</v>
      </c>
    </row>
    <row r="12" spans="1:10" ht="13.5" customHeight="1" x14ac:dyDescent="0.2">
      <c r="B12" s="188" t="str">
        <f>'(F2) Shpenzimet sipas nenfunk.b'!A25</f>
        <v>Nënfunksioni 7</v>
      </c>
      <c r="C12" s="188" t="str">
        <f>'(F2) Shpenzimet sipas nenfunk.b'!B25</f>
        <v>042 Bujqësia, pyjet, peshkimi dhe gjuetia</v>
      </c>
      <c r="D12" s="146">
        <f>'(F2) Shpenzimet sipas nenfunk.b'!C25</f>
        <v>5930122</v>
      </c>
      <c r="E12" s="146">
        <f>'(F2) Shpenzimet sipas nenfunk.b'!D25</f>
        <v>28000050</v>
      </c>
      <c r="F12" s="146">
        <f>'(F2) Shpenzimet sipas nenfunk.b'!E25</f>
        <v>50350489</v>
      </c>
      <c r="G12" s="147">
        <f>'(F2) Shpenzimet sipas nenfunk.b'!I25</f>
        <v>42344600</v>
      </c>
      <c r="H12" s="147">
        <f>'(F2) Shpenzimet sipas nenfunk.b'!M25</f>
        <v>44176460</v>
      </c>
      <c r="I12" s="147">
        <f>'(F2) Shpenzimet sipas nenfunk.b'!Q25</f>
        <v>46049240</v>
      </c>
    </row>
    <row r="13" spans="1:10" ht="13.5" customHeight="1" x14ac:dyDescent="0.2">
      <c r="B13" s="188" t="str">
        <f>'(F2) Shpenzimet sipas nenfunk.b'!A30</f>
        <v>Nënfunksioni 8</v>
      </c>
      <c r="C13" s="188" t="str">
        <f>'(F2) Shpenzimet sipas nenfunk.b'!B30</f>
        <v>045 Trasporti</v>
      </c>
      <c r="D13" s="146">
        <f>'(F2) Shpenzimet sipas nenfunk.b'!C30</f>
        <v>213152994</v>
      </c>
      <c r="E13" s="146">
        <f>'(F2) Shpenzimet sipas nenfunk.b'!D30</f>
        <v>84739057</v>
      </c>
      <c r="F13" s="146">
        <f>'(F2) Shpenzimet sipas nenfunk.b'!E30</f>
        <v>175922899</v>
      </c>
      <c r="G13" s="147">
        <f>'(F2) Shpenzimet sipas nenfunk.b'!I30</f>
        <v>205545310</v>
      </c>
      <c r="H13" s="147">
        <f>'(F2) Shpenzimet sipas nenfunk.b'!M30</f>
        <v>208462000</v>
      </c>
      <c r="I13" s="147">
        <f>'(F2) Shpenzimet sipas nenfunk.b'!Q30</f>
        <v>214454600</v>
      </c>
    </row>
    <row r="14" spans="1:10" ht="13.5" customHeight="1" x14ac:dyDescent="0.2">
      <c r="B14" s="188" t="str">
        <f>'(F2) Shpenzimet sipas nenfunk.b'!A34</f>
        <v>Nënfunksioni 9</v>
      </c>
      <c r="C14" s="188" t="str">
        <f>'(F2) Shpenzimet sipas nenfunk.b'!B34</f>
        <v>047 Industri të tjera</v>
      </c>
      <c r="D14" s="146">
        <f>'(F2) Shpenzimet sipas nenfunk.b'!C34</f>
        <v>0</v>
      </c>
      <c r="E14" s="146">
        <f>'(F2) Shpenzimet sipas nenfunk.b'!D34</f>
        <v>0</v>
      </c>
      <c r="F14" s="146">
        <f>'(F2) Shpenzimet sipas nenfunk.b'!E34</f>
        <v>0</v>
      </c>
      <c r="G14" s="147">
        <f>'(F2) Shpenzimet sipas nenfunk.b'!I34</f>
        <v>0</v>
      </c>
      <c r="H14" s="147">
        <f>'(F2) Shpenzimet sipas nenfunk.b'!M34</f>
        <v>0</v>
      </c>
      <c r="I14" s="147">
        <f>'(F2) Shpenzimet sipas nenfunk.b'!Q34</f>
        <v>0</v>
      </c>
    </row>
    <row r="15" spans="1:10" ht="13.5" customHeight="1" x14ac:dyDescent="0.2">
      <c r="B15" s="188" t="str">
        <f>'(F2) Shpenzimet sipas nenfunk.b'!A37</f>
        <v>Nënfunksioni 10</v>
      </c>
      <c r="C15" s="188" t="str">
        <f>'(F2) Shpenzimet sipas nenfunk.b'!B37</f>
        <v>062 Menaxhimi i i mbetjeve</v>
      </c>
      <c r="D15" s="146">
        <f>'(F2) Shpenzimet sipas nenfunk.b'!C37</f>
        <v>37620677</v>
      </c>
      <c r="E15" s="146">
        <f>'(F2) Shpenzimet sipas nenfunk.b'!D37</f>
        <v>105911830</v>
      </c>
      <c r="F15" s="146">
        <f>'(F2) Shpenzimet sipas nenfunk.b'!E37</f>
        <v>140388286</v>
      </c>
      <c r="G15" s="147">
        <f>'(F2) Shpenzimet sipas nenfunk.b'!I37</f>
        <v>150000000</v>
      </c>
      <c r="H15" s="147">
        <f>'(F2) Shpenzimet sipas nenfunk.b'!M37</f>
        <v>150000000</v>
      </c>
      <c r="I15" s="147">
        <f>'(F2) Shpenzimet sipas nenfunk.b'!Q37</f>
        <v>150000000</v>
      </c>
    </row>
    <row r="16" spans="1:10" ht="13.5" customHeight="1" x14ac:dyDescent="0.2">
      <c r="B16" s="188" t="str">
        <f>'(F2) Shpenzimet sipas nenfunk.b'!A39</f>
        <v>Nënfunksioni 11</v>
      </c>
      <c r="C16" s="188" t="str">
        <f>'(F2) Shpenzimet sipas nenfunk.b'!B39</f>
        <v>052 Menaxhimi i ujrave të zeza</v>
      </c>
      <c r="D16" s="146">
        <f>'(F2) Shpenzimet sipas nenfunk.b'!C39</f>
        <v>0</v>
      </c>
      <c r="E16" s="146">
        <f>'(F2) Shpenzimet sipas nenfunk.b'!D39</f>
        <v>0</v>
      </c>
      <c r="F16" s="146">
        <f>'(F2) Shpenzimet sipas nenfunk.b'!E39</f>
        <v>0</v>
      </c>
      <c r="G16" s="147">
        <f>'(F2) Shpenzimet sipas nenfunk.b'!I39</f>
        <v>0</v>
      </c>
      <c r="H16" s="147">
        <f>'(F2) Shpenzimet sipas nenfunk.b'!M39</f>
        <v>0</v>
      </c>
      <c r="I16" s="147">
        <f>'(F2) Shpenzimet sipas nenfunk.b'!Q39</f>
        <v>0</v>
      </c>
    </row>
    <row r="17" spans="2:9" ht="13.5" customHeight="1" x14ac:dyDescent="0.2">
      <c r="B17" s="188" t="str">
        <f>'(F2) Shpenzimet sipas nenfunk.b'!A41</f>
        <v>Nënfunksioni 12</v>
      </c>
      <c r="C17" s="188" t="str">
        <f>'(F2) Shpenzimet sipas nenfunk.b'!B41</f>
        <v>053 Reduktimi i ndotjes</v>
      </c>
      <c r="D17" s="146">
        <f>'(F2) Shpenzimet sipas nenfunk.b'!C41</f>
        <v>0</v>
      </c>
      <c r="E17" s="146">
        <f>'(F2) Shpenzimet sipas nenfunk.b'!D41</f>
        <v>0</v>
      </c>
      <c r="F17" s="146">
        <f>'(F2) Shpenzimet sipas nenfunk.b'!E41</f>
        <v>0</v>
      </c>
      <c r="G17" s="147">
        <f>'(F2) Shpenzimet sipas nenfunk.b'!I41</f>
        <v>0</v>
      </c>
      <c r="H17" s="147">
        <f>'(F2) Shpenzimet sipas nenfunk.b'!M41</f>
        <v>0</v>
      </c>
      <c r="I17" s="147">
        <f>'(F2) Shpenzimet sipas nenfunk.b'!Q41</f>
        <v>0</v>
      </c>
    </row>
    <row r="18" spans="2:9" ht="13.5" customHeight="1" x14ac:dyDescent="0.2">
      <c r="B18" s="188" t="str">
        <f>'(F2) Shpenzimet sipas nenfunk.b'!A43</f>
        <v>Nënfunksioni 13</v>
      </c>
      <c r="C18" s="188" t="str">
        <f>'(F2) Shpenzimet sipas nenfunk.b'!B43</f>
        <v>056 Mbrojtja e mjedisit</v>
      </c>
      <c r="D18" s="146">
        <f>'(F2) Shpenzimet sipas nenfunk.b'!C43</f>
        <v>0</v>
      </c>
      <c r="E18" s="146">
        <f>'(F2) Shpenzimet sipas nenfunk.b'!D43</f>
        <v>0</v>
      </c>
      <c r="F18" s="146">
        <f>'(F2) Shpenzimet sipas nenfunk.b'!E43</f>
        <v>0</v>
      </c>
      <c r="G18" s="147">
        <f>'(F2) Shpenzimet sipas nenfunk.b'!I43</f>
        <v>0</v>
      </c>
      <c r="H18" s="147">
        <f>'(F2) Shpenzimet sipas nenfunk.b'!M43</f>
        <v>0</v>
      </c>
      <c r="I18" s="147">
        <f>'(F2) Shpenzimet sipas nenfunk.b'!Q43</f>
        <v>0</v>
      </c>
    </row>
    <row r="19" spans="2:9" ht="13.5" customHeight="1" x14ac:dyDescent="0.2">
      <c r="B19" s="188" t="str">
        <f>'(F2) Shpenzimet sipas nenfunk.b'!A46</f>
        <v>Nënfunksioni 14</v>
      </c>
      <c r="C19" s="188" t="str">
        <f>'(F2) Shpenzimet sipas nenfunk.b'!B46</f>
        <v>061 Urbanistika</v>
      </c>
      <c r="D19" s="146">
        <f>'(F2) Shpenzimet sipas nenfunk.b'!C46</f>
        <v>311473</v>
      </c>
      <c r="E19" s="146">
        <f>'(F2) Shpenzimet sipas nenfunk.b'!D46</f>
        <v>1379258</v>
      </c>
      <c r="F19" s="146">
        <f>'(F2) Shpenzimet sipas nenfunk.b'!E46</f>
        <v>14372555</v>
      </c>
      <c r="G19" s="147">
        <f>'(F2) Shpenzimet sipas nenfunk.b'!I46</f>
        <v>0</v>
      </c>
      <c r="H19" s="147">
        <f>'(F2) Shpenzimet sipas nenfunk.b'!M46</f>
        <v>0</v>
      </c>
      <c r="I19" s="147">
        <f>'(F2) Shpenzimet sipas nenfunk.b'!Q46</f>
        <v>0</v>
      </c>
    </row>
    <row r="20" spans="2:9" ht="13.5" customHeight="1" x14ac:dyDescent="0.2">
      <c r="B20" s="188" t="str">
        <f>'(F2) Shpenzimet sipas nenfunk.b'!A49</f>
        <v>Nënfunksioni 15</v>
      </c>
      <c r="C20" s="188" t="str">
        <f>'(F2) Shpenzimet sipas nenfunk.b'!B49</f>
        <v>062 Zhvillimi i komunitetit</v>
      </c>
      <c r="D20" s="146">
        <f>'(F2) Shpenzimet sipas nenfunk.b'!C49</f>
        <v>48731493</v>
      </c>
      <c r="E20" s="146">
        <f>'(F2) Shpenzimet sipas nenfunk.b'!D49</f>
        <v>72282837</v>
      </c>
      <c r="F20" s="146">
        <f>'(F2) Shpenzimet sipas nenfunk.b'!E49</f>
        <v>193698859</v>
      </c>
      <c r="G20" s="147">
        <f>'(F2) Shpenzimet sipas nenfunk.b'!I49</f>
        <v>99335900</v>
      </c>
      <c r="H20" s="147">
        <f>'(F2) Shpenzimet sipas nenfunk.b'!M49</f>
        <v>102823000</v>
      </c>
      <c r="I20" s="147">
        <f>'(F2) Shpenzimet sipas nenfunk.b'!Q49</f>
        <v>106667600</v>
      </c>
    </row>
    <row r="21" spans="2:9" ht="13.5" customHeight="1" x14ac:dyDescent="0.2">
      <c r="B21" s="188" t="str">
        <f>'(F2) Shpenzimet sipas nenfunk.b'!A52</f>
        <v>Nënfunksioni 16</v>
      </c>
      <c r="C21" s="188" t="str">
        <f>'(F2) Shpenzimet sipas nenfunk.b'!B52</f>
        <v>063 Furnizimi me ujë</v>
      </c>
      <c r="D21" s="146">
        <f>'(F2) Shpenzimet sipas nenfunk.b'!C52</f>
        <v>11999999</v>
      </c>
      <c r="E21" s="146">
        <f>'(F2) Shpenzimet sipas nenfunk.b'!D52</f>
        <v>272714</v>
      </c>
      <c r="F21" s="146">
        <f>'(F2) Shpenzimet sipas nenfunk.b'!E52</f>
        <v>59359820</v>
      </c>
      <c r="G21" s="147">
        <f>'(F2) Shpenzimet sipas nenfunk.b'!I52</f>
        <v>0</v>
      </c>
      <c r="H21" s="147">
        <f>'(F2) Shpenzimet sipas nenfunk.b'!M52</f>
        <v>0</v>
      </c>
      <c r="I21" s="147">
        <f>'(F2) Shpenzimet sipas nenfunk.b'!Q52</f>
        <v>0</v>
      </c>
    </row>
    <row r="22" spans="2:9" ht="13.5" customHeight="1" x14ac:dyDescent="0.2">
      <c r="B22" s="188" t="str">
        <f>'(F2) Shpenzimet sipas nenfunk.b'!A54</f>
        <v>Nënfunksioni 17</v>
      </c>
      <c r="C22" s="188" t="str">
        <f>'(F2) Shpenzimet sipas nenfunk.b'!B54</f>
        <v>064 Ndriçimi i rrugëve</v>
      </c>
      <c r="D22" s="146">
        <f>'(F2) Shpenzimet sipas nenfunk.b'!C54</f>
        <v>17084331</v>
      </c>
      <c r="E22" s="146">
        <f>'(F2) Shpenzimet sipas nenfunk.b'!D54</f>
        <v>19881683</v>
      </c>
      <c r="F22" s="146">
        <f>'(F2) Shpenzimet sipas nenfunk.b'!E54</f>
        <v>26000000</v>
      </c>
      <c r="G22" s="147">
        <f>'(F2) Shpenzimet sipas nenfunk.b'!I54</f>
        <v>36800000</v>
      </c>
      <c r="H22" s="147">
        <f>'(F2) Shpenzimet sipas nenfunk.b'!M54</f>
        <v>37700000</v>
      </c>
      <c r="I22" s="147">
        <f>'(F2) Shpenzimet sipas nenfunk.b'!Q54</f>
        <v>48600000</v>
      </c>
    </row>
    <row r="23" spans="2:9" ht="13.5" customHeight="1" x14ac:dyDescent="0.2">
      <c r="B23" s="188" t="str">
        <f>'(F2) Shpenzimet sipas nenfunk.b'!A56</f>
        <v>Nënfunksioni 18</v>
      </c>
      <c r="C23" s="188" t="str">
        <f>'(F2) Shpenzimet sipas nenfunk.b'!B56</f>
        <v xml:space="preserve">072 Shërbimet e kujdesit parësor </v>
      </c>
      <c r="D23" s="146">
        <f>'(F2) Shpenzimet sipas nenfunk.b'!C56</f>
        <v>0</v>
      </c>
      <c r="E23" s="146">
        <f>'(F2) Shpenzimet sipas nenfunk.b'!D56</f>
        <v>0</v>
      </c>
      <c r="F23" s="146">
        <f>'(F2) Shpenzimet sipas nenfunk.b'!E56</f>
        <v>0</v>
      </c>
      <c r="G23" s="147">
        <f>'(F2) Shpenzimet sipas nenfunk.b'!I56</f>
        <v>0</v>
      </c>
      <c r="H23" s="147">
        <f>'(F2) Shpenzimet sipas nenfunk.b'!M56</f>
        <v>0</v>
      </c>
      <c r="I23" s="147">
        <f>'(F2) Shpenzimet sipas nenfunk.b'!Q56</f>
        <v>0</v>
      </c>
    </row>
    <row r="24" spans="2:9" ht="13.5" customHeight="1" x14ac:dyDescent="0.2">
      <c r="B24" s="188" t="str">
        <f>'(F2) Shpenzimet sipas nenfunk.b'!A58</f>
        <v>Nënfunksioni 19</v>
      </c>
      <c r="C24" s="188" t="str">
        <f>'(F2) Shpenzimet sipas nenfunk.b'!B58</f>
        <v>081 Shërbimet rekreative dhe sportive</v>
      </c>
      <c r="D24" s="146">
        <f>'(F2) Shpenzimet sipas nenfunk.b'!C58</f>
        <v>24247564</v>
      </c>
      <c r="E24" s="146">
        <f>'(F2) Shpenzimet sipas nenfunk.b'!D58</f>
        <v>10803448</v>
      </c>
      <c r="F24" s="146">
        <f>'(F2) Shpenzimet sipas nenfunk.b'!E58</f>
        <v>20764388</v>
      </c>
      <c r="G24" s="147">
        <f>'(F2) Shpenzimet sipas nenfunk.b'!I58</f>
        <v>15705000</v>
      </c>
      <c r="H24" s="147">
        <f>'(F2) Shpenzimet sipas nenfunk.b'!M58</f>
        <v>16795000</v>
      </c>
      <c r="I24" s="147">
        <f>'(F2) Shpenzimet sipas nenfunk.b'!Q58</f>
        <v>17368600</v>
      </c>
    </row>
    <row r="25" spans="2:9" ht="13.5" customHeight="1" x14ac:dyDescent="0.2">
      <c r="B25" s="188" t="str">
        <f>'(F2) Shpenzimet sipas nenfunk.b'!A61</f>
        <v>Nënfunksioni 20</v>
      </c>
      <c r="C25" s="188" t="str">
        <f>'(F2) Shpenzimet sipas nenfunk.b'!B61</f>
        <v>082 Shërbimet kulturore</v>
      </c>
      <c r="D25" s="146">
        <f>'(F2) Shpenzimet sipas nenfunk.b'!C61</f>
        <v>1020083</v>
      </c>
      <c r="E25" s="146">
        <f>'(F2) Shpenzimet sipas nenfunk.b'!D61</f>
        <v>17381102</v>
      </c>
      <c r="F25" s="146">
        <f>'(F2) Shpenzimet sipas nenfunk.b'!E61</f>
        <v>35846037</v>
      </c>
      <c r="G25" s="147">
        <f>'(F2) Shpenzimet sipas nenfunk.b'!I61</f>
        <v>34798500</v>
      </c>
      <c r="H25" s="147">
        <f>'(F2) Shpenzimet sipas nenfunk.b'!M61</f>
        <v>34848500</v>
      </c>
      <c r="I25" s="147">
        <f>'(F2) Shpenzimet sipas nenfunk.b'!Q61</f>
        <v>34858500</v>
      </c>
    </row>
    <row r="26" spans="2:9" ht="13.5" customHeight="1" x14ac:dyDescent="0.2">
      <c r="B26" s="188" t="str">
        <f>'(F2) Shpenzimet sipas nenfunk.b'!A65</f>
        <v>Nënfunksioni 21</v>
      </c>
      <c r="C26" s="188" t="str">
        <f>'(F2) Shpenzimet sipas nenfunk.b'!B65</f>
        <v>091 Arsimi bazë dhe parashkollor</v>
      </c>
      <c r="D26" s="146">
        <f>'(F2) Shpenzimet sipas nenfunk.b'!C65</f>
        <v>162011189</v>
      </c>
      <c r="E26" s="146">
        <f>'(F2) Shpenzimet sipas nenfunk.b'!D65</f>
        <v>171800051</v>
      </c>
      <c r="F26" s="146">
        <f>'(F2) Shpenzimet sipas nenfunk.b'!E65</f>
        <v>216831061</v>
      </c>
      <c r="G26" s="147">
        <f>'(F2) Shpenzimet sipas nenfunk.b'!I65</f>
        <v>211383000</v>
      </c>
      <c r="H26" s="147">
        <f>'(F2) Shpenzimet sipas nenfunk.b'!M65</f>
        <v>217722000</v>
      </c>
      <c r="I26" s="147">
        <f>'(F2) Shpenzimet sipas nenfunk.b'!Q65</f>
        <v>224469000</v>
      </c>
    </row>
    <row r="27" spans="2:9" ht="13.5" customHeight="1" x14ac:dyDescent="0.2">
      <c r="B27" s="188" t="str">
        <f>'(F2) Shpenzimet sipas nenfunk.b'!A67</f>
        <v>Nënfunksioni 22</v>
      </c>
      <c r="C27" s="188" t="str">
        <f>'(F2) Shpenzimet sipas nenfunk.b'!B67</f>
        <v>092 Arsimi  parauniversitar</v>
      </c>
      <c r="D27" s="146">
        <f>'(F2) Shpenzimet sipas nenfunk.b'!C67</f>
        <v>28558839</v>
      </c>
      <c r="E27" s="146">
        <f>'(F2) Shpenzimet sipas nenfunk.b'!D67</f>
        <v>41191090</v>
      </c>
      <c r="F27" s="146">
        <f>'(F2) Shpenzimet sipas nenfunk.b'!E67</f>
        <v>23292569</v>
      </c>
      <c r="G27" s="147">
        <f>'(F2) Shpenzimet sipas nenfunk.b'!I67</f>
        <v>9835000</v>
      </c>
      <c r="H27" s="147">
        <f>'(F2) Shpenzimet sipas nenfunk.b'!M67</f>
        <v>10130000</v>
      </c>
      <c r="I27" s="147">
        <f>'(F2) Shpenzimet sipas nenfunk.b'!Q67</f>
        <v>10435000</v>
      </c>
    </row>
    <row r="28" spans="2:9" s="101" customFormat="1" ht="13.5" customHeight="1" x14ac:dyDescent="0.2">
      <c r="B28" s="188" t="str">
        <f>'(F2) Shpenzimet sipas nenfunk.b'!A71</f>
        <v>Nënfunksioni 23</v>
      </c>
      <c r="C28" s="188" t="str">
        <f>'(F2) Shpenzimet sipas nenfunk.b'!B71</f>
        <v>101 Sëmundje dhe paaftësi</v>
      </c>
      <c r="D28" s="146">
        <f>'(F2) Shpenzimet sipas nenfunk.b'!C71</f>
        <v>0</v>
      </c>
      <c r="E28" s="146">
        <f>'(F2) Shpenzimet sipas nenfunk.b'!D71</f>
        <v>0</v>
      </c>
      <c r="F28" s="146">
        <f>'(F2) Shpenzimet sipas nenfunk.b'!E71</f>
        <v>0</v>
      </c>
      <c r="G28" s="147">
        <f>'(F2) Shpenzimet sipas nenfunk.b'!I71</f>
        <v>0</v>
      </c>
      <c r="H28" s="147">
        <f>'(F2) Shpenzimet sipas nenfunk.b'!M71</f>
        <v>0</v>
      </c>
      <c r="I28" s="147">
        <f>'(F2) Shpenzimet sipas nenfunk.b'!Q71</f>
        <v>0</v>
      </c>
    </row>
    <row r="29" spans="2:9" s="101" customFormat="1" ht="13.5" customHeight="1" x14ac:dyDescent="0.2">
      <c r="B29" s="188" t="str">
        <f>'(F2) Shpenzimet sipas nenfunk.b'!A73</f>
        <v>Nënfunksioni 24</v>
      </c>
      <c r="C29" s="188" t="str">
        <f>'(F2) Shpenzimet sipas nenfunk.b'!B73</f>
        <v>102 Të moshuarit</v>
      </c>
      <c r="D29" s="146">
        <f>'(F2) Shpenzimet sipas nenfunk.b'!C73</f>
        <v>0</v>
      </c>
      <c r="E29" s="146">
        <f>'(F2) Shpenzimet sipas nenfunk.b'!D73</f>
        <v>0</v>
      </c>
      <c r="F29" s="146">
        <f>'(F2) Shpenzimet sipas nenfunk.b'!E73</f>
        <v>0</v>
      </c>
      <c r="G29" s="147">
        <f>'(F2) Shpenzimet sipas nenfunk.b'!I73</f>
        <v>0</v>
      </c>
      <c r="H29" s="147">
        <f>'(F2) Shpenzimet sipas nenfunk.b'!M73</f>
        <v>0</v>
      </c>
      <c r="I29" s="147">
        <f>'(F2) Shpenzimet sipas nenfunk.b'!Q73</f>
        <v>0</v>
      </c>
    </row>
    <row r="30" spans="2:9" s="101" customFormat="1" ht="13.5" customHeight="1" x14ac:dyDescent="0.2">
      <c r="B30" s="188" t="str">
        <f>'(F2) Shpenzimet sipas nenfunk.b'!A75</f>
        <v>Nënfunksioni 25</v>
      </c>
      <c r="C30" s="188" t="str">
        <f>'(F2) Shpenzimet sipas nenfunk.b'!B75</f>
        <v>104 Familje dhe fëmijë</v>
      </c>
      <c r="D30" s="146">
        <f>'(F2) Shpenzimet sipas nenfunk.b'!C75</f>
        <v>754931278</v>
      </c>
      <c r="E30" s="146">
        <f>'(F2) Shpenzimet sipas nenfunk.b'!D75</f>
        <v>937920190</v>
      </c>
      <c r="F30" s="146">
        <f>'(F2) Shpenzimet sipas nenfunk.b'!E75</f>
        <v>940463352</v>
      </c>
      <c r="G30" s="147">
        <f>'(F2) Shpenzimet sipas nenfunk.b'!I75</f>
        <v>957789000</v>
      </c>
      <c r="H30" s="147">
        <f>'(F2) Shpenzimet sipas nenfunk.b'!M75</f>
        <v>957789000</v>
      </c>
      <c r="I30" s="147">
        <f>'(F2) Shpenzimet sipas nenfunk.b'!Q75</f>
        <v>957789000</v>
      </c>
    </row>
    <row r="31" spans="2:9" s="101" customFormat="1" ht="13.5" customHeight="1" x14ac:dyDescent="0.2">
      <c r="B31" s="188" t="str">
        <f>'(F2) Shpenzimet sipas nenfunk.b'!A78</f>
        <v>Nënfunksioni 26</v>
      </c>
      <c r="C31" s="188" t="str">
        <f>'(F2) Shpenzimet sipas nenfunk.b'!B78</f>
        <v>105 Papunësia</v>
      </c>
      <c r="D31" s="146">
        <f>'(F2) Shpenzimet sipas nenfunk.b'!C78</f>
        <v>0</v>
      </c>
      <c r="E31" s="146">
        <f>'(F2) Shpenzimet sipas nenfunk.b'!D78</f>
        <v>0</v>
      </c>
      <c r="F31" s="146">
        <f>'(F2) Shpenzimet sipas nenfunk.b'!E78</f>
        <v>0</v>
      </c>
      <c r="G31" s="147">
        <f>'(F2) Shpenzimet sipas nenfunk.b'!I78</f>
        <v>0</v>
      </c>
      <c r="H31" s="147">
        <f>'(F2) Shpenzimet sipas nenfunk.b'!M78</f>
        <v>0</v>
      </c>
      <c r="I31" s="147">
        <f>'(F2) Shpenzimet sipas nenfunk.b'!Q78</f>
        <v>0</v>
      </c>
    </row>
    <row r="32" spans="2:9" s="101" customFormat="1" ht="13.5" customHeight="1" x14ac:dyDescent="0.2">
      <c r="B32" s="188" t="str">
        <f>'(F2) Shpenzimet sipas nenfunk.b'!A80</f>
        <v>Nënfunksioni 27</v>
      </c>
      <c r="C32" s="188" t="str">
        <f>'(F2) Shpenzimet sipas nenfunk.b'!B80</f>
        <v>106 Strehimi social</v>
      </c>
      <c r="D32" s="146">
        <f>'(F2) Shpenzimet sipas nenfunk.b'!C80</f>
        <v>0</v>
      </c>
      <c r="E32" s="146">
        <f>'(F2) Shpenzimet sipas nenfunk.b'!D80</f>
        <v>0</v>
      </c>
      <c r="F32" s="146">
        <f>'(F2) Shpenzimet sipas nenfunk.b'!E80</f>
        <v>0</v>
      </c>
      <c r="G32" s="147">
        <f>'(F2) Shpenzimet sipas nenfunk.b'!I80</f>
        <v>0</v>
      </c>
      <c r="H32" s="147">
        <f>'(F2) Shpenzimet sipas nenfunk.b'!M80</f>
        <v>0</v>
      </c>
      <c r="I32" s="147">
        <f>'(F2) Shpenzimet sipas nenfunk.b'!Q80</f>
        <v>0</v>
      </c>
    </row>
    <row r="33" spans="2:9" ht="13.5" customHeight="1" x14ac:dyDescent="0.2">
      <c r="B33" s="1438" t="s">
        <v>44</v>
      </c>
      <c r="C33" s="1439"/>
      <c r="D33" s="148">
        <f t="shared" ref="D33:I33" si="0">SUM(D6:D32)</f>
        <v>1519965155</v>
      </c>
      <c r="E33" s="148">
        <f t="shared" si="0"/>
        <v>1822305984</v>
      </c>
      <c r="F33" s="148">
        <f t="shared" si="0"/>
        <v>2351787988</v>
      </c>
      <c r="G33" s="148">
        <f t="shared" si="0"/>
        <v>2161408648</v>
      </c>
      <c r="H33" s="148">
        <f t="shared" si="0"/>
        <v>2119789470</v>
      </c>
      <c r="I33" s="148">
        <f t="shared" si="0"/>
        <v>2149440473</v>
      </c>
    </row>
  </sheetData>
  <sheetProtection sheet="1" objects="1" scenarios="1" selectLockedCells="1"/>
  <mergeCells count="5">
    <mergeCell ref="B33:C33"/>
    <mergeCell ref="G3:G4"/>
    <mergeCell ref="H3:H4"/>
    <mergeCell ref="I3:I4"/>
    <mergeCell ref="A1:J1"/>
  </mergeCells>
  <pageMargins left="0.78740157480314965" right="0.70866141732283472" top="0.98425196850393704" bottom="0.78740157480314965" header="0.43307086614173229" footer="0.31496062992125984"/>
  <pageSetup paperSize="9" scale="54" fitToWidth="0" fitToHeight="0" orientation="portrait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1" manualBreakCount="1">
    <brk id="110" min="1" max="16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tabColor rgb="FF00B050"/>
    <pageSetUpPr fitToPage="1"/>
  </sheetPr>
  <dimension ref="A1:Z83"/>
  <sheetViews>
    <sheetView showGridLines="0" topLeftCell="E25" zoomScale="110" zoomScaleNormal="110" workbookViewId="0">
      <selection sqref="A1:Z84"/>
    </sheetView>
  </sheetViews>
  <sheetFormatPr defaultColWidth="4.140625" defaultRowHeight="12.75" x14ac:dyDescent="0.2"/>
  <cols>
    <col min="1" max="1" width="14.85546875" style="1058" bestFit="1" customWidth="1"/>
    <col min="2" max="2" width="47.85546875" style="1059" customWidth="1"/>
    <col min="3" max="3" width="15.28515625" style="1058" customWidth="1"/>
    <col min="4" max="4" width="14.5703125" style="1058" customWidth="1"/>
    <col min="5" max="5" width="9.28515625" style="1058" customWidth="1"/>
    <col min="6" max="6" width="9.140625" style="1058" bestFit="1" customWidth="1"/>
    <col min="7" max="7" width="10.85546875" style="1058" customWidth="1"/>
    <col min="8" max="8" width="9.28515625" style="1058" customWidth="1"/>
    <col min="9" max="9" width="10.28515625" style="1058" customWidth="1"/>
    <col min="10" max="10" width="9.140625" style="1058" bestFit="1" customWidth="1"/>
    <col min="11" max="11" width="10.5703125" style="1058" customWidth="1"/>
    <col min="12" max="12" width="10" style="1058" customWidth="1"/>
    <col min="13" max="13" width="10.42578125" style="1058" customWidth="1"/>
    <col min="14" max="14" width="13.85546875" style="1058" customWidth="1"/>
    <col min="15" max="15" width="12.140625" style="1058" customWidth="1"/>
    <col min="16" max="16" width="9.140625" style="1058" customWidth="1"/>
    <col min="17" max="17" width="7.7109375" style="1058" bestFit="1" customWidth="1"/>
    <col min="18" max="18" width="10.42578125" style="1058" customWidth="1"/>
    <col min="19" max="19" width="10.140625" style="1058" customWidth="1" collapsed="1"/>
    <col min="20" max="20" width="9.7109375" style="1058" customWidth="1"/>
    <col min="21" max="21" width="7.7109375" style="1058" bestFit="1" customWidth="1"/>
    <col min="22" max="22" width="11.28515625" style="1058" customWidth="1"/>
    <col min="23" max="23" width="10.7109375" style="1058" customWidth="1" collapsed="1"/>
    <col min="24" max="24" width="9.140625" style="1058" customWidth="1"/>
    <col min="25" max="25" width="7.7109375" style="1058" bestFit="1" customWidth="1"/>
    <col min="26" max="26" width="10.140625" style="1058" customWidth="1"/>
    <col min="27" max="219" width="11.5703125" style="1058" customWidth="1"/>
    <col min="220" max="220" width="3.85546875" style="1058" customWidth="1"/>
    <col min="221" max="221" width="22" style="1058" customWidth="1"/>
    <col min="222" max="224" width="4.140625" style="1058" customWidth="1"/>
    <col min="225" max="225" width="5.85546875" style="1058" customWidth="1"/>
    <col min="226" max="226" width="4.140625" style="1058" customWidth="1"/>
    <col min="227" max="227" width="0.85546875" style="1058" customWidth="1"/>
    <col min="228" max="228" width="5.85546875" style="1058" customWidth="1"/>
    <col min="229" max="229" width="4.140625" style="1058" customWidth="1"/>
    <col min="230" max="230" width="0.85546875" style="1058" customWidth="1"/>
    <col min="231" max="231" width="5.85546875" style="1058" customWidth="1"/>
    <col min="232" max="232" width="4.140625" style="1058" customWidth="1"/>
    <col min="233" max="233" width="0.85546875" style="1058" customWidth="1"/>
    <col min="234" max="234" width="5.85546875" style="1058" customWidth="1"/>
    <col min="235" max="16384" width="4.140625" style="1058"/>
  </cols>
  <sheetData>
    <row r="1" spans="1:26" s="1056" customFormat="1" ht="21" x14ac:dyDescent="0.25">
      <c r="A1" s="1444" t="str">
        <f>'(G1) Fjalori'!A425</f>
        <v>(F4) SHPENZIMET SIPAS NËNFUNKSIONIT DHE PROGRAMIT - VLERA NETO</v>
      </c>
      <c r="B1" s="1445"/>
      <c r="C1" s="1445"/>
      <c r="D1" s="1445"/>
      <c r="E1" s="1445"/>
      <c r="F1" s="1445"/>
      <c r="G1" s="1445"/>
      <c r="H1" s="1445"/>
      <c r="I1" s="1445"/>
      <c r="J1" s="1445"/>
      <c r="K1" s="1445"/>
      <c r="L1" s="1445"/>
      <c r="M1" s="1445"/>
      <c r="N1" s="1445"/>
      <c r="O1" s="1445"/>
      <c r="P1" s="1445"/>
      <c r="Q1" s="1445"/>
      <c r="R1" s="1445"/>
      <c r="S1" s="1445"/>
      <c r="T1" s="1445"/>
      <c r="U1" s="1445"/>
      <c r="V1" s="1445"/>
      <c r="W1" s="1445"/>
      <c r="X1" s="1445"/>
      <c r="Y1" s="1445"/>
      <c r="Z1" s="1446"/>
    </row>
    <row r="2" spans="1:26" s="892" customFormat="1" ht="12.75" customHeight="1" x14ac:dyDescent="0.2">
      <c r="B2" s="1057"/>
    </row>
    <row r="3" spans="1:26" ht="16.5" customHeight="1" x14ac:dyDescent="0.2">
      <c r="C3" s="1449">
        <f>'(F2) Shpenzimet sipas nenfunk.b'!C3</f>
        <v>2019</v>
      </c>
      <c r="D3" s="1450"/>
      <c r="E3" s="1450"/>
      <c r="F3" s="1450"/>
      <c r="G3" s="1447">
        <f>'(B1)Informacion i përgjithshëm '!B6</f>
        <v>2020</v>
      </c>
      <c r="H3" s="1447"/>
      <c r="I3" s="1447"/>
      <c r="J3" s="1449"/>
      <c r="K3" s="1447">
        <f>'(B1)Informacion i përgjithshëm '!B7</f>
        <v>2021</v>
      </c>
      <c r="L3" s="1447"/>
      <c r="M3" s="1447"/>
      <c r="N3" s="1447"/>
      <c r="O3" s="1447">
        <f>'(B1)Informacion i përgjithshëm '!B8</f>
        <v>2022</v>
      </c>
      <c r="P3" s="1447"/>
      <c r="Q3" s="1447"/>
      <c r="R3" s="1447"/>
      <c r="S3" s="1448">
        <f>'(B1)Informacion i përgjithshëm '!B9</f>
        <v>2023</v>
      </c>
      <c r="T3" s="1447"/>
      <c r="U3" s="1447"/>
      <c r="V3" s="1447"/>
      <c r="W3" s="1448">
        <f>'(B1)Informacion i përgjithshëm '!B10</f>
        <v>2024</v>
      </c>
      <c r="X3" s="1447"/>
      <c r="Y3" s="1447"/>
      <c r="Z3" s="1447"/>
    </row>
    <row r="4" spans="1:26" s="1062" customFormat="1" ht="23.25" customHeight="1" x14ac:dyDescent="0.25">
      <c r="A4" s="1060"/>
      <c r="B4" s="1061"/>
      <c r="C4" s="1441" t="str">
        <f>'(F2) Shpenzimet sipas nenfunk.b'!C4</f>
        <v>Viti t-2</v>
      </c>
      <c r="D4" s="1451"/>
      <c r="E4" s="1451"/>
      <c r="F4" s="1451"/>
      <c r="G4" s="1440" t="str">
        <f>'(G1) Fjalori'!A549</f>
        <v>Viti i shkuar</v>
      </c>
      <c r="H4" s="1440"/>
      <c r="I4" s="1440"/>
      <c r="J4" s="1441"/>
      <c r="K4" s="1440" t="str">
        <f>'(G1) Fjalori'!A550</f>
        <v>Viti aktual (buxheti)</v>
      </c>
      <c r="L4" s="1440"/>
      <c r="M4" s="1440"/>
      <c r="N4" s="1440"/>
      <c r="O4" s="1447"/>
      <c r="P4" s="1447"/>
      <c r="Q4" s="1447"/>
      <c r="R4" s="1447"/>
      <c r="S4" s="1448"/>
      <c r="T4" s="1447"/>
      <c r="U4" s="1447"/>
      <c r="V4" s="1447"/>
      <c r="W4" s="1448"/>
      <c r="X4" s="1447"/>
      <c r="Y4" s="1447"/>
      <c r="Z4" s="1447"/>
    </row>
    <row r="5" spans="1:26" s="1062" customFormat="1" ht="66.75" x14ac:dyDescent="0.25">
      <c r="A5" s="1060"/>
      <c r="B5" s="1061"/>
      <c r="C5" s="1063" t="str">
        <f>'(G1) Fjalori'!A384</f>
        <v>SHPENZIME TË PRITSHME</v>
      </c>
      <c r="D5" s="1063" t="str">
        <f>'(C1) Shpenzimet vitet e kaluara'!F7</f>
        <v>Tarifa</v>
      </c>
      <c r="E5" s="1063" t="str">
        <f>'(C1) Shpenzimet vitet e kaluara'!G7</f>
        <v>Të ardhura me destinacion</v>
      </c>
      <c r="F5" s="1064" t="str">
        <f>'KB27'!I34</f>
        <v>SHUMA E KËRKUAR NETO</v>
      </c>
      <c r="G5" s="1063" t="str">
        <f>C5</f>
        <v>SHPENZIME TË PRITSHME</v>
      </c>
      <c r="H5" s="1063" t="str">
        <f>D5</f>
        <v>Tarifa</v>
      </c>
      <c r="I5" s="1063" t="str">
        <f>E5</f>
        <v>Të ardhura me destinacion</v>
      </c>
      <c r="J5" s="1064" t="str">
        <f>F5</f>
        <v>SHUMA E KËRKUAR NETO</v>
      </c>
      <c r="K5" s="1063" t="str">
        <f>C5</f>
        <v>SHPENZIME TË PRITSHME</v>
      </c>
      <c r="L5" s="1063" t="str">
        <f>H5</f>
        <v>Tarifa</v>
      </c>
      <c r="M5" s="1063" t="str">
        <f>I5</f>
        <v>Të ardhura me destinacion</v>
      </c>
      <c r="N5" s="1063" t="str">
        <f>J5</f>
        <v>SHUMA E KËRKUAR NETO</v>
      </c>
      <c r="O5" s="1063" t="str">
        <f>C5</f>
        <v>SHPENZIME TË PRITSHME</v>
      </c>
      <c r="P5" s="1063" t="str">
        <f>L5</f>
        <v>Tarifa</v>
      </c>
      <c r="Q5" s="1063" t="str">
        <f>M5</f>
        <v>Të ardhura me destinacion</v>
      </c>
      <c r="R5" s="1063" t="str">
        <f>N5</f>
        <v>SHUMA E KËRKUAR NETO</v>
      </c>
      <c r="S5" s="1065" t="str">
        <f>C5</f>
        <v>SHPENZIME TË PRITSHME</v>
      </c>
      <c r="T5" s="1063" t="str">
        <f>P5</f>
        <v>Tarifa</v>
      </c>
      <c r="U5" s="1063" t="str">
        <f>Q5</f>
        <v>Të ardhura me destinacion</v>
      </c>
      <c r="V5" s="1063" t="str">
        <f>R5</f>
        <v>SHUMA E KËRKUAR NETO</v>
      </c>
      <c r="W5" s="1065" t="str">
        <f>C5</f>
        <v>SHPENZIME TË PRITSHME</v>
      </c>
      <c r="X5" s="1063" t="str">
        <f>P5</f>
        <v>Tarifa</v>
      </c>
      <c r="Y5" s="1063" t="str">
        <f>Q5</f>
        <v>Të ardhura me destinacion</v>
      </c>
      <c r="Z5" s="1063" t="str">
        <f>V5</f>
        <v>SHUMA E KËRKUAR NETO</v>
      </c>
    </row>
    <row r="6" spans="1:26" ht="15" customHeight="1" x14ac:dyDescent="0.2">
      <c r="A6" s="1066" t="str">
        <f>'(F2) Shpenzimet sipas nenfunk.b'!A6</f>
        <v>Nënfunksioni 1</v>
      </c>
      <c r="B6" s="1067" t="str">
        <f>'(F2) Shpenzimet sipas nenfunk.b'!B6</f>
        <v>011 Organet ekzekutive dhe legjislative, për çështjet financiare dhe fiskale, çështjet e brendshme</v>
      </c>
      <c r="C6" s="1068">
        <f>'(F2) Shpenzimet sipas nenfunk.b'!C6</f>
        <v>196792965</v>
      </c>
      <c r="D6" s="1068">
        <f>'KB 01'!J$19</f>
        <v>122163500</v>
      </c>
      <c r="E6" s="1068">
        <f>'KB 01'!J$27</f>
        <v>12916486</v>
      </c>
      <c r="F6" s="1068">
        <f>C6-D6-E6</f>
        <v>61712979</v>
      </c>
      <c r="G6" s="1068">
        <f>'(F2) Shpenzimet sipas nenfunk.b'!D6</f>
        <v>310542368</v>
      </c>
      <c r="H6" s="1068">
        <f>'KB 01'!K$19</f>
        <v>7177842</v>
      </c>
      <c r="I6" s="1068">
        <f>'KB 01'!K$27</f>
        <v>13061106</v>
      </c>
      <c r="J6" s="1068">
        <f>G6-H6-I6</f>
        <v>290303420</v>
      </c>
      <c r="K6" s="1068">
        <f>'(F2) Shpenzimet sipas nenfunk.b'!E6</f>
        <v>431325564</v>
      </c>
      <c r="L6" s="1068">
        <f>'KB 01'!L$19</f>
        <v>283517721</v>
      </c>
      <c r="M6" s="1068">
        <f>'KB 01'!L$27</f>
        <v>68480645</v>
      </c>
      <c r="N6" s="1068">
        <f>K6-L6-M6</f>
        <v>79327198</v>
      </c>
      <c r="O6" s="1068">
        <f>'(F2) Shpenzimet sipas nenfunk.b'!I6</f>
        <v>378732688</v>
      </c>
      <c r="P6" s="1068">
        <f>'KB 01'!M$19</f>
        <v>0</v>
      </c>
      <c r="Q6" s="1068">
        <f>'KB 01'!M$27</f>
        <v>8004000</v>
      </c>
      <c r="R6" s="1068">
        <f>O6-P6-Q6</f>
        <v>370728688</v>
      </c>
      <c r="S6" s="1068">
        <f>'(F2) Shpenzimet sipas nenfunk.b'!M6</f>
        <v>320188860</v>
      </c>
      <c r="T6" s="1068">
        <f>'KB 01'!N$19</f>
        <v>0</v>
      </c>
      <c r="U6" s="1068">
        <f>'KB 01'!N$27</f>
        <v>8004000</v>
      </c>
      <c r="V6" s="1068">
        <f>S6-T6-U6</f>
        <v>312184860</v>
      </c>
      <c r="W6" s="1068">
        <f>'(F2) Shpenzimet sipas nenfunk.b'!Q6</f>
        <v>319549283</v>
      </c>
      <c r="X6" s="1068">
        <f>'KB 01'!O$19</f>
        <v>0</v>
      </c>
      <c r="Y6" s="1068">
        <f>'KB 01'!O$27</f>
        <v>8004000</v>
      </c>
      <c r="Z6" s="1068">
        <f>W6-X6-Y6</f>
        <v>311545283</v>
      </c>
    </row>
    <row r="7" spans="1:26" ht="15" customHeight="1" x14ac:dyDescent="0.2">
      <c r="A7" s="1069" t="str">
        <f>'(F2) Shpenzimet sipas nenfunk.b'!A7</f>
        <v>01110</v>
      </c>
      <c r="B7" s="1070" t="str">
        <f>'(F2) Shpenzimet sipas nenfunk.b'!B7</f>
        <v>Planifikimi Menaxhimi dhe Administrimi</v>
      </c>
      <c r="C7" s="1071">
        <f>'(F2) Shpenzimet sipas nenfunk.b'!C7</f>
        <v>188973007</v>
      </c>
      <c r="D7" s="1071">
        <f>'KB 01'!J73</f>
        <v>122163500</v>
      </c>
      <c r="E7" s="1071">
        <f>'KB 01'!J80</f>
        <v>5013486</v>
      </c>
      <c r="F7" s="1071">
        <f>C7-D7-E7</f>
        <v>61796021</v>
      </c>
      <c r="G7" s="1071">
        <f>'(F2) Shpenzimet sipas nenfunk.b'!D7</f>
        <v>300083152</v>
      </c>
      <c r="H7" s="1071">
        <f>'KB 01'!K73</f>
        <v>7177842</v>
      </c>
      <c r="I7" s="1071">
        <f>'KB 01'!K80</f>
        <v>1464890</v>
      </c>
      <c r="J7" s="1071">
        <f>G7-H7-I7</f>
        <v>291440420</v>
      </c>
      <c r="K7" s="1071">
        <f>'(F2) Shpenzimet sipas nenfunk.b'!E7</f>
        <v>423241564</v>
      </c>
      <c r="L7" s="1071">
        <f>'KB 01'!L73</f>
        <v>283517721</v>
      </c>
      <c r="M7" s="1071">
        <f>'KB 01'!L80</f>
        <v>60396645</v>
      </c>
      <c r="N7" s="1071">
        <f>K7-L7-M7</f>
        <v>79327198</v>
      </c>
      <c r="O7" s="1071">
        <f>'(F2) Shpenzimet sipas nenfunk.b'!I7</f>
        <v>370648688</v>
      </c>
      <c r="P7" s="1071">
        <f>'KB 01'!M73</f>
        <v>0</v>
      </c>
      <c r="Q7" s="1071">
        <f>'KB 01'!M80</f>
        <v>0</v>
      </c>
      <c r="R7" s="1071">
        <f>O7-P7-Q7</f>
        <v>370648688</v>
      </c>
      <c r="S7" s="1071">
        <f>'(F2) Shpenzimet sipas nenfunk.b'!M7</f>
        <v>312104860</v>
      </c>
      <c r="T7" s="1071">
        <f>'KB 01'!N73</f>
        <v>0</v>
      </c>
      <c r="U7" s="1071">
        <f>'KB 01'!N80</f>
        <v>0</v>
      </c>
      <c r="V7" s="1071">
        <f>S7-T7-U7</f>
        <v>312104860</v>
      </c>
      <c r="W7" s="1071">
        <f>'(F2) Shpenzimet sipas nenfunk.b'!Q7</f>
        <v>311465283</v>
      </c>
      <c r="X7" s="1071">
        <f>'KB 01'!O73</f>
        <v>0</v>
      </c>
      <c r="Y7" s="1071">
        <f>'KB 01'!O80</f>
        <v>0</v>
      </c>
      <c r="Z7" s="1071">
        <f>W7-X7-Y7</f>
        <v>311465283</v>
      </c>
    </row>
    <row r="8" spans="1:26" ht="15" customHeight="1" x14ac:dyDescent="0.2">
      <c r="A8" s="1069" t="str">
        <f>'(F2) Shpenzimet sipas nenfunk.b'!A8</f>
        <v>01120</v>
      </c>
      <c r="B8" s="1070" t="str">
        <f>'(F2) Shpenzimet sipas nenfunk.b'!B8</f>
        <v>Çështje financiare dhe fiskale</v>
      </c>
      <c r="C8" s="1071">
        <f>'(F2) Shpenzimet sipas nenfunk.b'!C8</f>
        <v>0</v>
      </c>
      <c r="D8" s="1071">
        <f>'KB 01'!J112</f>
        <v>0</v>
      </c>
      <c r="E8" s="1071">
        <f>'KB 01'!J119</f>
        <v>0</v>
      </c>
      <c r="F8" s="1071">
        <f>C8-D8-E8</f>
        <v>0</v>
      </c>
      <c r="G8" s="1071">
        <f>'(F2) Shpenzimet sipas nenfunk.b'!D8</f>
        <v>0</v>
      </c>
      <c r="H8" s="1071">
        <f>'KB 01'!K112</f>
        <v>0</v>
      </c>
      <c r="I8" s="1071">
        <f>'KB 01'!K119</f>
        <v>0</v>
      </c>
      <c r="J8" s="1071">
        <f>G8-H8-I8</f>
        <v>0</v>
      </c>
      <c r="K8" s="1071">
        <f>'(F2) Shpenzimet sipas nenfunk.b'!E8</f>
        <v>0</v>
      </c>
      <c r="L8" s="1071">
        <f>'KB 01'!L112</f>
        <v>0</v>
      </c>
      <c r="M8" s="1071">
        <f>'KB 01'!L119</f>
        <v>0</v>
      </c>
      <c r="N8" s="1071">
        <f>K8-L8-M8</f>
        <v>0</v>
      </c>
      <c r="O8" s="1071">
        <f>'(F2) Shpenzimet sipas nenfunk.b'!I8</f>
        <v>0</v>
      </c>
      <c r="P8" s="1071">
        <f>'KB 01'!M112</f>
        <v>0</v>
      </c>
      <c r="Q8" s="1071">
        <f>'KB 01'!M119</f>
        <v>0</v>
      </c>
      <c r="R8" s="1071">
        <f>O8-P8-Q8</f>
        <v>0</v>
      </c>
      <c r="S8" s="1071">
        <f>'(F2) Shpenzimet sipas nenfunk.b'!M8</f>
        <v>0</v>
      </c>
      <c r="T8" s="1071">
        <f>'KB 01'!N112</f>
        <v>0</v>
      </c>
      <c r="U8" s="1071">
        <f>'KB 01'!N119</f>
        <v>0</v>
      </c>
      <c r="V8" s="1071">
        <f>S8-T8-U8</f>
        <v>0</v>
      </c>
      <c r="W8" s="1071">
        <f>'(F2) Shpenzimet sipas nenfunk.b'!Q8</f>
        <v>0</v>
      </c>
      <c r="X8" s="1071">
        <f>'KB 01'!O112</f>
        <v>0</v>
      </c>
      <c r="Y8" s="1071">
        <f>'KB 01'!O119</f>
        <v>0</v>
      </c>
      <c r="Z8" s="1071">
        <f>W8-X8-Y8</f>
        <v>0</v>
      </c>
    </row>
    <row r="9" spans="1:26" ht="15" customHeight="1" x14ac:dyDescent="0.2">
      <c r="A9" s="1069" t="str">
        <f>'(F2) Shpenzimet sipas nenfunk.b'!A9</f>
        <v>01170</v>
      </c>
      <c r="B9" s="1070" t="str">
        <f>'(F2) Shpenzimet sipas nenfunk.b'!B9</f>
        <v>Gjendja civile</v>
      </c>
      <c r="C9" s="1071">
        <f>'(F2) Shpenzimet sipas nenfunk.b'!C9</f>
        <v>7819958</v>
      </c>
      <c r="D9" s="1071">
        <f>'KB 01'!J190</f>
        <v>0</v>
      </c>
      <c r="E9" s="1071">
        <f>'KB 01'!J197</f>
        <v>7903000</v>
      </c>
      <c r="F9" s="1071">
        <f>C9-D9-E9</f>
        <v>-83042</v>
      </c>
      <c r="G9" s="1071">
        <f>'(F2) Shpenzimet sipas nenfunk.b'!D9</f>
        <v>10459216</v>
      </c>
      <c r="H9" s="1071">
        <f>'KB 01'!K190</f>
        <v>0</v>
      </c>
      <c r="I9" s="1071">
        <f>'KB 01'!K197</f>
        <v>11596216</v>
      </c>
      <c r="J9" s="1071">
        <f>G9-H9-I9</f>
        <v>-1137000</v>
      </c>
      <c r="K9" s="1071">
        <f>'(F2) Shpenzimet sipas nenfunk.b'!E9</f>
        <v>8084000</v>
      </c>
      <c r="L9" s="1071">
        <f>'KB 01'!L190</f>
        <v>0</v>
      </c>
      <c r="M9" s="1071">
        <f>'KB 01'!L197</f>
        <v>8084000</v>
      </c>
      <c r="N9" s="1071">
        <f>K9-L9-M9</f>
        <v>0</v>
      </c>
      <c r="O9" s="1071">
        <f>'(F2) Shpenzimet sipas nenfunk.b'!I9</f>
        <v>8084000</v>
      </c>
      <c r="P9" s="1071">
        <f>'KB 01'!M190</f>
        <v>0</v>
      </c>
      <c r="Q9" s="1071">
        <f>'KB 01'!M197</f>
        <v>8004000</v>
      </c>
      <c r="R9" s="1071">
        <f>O9-P9-Q9</f>
        <v>80000</v>
      </c>
      <c r="S9" s="1071">
        <f>'(F2) Shpenzimet sipas nenfunk.b'!M9</f>
        <v>8084000</v>
      </c>
      <c r="T9" s="1071">
        <f>'KB 01'!N190</f>
        <v>0</v>
      </c>
      <c r="U9" s="1071">
        <f>'KB 01'!N197</f>
        <v>8004000</v>
      </c>
      <c r="V9" s="1071">
        <f>S9-T9-U9</f>
        <v>80000</v>
      </c>
      <c r="W9" s="1071">
        <f>'(F2) Shpenzimet sipas nenfunk.b'!Q9</f>
        <v>8084000</v>
      </c>
      <c r="X9" s="1071">
        <f>'KB 01'!O190</f>
        <v>0</v>
      </c>
      <c r="Y9" s="1071">
        <f>'KB 01'!O197</f>
        <v>8004000</v>
      </c>
      <c r="Z9" s="1071">
        <f>W9-X9-Y9</f>
        <v>80000</v>
      </c>
    </row>
    <row r="10" spans="1:26" ht="15" customHeight="1" x14ac:dyDescent="0.2">
      <c r="A10" s="1066" t="str">
        <f>'(F2) Shpenzimet sipas nenfunk.b'!A10</f>
        <v>Nënfunksioni 2</v>
      </c>
      <c r="B10" s="1067" t="str">
        <f>'(F2) Shpenzimet sipas nenfunk.b'!B10</f>
        <v>017 Shërbime të  huamarrjes vendore</v>
      </c>
      <c r="C10" s="1068">
        <f>'(F2) Shpenzimet sipas nenfunk.b'!C10</f>
        <v>4415703</v>
      </c>
      <c r="D10" s="1068">
        <f>'KB 02'!J$19</f>
        <v>0</v>
      </c>
      <c r="E10" s="1068">
        <f>'KB 02'!J$27</f>
        <v>0</v>
      </c>
      <c r="F10" s="1068">
        <f t="shared" ref="F10:F81" si="0">C10-D10-E10</f>
        <v>4415703</v>
      </c>
      <c r="G10" s="1068">
        <f>'(F2) Shpenzimet sipas nenfunk.b'!D10</f>
        <v>5108041</v>
      </c>
      <c r="H10" s="1068">
        <f>'KB 02'!K$19</f>
        <v>0</v>
      </c>
      <c r="I10" s="1068">
        <f>'KB 02'!K$27</f>
        <v>0</v>
      </c>
      <c r="J10" s="1068">
        <f t="shared" ref="J10:J81" si="1">G10-H10-I10</f>
        <v>5108041</v>
      </c>
      <c r="K10" s="1068">
        <f>'(F2) Shpenzimet sipas nenfunk.b'!E10</f>
        <v>900000</v>
      </c>
      <c r="L10" s="1068">
        <f>'KB 02'!L$19</f>
        <v>0</v>
      </c>
      <c r="M10" s="1068">
        <f>'KB 02'!L$27</f>
        <v>0</v>
      </c>
      <c r="N10" s="1068">
        <f t="shared" ref="N10:N81" si="2">K10-L10-M10</f>
        <v>900000</v>
      </c>
      <c r="O10" s="1068">
        <f>'(F2) Shpenzimet sipas nenfunk.b'!I10</f>
        <v>0</v>
      </c>
      <c r="P10" s="1068">
        <f>'KB 02'!M$19</f>
        <v>0</v>
      </c>
      <c r="Q10" s="1068">
        <f>'KB 02'!M$27</f>
        <v>0</v>
      </c>
      <c r="R10" s="1068">
        <f t="shared" ref="R10:R81" si="3">O10-P10-Q10</f>
        <v>0</v>
      </c>
      <c r="S10" s="1068">
        <f>'(F2) Shpenzimet sipas nenfunk.b'!M10</f>
        <v>0</v>
      </c>
      <c r="T10" s="1068">
        <f>'KB 02'!N$19</f>
        <v>0</v>
      </c>
      <c r="U10" s="1068">
        <f>'KB 02'!N$27</f>
        <v>0</v>
      </c>
      <c r="V10" s="1068">
        <f t="shared" ref="V10:V81" si="4">S10-T10-U10</f>
        <v>0</v>
      </c>
      <c r="W10" s="1068">
        <f>'(F2) Shpenzimet sipas nenfunk.b'!Q10</f>
        <v>0</v>
      </c>
      <c r="X10" s="1068">
        <f>'KB 02'!O$19</f>
        <v>0</v>
      </c>
      <c r="Y10" s="1068">
        <f>'KB 02'!O$27</f>
        <v>0</v>
      </c>
      <c r="Z10" s="1068">
        <f t="shared" ref="Z10:Z81" si="5">W10-X10-Y10</f>
        <v>0</v>
      </c>
    </row>
    <row r="11" spans="1:26" ht="15" hidden="1" customHeight="1" x14ac:dyDescent="0.2">
      <c r="A11" s="1069" t="str">
        <f>'(F2) Shpenzimet sipas nenfunk.b'!A11</f>
        <v>01310</v>
      </c>
      <c r="B11" s="1070" t="str">
        <f>'(F2) Shpenzimet sipas nenfunk.b'!B11</f>
        <v>Planifikimi i përgjithshëm dhe Shërbimet Statistikore</v>
      </c>
      <c r="C11" s="1071">
        <f>'(F2) Shpenzimet sipas nenfunk.b'!C11</f>
        <v>0</v>
      </c>
      <c r="D11" s="1071">
        <f>'KB 02'!J73</f>
        <v>0</v>
      </c>
      <c r="E11" s="1071">
        <f>'KB 02'!J80</f>
        <v>0</v>
      </c>
      <c r="F11" s="1071">
        <f t="shared" si="0"/>
        <v>0</v>
      </c>
      <c r="G11" s="1071">
        <f>'(F2) Shpenzimet sipas nenfunk.b'!D11</f>
        <v>0</v>
      </c>
      <c r="H11" s="1071">
        <f>'KB 02'!K73</f>
        <v>0</v>
      </c>
      <c r="I11" s="1071">
        <f>'KB 02'!K80</f>
        <v>0</v>
      </c>
      <c r="J11" s="1071">
        <f t="shared" si="1"/>
        <v>0</v>
      </c>
      <c r="K11" s="1071">
        <f>'(F2) Shpenzimet sipas nenfunk.b'!E11</f>
        <v>0</v>
      </c>
      <c r="L11" s="1071">
        <f>'KB 02'!L73</f>
        <v>0</v>
      </c>
      <c r="M11" s="1071">
        <f>'KB 02'!L80</f>
        <v>0</v>
      </c>
      <c r="N11" s="1071">
        <f t="shared" si="2"/>
        <v>0</v>
      </c>
      <c r="O11" s="1071">
        <f>'(F2) Shpenzimet sipas nenfunk.b'!I11</f>
        <v>0</v>
      </c>
      <c r="P11" s="1071">
        <f>'KB 02'!M73</f>
        <v>0</v>
      </c>
      <c r="Q11" s="1071">
        <f>'KB 02'!M80</f>
        <v>0</v>
      </c>
      <c r="R11" s="1071">
        <f t="shared" si="3"/>
        <v>0</v>
      </c>
      <c r="S11" s="1071">
        <f>'(F2) Shpenzimet sipas nenfunk.b'!M11</f>
        <v>0</v>
      </c>
      <c r="T11" s="1071">
        <f>'KB 02'!N73</f>
        <v>0</v>
      </c>
      <c r="U11" s="1071">
        <f>'KB 02'!N80</f>
        <v>0</v>
      </c>
      <c r="V11" s="1071">
        <f t="shared" si="4"/>
        <v>0</v>
      </c>
      <c r="W11" s="1071">
        <f>'(F2) Shpenzimet sipas nenfunk.b'!Q11</f>
        <v>0</v>
      </c>
      <c r="X11" s="1071">
        <f>'KB 02'!O73</f>
        <v>0</v>
      </c>
      <c r="Y11" s="1071">
        <f>'KB 02'!O80</f>
        <v>0</v>
      </c>
      <c r="Z11" s="1071">
        <f t="shared" si="5"/>
        <v>0</v>
      </c>
    </row>
    <row r="12" spans="1:26" ht="15" hidden="1" customHeight="1" x14ac:dyDescent="0.2">
      <c r="A12" s="1069" t="str">
        <f>'(F2) Shpenzimet sipas nenfunk.b'!A12</f>
        <v>01320</v>
      </c>
      <c r="B12" s="1070" t="str">
        <f>'(F2) Shpenzimet sipas nenfunk.b'!B12</f>
        <v>Shërbime të tjera të përgjithshme</v>
      </c>
      <c r="C12" s="1071">
        <f>'(F2) Shpenzimet sipas nenfunk.b'!C12</f>
        <v>0</v>
      </c>
      <c r="D12" s="1071">
        <f>'KB 02'!J151</f>
        <v>0</v>
      </c>
      <c r="E12" s="1071">
        <f>'KB 02'!J158</f>
        <v>0</v>
      </c>
      <c r="F12" s="1071">
        <f>C12-D12-E12</f>
        <v>0</v>
      </c>
      <c r="G12" s="1071">
        <f>'(F2) Shpenzimet sipas nenfunk.b'!D12</f>
        <v>0</v>
      </c>
      <c r="H12" s="1071">
        <f>'KB 02'!K151</f>
        <v>0</v>
      </c>
      <c r="I12" s="1071">
        <f>'KB 02'!K158</f>
        <v>0</v>
      </c>
      <c r="J12" s="1071">
        <f t="shared" si="1"/>
        <v>0</v>
      </c>
      <c r="K12" s="1071">
        <f>'(F2) Shpenzimet sipas nenfunk.b'!E12</f>
        <v>0</v>
      </c>
      <c r="L12" s="1071">
        <f>'KB 02'!L151</f>
        <v>0</v>
      </c>
      <c r="M12" s="1071">
        <f>'KB 02'!L158</f>
        <v>0</v>
      </c>
      <c r="N12" s="1071">
        <f t="shared" si="2"/>
        <v>0</v>
      </c>
      <c r="O12" s="1071">
        <f>'(F2) Shpenzimet sipas nenfunk.b'!I12</f>
        <v>0</v>
      </c>
      <c r="P12" s="1071">
        <f>'KB 02'!M151</f>
        <v>0</v>
      </c>
      <c r="Q12" s="1071">
        <f>'KB 02'!M158</f>
        <v>0</v>
      </c>
      <c r="R12" s="1071">
        <f t="shared" si="3"/>
        <v>0</v>
      </c>
      <c r="S12" s="1071">
        <f>'(F2) Shpenzimet sipas nenfunk.b'!M12</f>
        <v>0</v>
      </c>
      <c r="T12" s="1071">
        <f>'KB 02'!N151</f>
        <v>0</v>
      </c>
      <c r="U12" s="1071">
        <f>'KB 02'!N158</f>
        <v>0</v>
      </c>
      <c r="V12" s="1071">
        <f t="shared" si="4"/>
        <v>0</v>
      </c>
      <c r="W12" s="1071">
        <f>'(F2) Shpenzimet sipas nenfunk.b'!Q12</f>
        <v>0</v>
      </c>
      <c r="X12" s="1071">
        <f>'KB 02'!O151</f>
        <v>0</v>
      </c>
      <c r="Y12" s="1071">
        <f>'KB 02'!O158</f>
        <v>0</v>
      </c>
      <c r="Z12" s="1071">
        <f t="shared" si="5"/>
        <v>0</v>
      </c>
    </row>
    <row r="13" spans="1:26" ht="15" customHeight="1" x14ac:dyDescent="0.2">
      <c r="A13" s="1069" t="str">
        <f>'(F2) Shpenzimet sipas nenfunk.b'!A13</f>
        <v>01710</v>
      </c>
      <c r="B13" s="1070" t="str">
        <f>'(F2) Shpenzimet sipas nenfunk.b'!B13</f>
        <v>Pagesa për shërbimin e borxhit të brendshëm</v>
      </c>
      <c r="C13" s="1071">
        <f>'(F2) Shpenzimet sipas nenfunk.b'!C13</f>
        <v>4415703</v>
      </c>
      <c r="D13" s="1071">
        <f>'KB 02'!J190</f>
        <v>0</v>
      </c>
      <c r="E13" s="1071">
        <f>'KB 02'!J197</f>
        <v>0</v>
      </c>
      <c r="F13" s="1071">
        <f t="shared" si="0"/>
        <v>4415703</v>
      </c>
      <c r="G13" s="1071">
        <f>'(F2) Shpenzimet sipas nenfunk.b'!D13</f>
        <v>5108041</v>
      </c>
      <c r="H13" s="1071">
        <f>'KB 02'!K190</f>
        <v>0</v>
      </c>
      <c r="I13" s="1071">
        <f>'KB 02'!K197</f>
        <v>0</v>
      </c>
      <c r="J13" s="1071">
        <f t="shared" si="1"/>
        <v>5108041</v>
      </c>
      <c r="K13" s="1071">
        <f>'(F2) Shpenzimet sipas nenfunk.b'!E13</f>
        <v>900000</v>
      </c>
      <c r="L13" s="1071">
        <f>'KB 02'!L190</f>
        <v>0</v>
      </c>
      <c r="M13" s="1071">
        <f>'KB 02'!L197</f>
        <v>0</v>
      </c>
      <c r="N13" s="1071">
        <f t="shared" si="2"/>
        <v>900000</v>
      </c>
      <c r="O13" s="1071">
        <f>'(F2) Shpenzimet sipas nenfunk.b'!I13</f>
        <v>0</v>
      </c>
      <c r="P13" s="1071">
        <f>'KB 02'!M190</f>
        <v>0</v>
      </c>
      <c r="Q13" s="1071">
        <f>'KB 02'!M197</f>
        <v>0</v>
      </c>
      <c r="R13" s="1071">
        <f t="shared" si="3"/>
        <v>0</v>
      </c>
      <c r="S13" s="1071">
        <f>'(F2) Shpenzimet sipas nenfunk.b'!M13</f>
        <v>0</v>
      </c>
      <c r="T13" s="1071">
        <f>'KB 02'!N190</f>
        <v>0</v>
      </c>
      <c r="U13" s="1071">
        <f>'KB 02'!N197</f>
        <v>0</v>
      </c>
      <c r="V13" s="1071">
        <f t="shared" si="4"/>
        <v>0</v>
      </c>
      <c r="W13" s="1071">
        <f>'(F2) Shpenzimet sipas nenfunk.b'!Q13</f>
        <v>0</v>
      </c>
      <c r="X13" s="1071">
        <f>'KB 02'!O190</f>
        <v>0</v>
      </c>
      <c r="Y13" s="1071">
        <f>'KB 02'!O197</f>
        <v>0</v>
      </c>
      <c r="Z13" s="1071">
        <f t="shared" si="5"/>
        <v>0</v>
      </c>
    </row>
    <row r="14" spans="1:26" ht="15" customHeight="1" x14ac:dyDescent="0.2">
      <c r="A14" s="1066" t="str">
        <f>'(F2) Shpenzimet sipas nenfunk.b'!A14</f>
        <v>Nënfunksioni 3</v>
      </c>
      <c r="B14" s="1067" t="str">
        <f>'(F2) Shpenzimet sipas nenfunk.b'!B14</f>
        <v>031 Shërbimet Policore</v>
      </c>
      <c r="C14" s="1068">
        <f>'(F2) Shpenzimet sipas nenfunk.b'!C14</f>
        <v>0</v>
      </c>
      <c r="D14" s="1068">
        <f>'KB 03'!J$19</f>
        <v>0</v>
      </c>
      <c r="E14" s="1068">
        <f>'KB 03'!J$27</f>
        <v>0</v>
      </c>
      <c r="F14" s="1068">
        <f t="shared" si="0"/>
        <v>0</v>
      </c>
      <c r="G14" s="1068">
        <f>'(F2) Shpenzimet sipas nenfunk.b'!D14</f>
        <v>0</v>
      </c>
      <c r="H14" s="1068">
        <f>'KB 03'!K$19</f>
        <v>0</v>
      </c>
      <c r="I14" s="1068">
        <f>'KB 03'!K$27</f>
        <v>0</v>
      </c>
      <c r="J14" s="1068">
        <f t="shared" si="1"/>
        <v>0</v>
      </c>
      <c r="K14" s="1068">
        <f>'(F2) Shpenzimet sipas nenfunk.b'!E14</f>
        <v>0</v>
      </c>
      <c r="L14" s="1068">
        <f>'KB 03'!L$19</f>
        <v>0</v>
      </c>
      <c r="M14" s="1068">
        <f>'KB 03'!L$27</f>
        <v>0</v>
      </c>
      <c r="N14" s="1068">
        <f t="shared" si="2"/>
        <v>0</v>
      </c>
      <c r="O14" s="1068">
        <f>'(F2) Shpenzimet sipas nenfunk.b'!I14</f>
        <v>0</v>
      </c>
      <c r="P14" s="1068">
        <f>'KB 03'!M$19</f>
        <v>0</v>
      </c>
      <c r="Q14" s="1068">
        <f>'KB 03'!M$27</f>
        <v>0</v>
      </c>
      <c r="R14" s="1068">
        <f t="shared" si="3"/>
        <v>0</v>
      </c>
      <c r="S14" s="1068">
        <f>'(F2) Shpenzimet sipas nenfunk.b'!M14</f>
        <v>0</v>
      </c>
      <c r="T14" s="1068">
        <f>'KB 03'!N$19</f>
        <v>0</v>
      </c>
      <c r="U14" s="1068">
        <f>'KB 03'!N$27</f>
        <v>0</v>
      </c>
      <c r="V14" s="1068">
        <f t="shared" si="4"/>
        <v>0</v>
      </c>
      <c r="W14" s="1068">
        <f>'(F2) Shpenzimet sipas nenfunk.b'!Q14</f>
        <v>0</v>
      </c>
      <c r="X14" s="1068">
        <f>'KB 03'!O$19</f>
        <v>0</v>
      </c>
      <c r="Y14" s="1068">
        <f>'KB 03'!O$27</f>
        <v>0</v>
      </c>
      <c r="Z14" s="1068">
        <f t="shared" si="5"/>
        <v>0</v>
      </c>
    </row>
    <row r="15" spans="1:26" ht="15" customHeight="1" x14ac:dyDescent="0.2">
      <c r="A15" s="1069" t="str">
        <f>'(F2) Shpenzimet sipas nenfunk.b'!A15</f>
        <v>03140</v>
      </c>
      <c r="B15" s="1070" t="str">
        <f>'(F2) Shpenzimet sipas nenfunk.b'!B15</f>
        <v>Shërbimet e Policisë Vendore</v>
      </c>
      <c r="C15" s="1071">
        <f>'(F2) Shpenzimet sipas nenfunk.b'!C15</f>
        <v>0</v>
      </c>
      <c r="D15" s="1071">
        <f>'KB 03'!J73</f>
        <v>0</v>
      </c>
      <c r="E15" s="1071">
        <f>'KB 03'!J80</f>
        <v>0</v>
      </c>
      <c r="F15" s="1071">
        <f t="shared" si="0"/>
        <v>0</v>
      </c>
      <c r="G15" s="1071">
        <f>'(F2) Shpenzimet sipas nenfunk.b'!D15</f>
        <v>0</v>
      </c>
      <c r="H15" s="1071">
        <f>'KB 03'!K73</f>
        <v>0</v>
      </c>
      <c r="I15" s="1071">
        <f>'KB 03'!K80</f>
        <v>0</v>
      </c>
      <c r="J15" s="1071">
        <f t="shared" si="1"/>
        <v>0</v>
      </c>
      <c r="K15" s="1071">
        <f>'(F2) Shpenzimet sipas nenfunk.b'!E15</f>
        <v>0</v>
      </c>
      <c r="L15" s="1071">
        <f>'KB 03'!L73</f>
        <v>0</v>
      </c>
      <c r="M15" s="1071">
        <f>'KB 03'!L80</f>
        <v>0</v>
      </c>
      <c r="N15" s="1071">
        <f t="shared" si="2"/>
        <v>0</v>
      </c>
      <c r="O15" s="1071">
        <f>'(F2) Shpenzimet sipas nenfunk.b'!I15</f>
        <v>0</v>
      </c>
      <c r="P15" s="1071">
        <f>'KB 03'!M73</f>
        <v>0</v>
      </c>
      <c r="Q15" s="1071">
        <f>'KB 03'!M80</f>
        <v>0</v>
      </c>
      <c r="R15" s="1071">
        <f t="shared" si="3"/>
        <v>0</v>
      </c>
      <c r="S15" s="1071">
        <f>'(F2) Shpenzimet sipas nenfunk.b'!M15</f>
        <v>0</v>
      </c>
      <c r="T15" s="1071">
        <f>'KB 03'!N73</f>
        <v>0</v>
      </c>
      <c r="U15" s="1071">
        <f>'KB 03'!N80</f>
        <v>0</v>
      </c>
      <c r="V15" s="1071">
        <f t="shared" si="4"/>
        <v>0</v>
      </c>
      <c r="W15" s="1071">
        <f>'(F2) Shpenzimet sipas nenfunk.b'!Q15</f>
        <v>0</v>
      </c>
      <c r="X15" s="1071">
        <f>'KB 03'!O73</f>
        <v>0</v>
      </c>
      <c r="Y15" s="1071">
        <f>'KB 03'!O80</f>
        <v>0</v>
      </c>
      <c r="Z15" s="1071">
        <f t="shared" si="5"/>
        <v>0</v>
      </c>
    </row>
    <row r="16" spans="1:26" ht="15" customHeight="1" x14ac:dyDescent="0.2">
      <c r="A16" s="1066" t="str">
        <f>'(F2) Shpenzimet sipas nenfunk.b'!A16</f>
        <v>Nënfunksioni 4</v>
      </c>
      <c r="B16" s="1067" t="str">
        <f>'(F2) Shpenzimet sipas nenfunk.b'!B16</f>
        <v>032 Shërbimet e mbrojtjes ndaj zjarrit</v>
      </c>
      <c r="C16" s="1068">
        <f>'(F2) Shpenzimet sipas nenfunk.b'!C16</f>
        <v>11570753</v>
      </c>
      <c r="D16" s="1068">
        <f>'KB 04'!J$19</f>
        <v>147240</v>
      </c>
      <c r="E16" s="1068">
        <f>'KB 04'!J$27</f>
        <v>17901639</v>
      </c>
      <c r="F16" s="1068">
        <f t="shared" si="0"/>
        <v>-6478126</v>
      </c>
      <c r="G16" s="1068">
        <f>'(F2) Shpenzimet sipas nenfunk.b'!D16</f>
        <v>13488330</v>
      </c>
      <c r="H16" s="1068">
        <f>'KB 04'!K$19</f>
        <v>249268</v>
      </c>
      <c r="I16" s="1068">
        <f>'KB 04'!K$27</f>
        <v>20002864</v>
      </c>
      <c r="J16" s="1068">
        <f t="shared" si="1"/>
        <v>-6763802</v>
      </c>
      <c r="K16" s="1068">
        <f>'(F2) Shpenzimet sipas nenfunk.b'!E16</f>
        <v>20596534</v>
      </c>
      <c r="L16" s="1068">
        <f>'KB 04'!L$19</f>
        <v>200000</v>
      </c>
      <c r="M16" s="1068">
        <f>'KB 04'!L$27</f>
        <v>14082000</v>
      </c>
      <c r="N16" s="1068">
        <f t="shared" si="2"/>
        <v>6314534</v>
      </c>
      <c r="O16" s="1068">
        <f>'(F2) Shpenzimet sipas nenfunk.b'!I16</f>
        <v>17429650</v>
      </c>
      <c r="P16" s="1068">
        <f>'KB 04'!M$19</f>
        <v>0</v>
      </c>
      <c r="Q16" s="1068">
        <f>'KB 04'!M$27</f>
        <v>14082000</v>
      </c>
      <c r="R16" s="1068">
        <f t="shared" si="3"/>
        <v>3347650</v>
      </c>
      <c r="S16" s="1068">
        <f>'(F2) Shpenzimet sipas nenfunk.b'!M16</f>
        <v>17429650</v>
      </c>
      <c r="T16" s="1068">
        <f>'KB 04'!N$19</f>
        <v>0</v>
      </c>
      <c r="U16" s="1068">
        <f>'KB 04'!N$27</f>
        <v>14082000</v>
      </c>
      <c r="V16" s="1068">
        <f t="shared" si="4"/>
        <v>3347650</v>
      </c>
      <c r="W16" s="1068">
        <f>'(F2) Shpenzimet sipas nenfunk.b'!Q16</f>
        <v>17429650</v>
      </c>
      <c r="X16" s="1068">
        <f>'KB 04'!O$19</f>
        <v>0</v>
      </c>
      <c r="Y16" s="1068">
        <f>'KB 04'!O$27</f>
        <v>14082000</v>
      </c>
      <c r="Z16" s="1068">
        <f t="shared" si="5"/>
        <v>3347650</v>
      </c>
    </row>
    <row r="17" spans="1:26" ht="15" customHeight="1" x14ac:dyDescent="0.2">
      <c r="A17" s="1069" t="str">
        <f>'(F2) Shpenzimet sipas nenfunk.b'!A17</f>
        <v>03280</v>
      </c>
      <c r="B17" s="1070" t="str">
        <f>'(F2) Shpenzimet sipas nenfunk.b'!B17</f>
        <v>Mbrotja nga zjarri dhe mbrojtja civile</v>
      </c>
      <c r="C17" s="1071">
        <f>'(F2) Shpenzimet sipas nenfunk.b'!C17</f>
        <v>11570753</v>
      </c>
      <c r="D17" s="1071">
        <f>'KB 04'!J73</f>
        <v>147240</v>
      </c>
      <c r="E17" s="1071">
        <f>'KB 04'!J80</f>
        <v>17901639</v>
      </c>
      <c r="F17" s="1071">
        <f t="shared" si="0"/>
        <v>-6478126</v>
      </c>
      <c r="G17" s="1071">
        <f>'(F2) Shpenzimet sipas nenfunk.b'!D17</f>
        <v>13488330</v>
      </c>
      <c r="H17" s="1071">
        <f>'KB 04'!K73</f>
        <v>249268</v>
      </c>
      <c r="I17" s="1071">
        <f>'KB 04'!K80</f>
        <v>20002864</v>
      </c>
      <c r="J17" s="1071">
        <f t="shared" si="1"/>
        <v>-6763802</v>
      </c>
      <c r="K17" s="1071">
        <f>'(F2) Shpenzimet sipas nenfunk.b'!E17</f>
        <v>20596534</v>
      </c>
      <c r="L17" s="1071">
        <f>'KB 04'!L73</f>
        <v>200000</v>
      </c>
      <c r="M17" s="1071">
        <f>'KB 04'!L80</f>
        <v>14082000</v>
      </c>
      <c r="N17" s="1071">
        <f t="shared" si="2"/>
        <v>6314534</v>
      </c>
      <c r="O17" s="1071">
        <f>'(F2) Shpenzimet sipas nenfunk.b'!I17</f>
        <v>17429650</v>
      </c>
      <c r="P17" s="1071">
        <f>'KB 04'!M73</f>
        <v>0</v>
      </c>
      <c r="Q17" s="1071">
        <f>'KB 04'!M80</f>
        <v>14082000</v>
      </c>
      <c r="R17" s="1071">
        <f t="shared" si="3"/>
        <v>3347650</v>
      </c>
      <c r="S17" s="1071">
        <f>'(F2) Shpenzimet sipas nenfunk.b'!M17</f>
        <v>17429650</v>
      </c>
      <c r="T17" s="1071">
        <f>'KB 04'!N73</f>
        <v>0</v>
      </c>
      <c r="U17" s="1071">
        <f>'KB 04'!N80</f>
        <v>14082000</v>
      </c>
      <c r="V17" s="1071">
        <f t="shared" si="4"/>
        <v>3347650</v>
      </c>
      <c r="W17" s="1071">
        <f>'(F2) Shpenzimet sipas nenfunk.b'!Q17</f>
        <v>17429650</v>
      </c>
      <c r="X17" s="1071">
        <f>'KB 04'!O73</f>
        <v>0</v>
      </c>
      <c r="Y17" s="1071">
        <f>'KB 04'!O80</f>
        <v>14082000</v>
      </c>
      <c r="Z17" s="1071">
        <f t="shared" si="5"/>
        <v>3347650</v>
      </c>
    </row>
    <row r="18" spans="1:26" ht="15" customHeight="1" x14ac:dyDescent="0.2">
      <c r="A18" s="1066" t="str">
        <f>'(F2) Shpenzimet sipas nenfunk.b'!A18</f>
        <v>Nënfunksioni 5</v>
      </c>
      <c r="B18" s="1067" t="str">
        <f>'(F2) Shpenzimet sipas nenfunk.b'!B18</f>
        <v>036 Marrdheniet me komunitetin</v>
      </c>
      <c r="C18" s="1068">
        <f>'(F2) Shpenzimet sipas nenfunk.b'!C18</f>
        <v>0</v>
      </c>
      <c r="D18" s="1068">
        <f>'KB 05'!J$19</f>
        <v>0</v>
      </c>
      <c r="E18" s="1068">
        <f>'KB 05'!J$27</f>
        <v>0</v>
      </c>
      <c r="F18" s="1068">
        <f t="shared" si="0"/>
        <v>0</v>
      </c>
      <c r="G18" s="1068">
        <f>'(F2) Shpenzimet sipas nenfunk.b'!D18</f>
        <v>0</v>
      </c>
      <c r="H18" s="1068">
        <f>'KB 05'!K$19</f>
        <v>0</v>
      </c>
      <c r="I18" s="1068">
        <f>'KB 05'!K$27</f>
        <v>0</v>
      </c>
      <c r="J18" s="1068">
        <f t="shared" si="1"/>
        <v>0</v>
      </c>
      <c r="K18" s="1068">
        <f>'(F2) Shpenzimet sipas nenfunk.b'!E18</f>
        <v>0</v>
      </c>
      <c r="L18" s="1068">
        <f>'KB 05'!L$19</f>
        <v>0</v>
      </c>
      <c r="M18" s="1068">
        <f>'KB 05'!L$27</f>
        <v>0</v>
      </c>
      <c r="N18" s="1068">
        <f t="shared" si="2"/>
        <v>0</v>
      </c>
      <c r="O18" s="1068">
        <f>'(F2) Shpenzimet sipas nenfunk.b'!I18</f>
        <v>0</v>
      </c>
      <c r="P18" s="1068">
        <f>'KB 05'!M$19</f>
        <v>0</v>
      </c>
      <c r="Q18" s="1068">
        <f>'KB 05'!M$27</f>
        <v>0</v>
      </c>
      <c r="R18" s="1068">
        <f t="shared" si="3"/>
        <v>0</v>
      </c>
      <c r="S18" s="1068">
        <f>'(F2) Shpenzimet sipas nenfunk.b'!M18</f>
        <v>0</v>
      </c>
      <c r="T18" s="1068">
        <f>'KB 05'!N$19</f>
        <v>0</v>
      </c>
      <c r="U18" s="1068">
        <f>'KB 05'!N$27</f>
        <v>0</v>
      </c>
      <c r="V18" s="1068">
        <f t="shared" si="4"/>
        <v>0</v>
      </c>
      <c r="W18" s="1068">
        <f>'(F2) Shpenzimet sipas nenfunk.b'!Q18</f>
        <v>0</v>
      </c>
      <c r="X18" s="1068">
        <f>'KB 05'!O$19</f>
        <v>0</v>
      </c>
      <c r="Y18" s="1068">
        <f>'KB 05'!O$27</f>
        <v>0</v>
      </c>
      <c r="Z18" s="1068">
        <f t="shared" si="5"/>
        <v>0</v>
      </c>
    </row>
    <row r="19" spans="1:26" ht="15" customHeight="1" x14ac:dyDescent="0.2">
      <c r="A19" s="1069" t="str">
        <f>'(F2) Shpenzimet sipas nenfunk.b'!A19</f>
        <v>03600</v>
      </c>
      <c r="B19" s="1070" t="str">
        <f>'(F2) Shpenzimet sipas nenfunk.b'!B19</f>
        <v>Marrdheniet me komunitetin</v>
      </c>
      <c r="C19" s="1071">
        <f>'(F2) Shpenzimet sipas nenfunk.b'!C19</f>
        <v>0</v>
      </c>
      <c r="D19" s="1071">
        <f>'KB 05'!J73</f>
        <v>0</v>
      </c>
      <c r="E19" s="1071">
        <f>'KB 05'!J80</f>
        <v>0</v>
      </c>
      <c r="F19" s="1071">
        <f>C19-D19-E19</f>
        <v>0</v>
      </c>
      <c r="G19" s="1071">
        <f>'(F2) Shpenzimet sipas nenfunk.b'!D19</f>
        <v>0</v>
      </c>
      <c r="H19" s="1071">
        <f>'KB 05'!K73</f>
        <v>0</v>
      </c>
      <c r="I19" s="1071">
        <f>'KB 05'!K80</f>
        <v>0</v>
      </c>
      <c r="J19" s="1071">
        <f t="shared" si="1"/>
        <v>0</v>
      </c>
      <c r="K19" s="1071">
        <f>'(F2) Shpenzimet sipas nenfunk.b'!E19</f>
        <v>0</v>
      </c>
      <c r="L19" s="1071">
        <f>'KB 05'!L73</f>
        <v>0</v>
      </c>
      <c r="M19" s="1071">
        <f>'KB 05'!L80</f>
        <v>0</v>
      </c>
      <c r="N19" s="1071">
        <f t="shared" si="2"/>
        <v>0</v>
      </c>
      <c r="O19" s="1071">
        <f>'(F2) Shpenzimet sipas nenfunk.b'!I19</f>
        <v>0</v>
      </c>
      <c r="P19" s="1071">
        <f>'KB 05'!M73</f>
        <v>0</v>
      </c>
      <c r="Q19" s="1071">
        <f>'KB 05'!M80</f>
        <v>0</v>
      </c>
      <c r="R19" s="1071">
        <f t="shared" si="3"/>
        <v>0</v>
      </c>
      <c r="S19" s="1071">
        <f>'(F2) Shpenzimet sipas nenfunk.b'!M19</f>
        <v>0</v>
      </c>
      <c r="T19" s="1071">
        <f>'KB 05'!N73</f>
        <v>0</v>
      </c>
      <c r="U19" s="1071">
        <f>'KB 05'!N80</f>
        <v>0</v>
      </c>
      <c r="V19" s="1071">
        <f t="shared" si="4"/>
        <v>0</v>
      </c>
      <c r="W19" s="1071">
        <f>'(F2) Shpenzimet sipas nenfunk.b'!Q19</f>
        <v>0</v>
      </c>
      <c r="X19" s="1071">
        <f>'KB 05'!O73</f>
        <v>0</v>
      </c>
      <c r="Y19" s="1071">
        <f>'KB 05'!O80</f>
        <v>0</v>
      </c>
      <c r="Z19" s="1071">
        <f t="shared" si="5"/>
        <v>0</v>
      </c>
    </row>
    <row r="20" spans="1:26" ht="15" customHeight="1" x14ac:dyDescent="0.2">
      <c r="A20" s="1066" t="str">
        <f>'(F2) Shpenzimet sipas nenfunk.b'!A20</f>
        <v>Nënfunksioni 6</v>
      </c>
      <c r="B20" s="1067" t="str">
        <f>'(F2) Shpenzimet sipas nenfunk.b'!B20</f>
        <v>041 Çështjet e përgjithshme ekonomike, tregtare dhe të punës</v>
      </c>
      <c r="C20" s="1068">
        <f>'(F2) Shpenzimet sipas nenfunk.b'!C20</f>
        <v>1585692</v>
      </c>
      <c r="D20" s="1068">
        <f>'KB 06'!J$19</f>
        <v>0</v>
      </c>
      <c r="E20" s="1068">
        <f>'KB 06'!J$27</f>
        <v>1667733</v>
      </c>
      <c r="F20" s="1068">
        <f t="shared" si="0"/>
        <v>-82041</v>
      </c>
      <c r="G20" s="1068">
        <f>'(F2) Shpenzimet sipas nenfunk.b'!D20</f>
        <v>1603935</v>
      </c>
      <c r="H20" s="1068">
        <f>'KB 06'!K$19</f>
        <v>0</v>
      </c>
      <c r="I20" s="1068">
        <f>'KB 06'!K$27</f>
        <v>1675575</v>
      </c>
      <c r="J20" s="1068">
        <f t="shared" si="1"/>
        <v>-71640</v>
      </c>
      <c r="K20" s="1068">
        <f>'(F2) Shpenzimet sipas nenfunk.b'!E20</f>
        <v>1675575</v>
      </c>
      <c r="L20" s="1068">
        <f>'KB 06'!L$19</f>
        <v>0</v>
      </c>
      <c r="M20" s="1068">
        <f>'KB 06'!L$27</f>
        <v>1675575</v>
      </c>
      <c r="N20" s="1068">
        <f t="shared" si="2"/>
        <v>0</v>
      </c>
      <c r="O20" s="1068">
        <f>'(F2) Shpenzimet sipas nenfunk.b'!I20</f>
        <v>1710000</v>
      </c>
      <c r="P20" s="1068">
        <f>'KB 06'!M$19</f>
        <v>0</v>
      </c>
      <c r="Q20" s="1068">
        <f>'KB 06'!M$27</f>
        <v>1710000</v>
      </c>
      <c r="R20" s="1068">
        <f t="shared" si="3"/>
        <v>0</v>
      </c>
      <c r="S20" s="1068">
        <f>'(F2) Shpenzimet sipas nenfunk.b'!M20</f>
        <v>1725000</v>
      </c>
      <c r="T20" s="1068">
        <f>'KB 06'!N$19</f>
        <v>0</v>
      </c>
      <c r="U20" s="1068">
        <f>'KB 06'!N$27</f>
        <v>1725000</v>
      </c>
      <c r="V20" s="1068">
        <f t="shared" si="4"/>
        <v>0</v>
      </c>
      <c r="W20" s="1068">
        <f>'(F2) Shpenzimet sipas nenfunk.b'!Q20</f>
        <v>1770000</v>
      </c>
      <c r="X20" s="1068">
        <f>'KB 06'!O$19</f>
        <v>0</v>
      </c>
      <c r="Y20" s="1068">
        <f>'KB 06'!O$27</f>
        <v>1770000</v>
      </c>
      <c r="Z20" s="1068">
        <f t="shared" si="5"/>
        <v>0</v>
      </c>
    </row>
    <row r="21" spans="1:26" ht="15" hidden="1" customHeight="1" x14ac:dyDescent="0.2">
      <c r="A21" s="1069" t="str">
        <f>'(F2) Shpenzimet sipas nenfunk.b'!A21</f>
        <v>04110</v>
      </c>
      <c r="B21" s="1070" t="str">
        <f>'(F2) Shpenzimet sipas nenfunk.b'!B21</f>
        <v xml:space="preserve">Çështjet e përgjithshme ekonomike dhe tregtare </v>
      </c>
      <c r="C21" s="1071">
        <f>'(F2) Shpenzimet sipas nenfunk.b'!C21</f>
        <v>0</v>
      </c>
      <c r="D21" s="1071">
        <f>'KB 06'!J73</f>
        <v>0</v>
      </c>
      <c r="E21" s="1071">
        <f>'KB 06'!J80</f>
        <v>0</v>
      </c>
      <c r="F21" s="1071">
        <f t="shared" si="0"/>
        <v>0</v>
      </c>
      <c r="G21" s="1071">
        <f>'(F2) Shpenzimet sipas nenfunk.b'!D21</f>
        <v>0</v>
      </c>
      <c r="H21" s="1071">
        <f>'KB 06'!K73</f>
        <v>0</v>
      </c>
      <c r="I21" s="1071">
        <f>'KB 06'!K80</f>
        <v>0</v>
      </c>
      <c r="J21" s="1071">
        <f t="shared" si="1"/>
        <v>0</v>
      </c>
      <c r="K21" s="1071">
        <f>'(F2) Shpenzimet sipas nenfunk.b'!E21</f>
        <v>0</v>
      </c>
      <c r="L21" s="1071">
        <f>'KB 06'!L73</f>
        <v>0</v>
      </c>
      <c r="M21" s="1071">
        <f>'KB 06'!L80</f>
        <v>0</v>
      </c>
      <c r="N21" s="1071">
        <f t="shared" si="2"/>
        <v>0</v>
      </c>
      <c r="O21" s="1071">
        <f>'(F2) Shpenzimet sipas nenfunk.b'!I21</f>
        <v>0</v>
      </c>
      <c r="P21" s="1071">
        <f>'KB 06'!M73</f>
        <v>0</v>
      </c>
      <c r="Q21" s="1071">
        <f>'KB 06'!M80</f>
        <v>0</v>
      </c>
      <c r="R21" s="1071">
        <f t="shared" si="3"/>
        <v>0</v>
      </c>
      <c r="S21" s="1071">
        <f>'(F2) Shpenzimet sipas nenfunk.b'!M21</f>
        <v>0</v>
      </c>
      <c r="T21" s="1071">
        <f>'KB 06'!N73</f>
        <v>0</v>
      </c>
      <c r="U21" s="1071">
        <f>'KB 06'!N80</f>
        <v>0</v>
      </c>
      <c r="V21" s="1071">
        <f t="shared" si="4"/>
        <v>0</v>
      </c>
      <c r="W21" s="1071">
        <f>'(F2) Shpenzimet sipas nenfunk.b'!Q21</f>
        <v>0</v>
      </c>
      <c r="X21" s="1071">
        <f>'KB 06'!O73</f>
        <v>0</v>
      </c>
      <c r="Y21" s="1071">
        <f>'KB 06'!O80</f>
        <v>0</v>
      </c>
      <c r="Z21" s="1071">
        <f t="shared" si="5"/>
        <v>0</v>
      </c>
    </row>
    <row r="22" spans="1:26" ht="15" customHeight="1" x14ac:dyDescent="0.2">
      <c r="A22" s="1069" t="str">
        <f>'(F2) Shpenzimet sipas nenfunk.b'!A22</f>
        <v>04130</v>
      </c>
      <c r="B22" s="1070" t="str">
        <f>'(F2) Shpenzimet sipas nenfunk.b'!B22</f>
        <v>Mbështetje për zhvillimin ekonomik</v>
      </c>
      <c r="C22" s="1071">
        <f>'(F2) Shpenzimet sipas nenfunk.b'!C22</f>
        <v>1585692</v>
      </c>
      <c r="D22" s="1071">
        <f>'KB 06'!J112</f>
        <v>0</v>
      </c>
      <c r="E22" s="1071">
        <f>'KB 06'!J119</f>
        <v>1667733</v>
      </c>
      <c r="F22" s="1071">
        <f t="shared" si="0"/>
        <v>-82041</v>
      </c>
      <c r="G22" s="1071">
        <f>'(F2) Shpenzimet sipas nenfunk.b'!D22</f>
        <v>1603935</v>
      </c>
      <c r="H22" s="1071">
        <f>'KB 06'!K112</f>
        <v>0</v>
      </c>
      <c r="I22" s="1071">
        <f>'KB 06'!K119</f>
        <v>1675575</v>
      </c>
      <c r="J22" s="1071">
        <f t="shared" si="1"/>
        <v>-71640</v>
      </c>
      <c r="K22" s="1071">
        <f>'(F2) Shpenzimet sipas nenfunk.b'!E22</f>
        <v>1675575</v>
      </c>
      <c r="L22" s="1071">
        <f>'KB 06'!L112</f>
        <v>0</v>
      </c>
      <c r="M22" s="1071">
        <f>'KB 06'!L119</f>
        <v>1675575</v>
      </c>
      <c r="N22" s="1071">
        <f t="shared" si="2"/>
        <v>0</v>
      </c>
      <c r="O22" s="1071">
        <f>'(F2) Shpenzimet sipas nenfunk.b'!I22</f>
        <v>1710000</v>
      </c>
      <c r="P22" s="1071">
        <f>'KB 06'!M112</f>
        <v>0</v>
      </c>
      <c r="Q22" s="1071">
        <f>'KB 06'!M119</f>
        <v>1710000</v>
      </c>
      <c r="R22" s="1071">
        <f t="shared" si="3"/>
        <v>0</v>
      </c>
      <c r="S22" s="1071">
        <f>'(F2) Shpenzimet sipas nenfunk.b'!M22</f>
        <v>1725000</v>
      </c>
      <c r="T22" s="1071">
        <f>'KB 06'!N112</f>
        <v>0</v>
      </c>
      <c r="U22" s="1071">
        <f>'KB 06'!N119</f>
        <v>1725000</v>
      </c>
      <c r="V22" s="1071">
        <f t="shared" si="4"/>
        <v>0</v>
      </c>
      <c r="W22" s="1071">
        <f>'(F2) Shpenzimet sipas nenfunk.b'!Q22</f>
        <v>1770000</v>
      </c>
      <c r="X22" s="1071">
        <f>'KB 06'!O112</f>
        <v>0</v>
      </c>
      <c r="Y22" s="1071">
        <f>'KB 06'!O119</f>
        <v>1770000</v>
      </c>
      <c r="Z22" s="1071">
        <f t="shared" si="5"/>
        <v>0</v>
      </c>
    </row>
    <row r="23" spans="1:26" ht="15" hidden="1" customHeight="1" x14ac:dyDescent="0.2">
      <c r="A23" s="1069" t="str">
        <f>'(F2) Shpenzimet sipas nenfunk.b'!A23</f>
        <v>04132</v>
      </c>
      <c r="B23" s="1070" t="str">
        <f>'(F2) Shpenzimet sipas nenfunk.b'!B23</f>
        <v>Mbështetja e Zhvillimit rajonal</v>
      </c>
      <c r="C23" s="1071">
        <f>'(F2) Shpenzimet sipas nenfunk.b'!C23</f>
        <v>0</v>
      </c>
      <c r="D23" s="1071">
        <f>'KB 06'!J190</f>
        <v>0</v>
      </c>
      <c r="E23" s="1071">
        <f>'KB 06'!J197</f>
        <v>0</v>
      </c>
      <c r="F23" s="1071">
        <f t="shared" si="0"/>
        <v>0</v>
      </c>
      <c r="G23" s="1071">
        <f>'(F2) Shpenzimet sipas nenfunk.b'!D23</f>
        <v>0</v>
      </c>
      <c r="H23" s="1071">
        <f>'KB 06'!K190</f>
        <v>0</v>
      </c>
      <c r="I23" s="1071">
        <f>'KB 06'!K197</f>
        <v>0</v>
      </c>
      <c r="J23" s="1071">
        <f t="shared" si="1"/>
        <v>0</v>
      </c>
      <c r="K23" s="1071">
        <f>'(F2) Shpenzimet sipas nenfunk.b'!E23</f>
        <v>0</v>
      </c>
      <c r="L23" s="1071">
        <f>'KB 06'!L190</f>
        <v>0</v>
      </c>
      <c r="M23" s="1071">
        <f>'KB 06'!L197</f>
        <v>0</v>
      </c>
      <c r="N23" s="1071">
        <f t="shared" si="2"/>
        <v>0</v>
      </c>
      <c r="O23" s="1071">
        <f>'(F2) Shpenzimet sipas nenfunk.b'!I23</f>
        <v>0</v>
      </c>
      <c r="P23" s="1071">
        <f>'KB 06'!M190</f>
        <v>0</v>
      </c>
      <c r="Q23" s="1071">
        <f>'KB 06'!M197</f>
        <v>0</v>
      </c>
      <c r="R23" s="1071">
        <f t="shared" si="3"/>
        <v>0</v>
      </c>
      <c r="S23" s="1071">
        <f>'(F2) Shpenzimet sipas nenfunk.b'!M23</f>
        <v>0</v>
      </c>
      <c r="T23" s="1071">
        <f>'KB 06'!N190</f>
        <v>0</v>
      </c>
      <c r="U23" s="1071">
        <f>'KB 06'!N197</f>
        <v>0</v>
      </c>
      <c r="V23" s="1071">
        <f t="shared" si="4"/>
        <v>0</v>
      </c>
      <c r="W23" s="1071">
        <f>'(F2) Shpenzimet sipas nenfunk.b'!Q23</f>
        <v>0</v>
      </c>
      <c r="X23" s="1071">
        <f>'KB 06'!O190</f>
        <v>0</v>
      </c>
      <c r="Y23" s="1071">
        <f>'KB 06'!O197</f>
        <v>0</v>
      </c>
      <c r="Z23" s="1071">
        <f t="shared" si="5"/>
        <v>0</v>
      </c>
    </row>
    <row r="24" spans="1:26" ht="15" customHeight="1" x14ac:dyDescent="0.2">
      <c r="A24" s="1069" t="str">
        <f>'(F2) Shpenzimet sipas nenfunk.b'!A24</f>
        <v>04160</v>
      </c>
      <c r="B24" s="1070" t="str">
        <f>'(F2) Shpenzimet sipas nenfunk.b'!B24</f>
        <v>Shërbimet e tregjeve, akreditimi dhe inspektimi</v>
      </c>
      <c r="C24" s="1071">
        <f>'(F2) Shpenzimet sipas nenfunk.b'!C24</f>
        <v>0</v>
      </c>
      <c r="D24" s="1071">
        <f>'KB 06'!J229</f>
        <v>0</v>
      </c>
      <c r="E24" s="1071">
        <f>'KB 06'!J236</f>
        <v>0</v>
      </c>
      <c r="F24" s="1071">
        <f t="shared" si="0"/>
        <v>0</v>
      </c>
      <c r="G24" s="1071">
        <f>'(F2) Shpenzimet sipas nenfunk.b'!D24</f>
        <v>0</v>
      </c>
      <c r="H24" s="1071">
        <f>'KB 06'!K229</f>
        <v>0</v>
      </c>
      <c r="I24" s="1071">
        <f>'KB 06'!K236</f>
        <v>0</v>
      </c>
      <c r="J24" s="1071">
        <f t="shared" si="1"/>
        <v>0</v>
      </c>
      <c r="K24" s="1071">
        <f>'(F2) Shpenzimet sipas nenfunk.b'!E24</f>
        <v>0</v>
      </c>
      <c r="L24" s="1071">
        <f>'KB 06'!L229</f>
        <v>0</v>
      </c>
      <c r="M24" s="1071">
        <f>'KB 06'!L236</f>
        <v>0</v>
      </c>
      <c r="N24" s="1071">
        <f t="shared" si="2"/>
        <v>0</v>
      </c>
      <c r="O24" s="1071">
        <f>'(F2) Shpenzimet sipas nenfunk.b'!I24</f>
        <v>0</v>
      </c>
      <c r="P24" s="1071">
        <f>'KB 06'!M229</f>
        <v>0</v>
      </c>
      <c r="Q24" s="1071">
        <f>'KB 06'!M236</f>
        <v>0</v>
      </c>
      <c r="R24" s="1071">
        <f t="shared" si="3"/>
        <v>0</v>
      </c>
      <c r="S24" s="1071">
        <f>'(F2) Shpenzimet sipas nenfunk.b'!M24</f>
        <v>0</v>
      </c>
      <c r="T24" s="1071">
        <f>'KB 06'!N229</f>
        <v>0</v>
      </c>
      <c r="U24" s="1071">
        <f>'KB 06'!N236</f>
        <v>0</v>
      </c>
      <c r="V24" s="1071">
        <f t="shared" si="4"/>
        <v>0</v>
      </c>
      <c r="W24" s="1071">
        <f>'(F2) Shpenzimet sipas nenfunk.b'!Q24</f>
        <v>0</v>
      </c>
      <c r="X24" s="1071">
        <f>'KB 06'!O229</f>
        <v>0</v>
      </c>
      <c r="Y24" s="1071">
        <f>'KB 06'!O236</f>
        <v>0</v>
      </c>
      <c r="Z24" s="1071">
        <f t="shared" si="5"/>
        <v>0</v>
      </c>
    </row>
    <row r="25" spans="1:26" ht="15" customHeight="1" x14ac:dyDescent="0.2">
      <c r="A25" s="1066" t="str">
        <f>'(F2) Shpenzimet sipas nenfunk.b'!A25</f>
        <v>Nënfunksioni 7</v>
      </c>
      <c r="B25" s="1067" t="str">
        <f>'(F2) Shpenzimet sipas nenfunk.b'!B25</f>
        <v>042 Bujqësia, pyjet, peshkimi dhe gjuetia</v>
      </c>
      <c r="C25" s="1068">
        <f>'(F2) Shpenzimet sipas nenfunk.b'!C25</f>
        <v>5930122</v>
      </c>
      <c r="D25" s="1068">
        <f>'KB 07'!J$19</f>
        <v>1335630</v>
      </c>
      <c r="E25" s="1068">
        <f>'KB 07'!J$27</f>
        <v>21847196</v>
      </c>
      <c r="F25" s="1068">
        <f t="shared" si="0"/>
        <v>-17252704</v>
      </c>
      <c r="G25" s="1068">
        <f>'(F2) Shpenzimet sipas nenfunk.b'!D25</f>
        <v>28000050</v>
      </c>
      <c r="H25" s="1068">
        <f>'KB 07'!K$19</f>
        <v>1993372</v>
      </c>
      <c r="I25" s="1068">
        <f>'KB 07'!K$27</f>
        <v>21688000</v>
      </c>
      <c r="J25" s="1068">
        <f t="shared" si="1"/>
        <v>4318678</v>
      </c>
      <c r="K25" s="1068">
        <f>'(F2) Shpenzimet sipas nenfunk.b'!E25</f>
        <v>50350489</v>
      </c>
      <c r="L25" s="1068">
        <f>'KB 07'!L$19</f>
        <v>2000000</v>
      </c>
      <c r="M25" s="1068">
        <f>'KB 07'!L$27</f>
        <v>23438000</v>
      </c>
      <c r="N25" s="1068">
        <f t="shared" si="2"/>
        <v>24912489</v>
      </c>
      <c r="O25" s="1068">
        <f>'(F2) Shpenzimet sipas nenfunk.b'!I25</f>
        <v>42344600</v>
      </c>
      <c r="P25" s="1068">
        <f>'KB 07'!M$19</f>
        <v>0</v>
      </c>
      <c r="Q25" s="1068">
        <f>'KB 07'!M$27</f>
        <v>23438000</v>
      </c>
      <c r="R25" s="1068">
        <f t="shared" si="3"/>
        <v>18906600</v>
      </c>
      <c r="S25" s="1068">
        <f>'(F2) Shpenzimet sipas nenfunk.b'!M25</f>
        <v>44176460</v>
      </c>
      <c r="T25" s="1068">
        <f>'KB 07'!N$19</f>
        <v>0</v>
      </c>
      <c r="U25" s="1068">
        <f>'KB 07'!N$27</f>
        <v>23438000</v>
      </c>
      <c r="V25" s="1068">
        <f t="shared" si="4"/>
        <v>20738460</v>
      </c>
      <c r="W25" s="1068">
        <f>'(F2) Shpenzimet sipas nenfunk.b'!Q25</f>
        <v>46049240</v>
      </c>
      <c r="X25" s="1068">
        <f>'KB 07'!O$19</f>
        <v>0</v>
      </c>
      <c r="Y25" s="1068">
        <f>'KB 07'!O$27</f>
        <v>23438000</v>
      </c>
      <c r="Z25" s="1068">
        <f t="shared" si="5"/>
        <v>22611240</v>
      </c>
    </row>
    <row r="26" spans="1:26" ht="15" customHeight="1" x14ac:dyDescent="0.2">
      <c r="A26" s="1069" t="str">
        <f>'(F2) Shpenzimet sipas nenfunk.b'!A26</f>
        <v>04220</v>
      </c>
      <c r="B26" s="1070" t="str">
        <f>'(F2) Shpenzimet sipas nenfunk.b'!B26</f>
        <v>Shërbimet bujqësore, inspektimi, ushqimi dhe mbrojtja e konsumatoreve</v>
      </c>
      <c r="C26" s="1071">
        <f>'(F2) Shpenzimet sipas nenfunk.b'!C26</f>
        <v>0</v>
      </c>
      <c r="D26" s="1071">
        <f>'KB 07'!J73</f>
        <v>0</v>
      </c>
      <c r="E26" s="1071">
        <f>'KB 07'!J80</f>
        <v>0</v>
      </c>
      <c r="F26" s="1071">
        <f t="shared" si="0"/>
        <v>0</v>
      </c>
      <c r="G26" s="1071">
        <f>'(F2) Shpenzimet sipas nenfunk.b'!D26</f>
        <v>0</v>
      </c>
      <c r="H26" s="1071">
        <f>'KB 07'!K73</f>
        <v>0</v>
      </c>
      <c r="I26" s="1071">
        <f>'KB 07'!K80</f>
        <v>0</v>
      </c>
      <c r="J26" s="1071">
        <f t="shared" si="1"/>
        <v>0</v>
      </c>
      <c r="K26" s="1071">
        <f>'(F2) Shpenzimet sipas nenfunk.b'!E26</f>
        <v>0</v>
      </c>
      <c r="L26" s="1071">
        <f>'KB 07'!L73</f>
        <v>0</v>
      </c>
      <c r="M26" s="1071">
        <f>'KB 07'!L80</f>
        <v>0</v>
      </c>
      <c r="N26" s="1071">
        <f t="shared" si="2"/>
        <v>0</v>
      </c>
      <c r="O26" s="1071">
        <f>'(F2) Shpenzimet sipas nenfunk.b'!I26</f>
        <v>0</v>
      </c>
      <c r="P26" s="1071">
        <f>'KB 07'!M73</f>
        <v>0</v>
      </c>
      <c r="Q26" s="1071">
        <f>'KB 07'!M80</f>
        <v>0</v>
      </c>
      <c r="R26" s="1071">
        <f t="shared" si="3"/>
        <v>0</v>
      </c>
      <c r="S26" s="1071">
        <f>'(F2) Shpenzimet sipas nenfunk.b'!M26</f>
        <v>0</v>
      </c>
      <c r="T26" s="1071">
        <f>'KB 07'!N73</f>
        <v>0</v>
      </c>
      <c r="U26" s="1071">
        <f>'KB 07'!N80</f>
        <v>0</v>
      </c>
      <c r="V26" s="1071">
        <f t="shared" si="4"/>
        <v>0</v>
      </c>
      <c r="W26" s="1071">
        <f>'(F2) Shpenzimet sipas nenfunk.b'!Q26</f>
        <v>0</v>
      </c>
      <c r="X26" s="1071">
        <f>'KB 07'!O73</f>
        <v>0</v>
      </c>
      <c r="Y26" s="1071">
        <f>'KB 07'!O80</f>
        <v>0</v>
      </c>
      <c r="Z26" s="1071">
        <f t="shared" si="5"/>
        <v>0</v>
      </c>
    </row>
    <row r="27" spans="1:26" ht="15" hidden="1" customHeight="1" x14ac:dyDescent="0.2">
      <c r="A27" s="1069" t="str">
        <f>'(F2) Shpenzimet sipas nenfunk.b'!A27</f>
        <v>04223</v>
      </c>
      <c r="B27" s="1070" t="str">
        <f>'(F2) Shpenzimet sipas nenfunk.b'!B27</f>
        <v>Veterineria</v>
      </c>
      <c r="C27" s="1071">
        <f>'(F2) Shpenzimet sipas nenfunk.b'!C27</f>
        <v>0</v>
      </c>
      <c r="D27" s="1071">
        <f>'KB 07'!J151</f>
        <v>0</v>
      </c>
      <c r="E27" s="1071">
        <f>'KB 07'!J158</f>
        <v>0</v>
      </c>
      <c r="F27" s="1071">
        <f t="shared" si="0"/>
        <v>0</v>
      </c>
      <c r="G27" s="1071">
        <f>'(F2) Shpenzimet sipas nenfunk.b'!D27</f>
        <v>0</v>
      </c>
      <c r="H27" s="1071">
        <f>'KB 07'!K151</f>
        <v>0</v>
      </c>
      <c r="I27" s="1071">
        <f>'KB 07'!K158</f>
        <v>0</v>
      </c>
      <c r="J27" s="1071">
        <f t="shared" si="1"/>
        <v>0</v>
      </c>
      <c r="K27" s="1071">
        <f>'(F2) Shpenzimet sipas nenfunk.b'!E27</f>
        <v>0</v>
      </c>
      <c r="L27" s="1071">
        <f>'KB 07'!L151</f>
        <v>0</v>
      </c>
      <c r="M27" s="1071">
        <f>'KB 07'!L158</f>
        <v>0</v>
      </c>
      <c r="N27" s="1071">
        <f t="shared" si="2"/>
        <v>0</v>
      </c>
      <c r="O27" s="1071">
        <f>'(F2) Shpenzimet sipas nenfunk.b'!I27</f>
        <v>0</v>
      </c>
      <c r="P27" s="1071">
        <f>'KB 07'!M151</f>
        <v>0</v>
      </c>
      <c r="Q27" s="1071">
        <f>'KB 07'!M158</f>
        <v>0</v>
      </c>
      <c r="R27" s="1071">
        <f t="shared" si="3"/>
        <v>0</v>
      </c>
      <c r="S27" s="1071">
        <f>'(F2) Shpenzimet sipas nenfunk.b'!M27</f>
        <v>0</v>
      </c>
      <c r="T27" s="1071">
        <f>'KB 07'!N151</f>
        <v>0</v>
      </c>
      <c r="U27" s="1071">
        <f>'KB 07'!N158</f>
        <v>0</v>
      </c>
      <c r="V27" s="1071">
        <f t="shared" si="4"/>
        <v>0</v>
      </c>
      <c r="W27" s="1071">
        <f>'(F2) Shpenzimet sipas nenfunk.b'!Q27</f>
        <v>0</v>
      </c>
      <c r="X27" s="1071">
        <f>'KB 07'!O151</f>
        <v>0</v>
      </c>
      <c r="Y27" s="1071">
        <f>'KB 07'!O158</f>
        <v>0</v>
      </c>
      <c r="Z27" s="1071">
        <f t="shared" si="5"/>
        <v>0</v>
      </c>
    </row>
    <row r="28" spans="1:26" ht="15" customHeight="1" x14ac:dyDescent="0.2">
      <c r="A28" s="1069" t="str">
        <f>'(F2) Shpenzimet sipas nenfunk.b'!A28</f>
        <v>04240</v>
      </c>
      <c r="B28" s="1070" t="str">
        <f>'(F2) Shpenzimet sipas nenfunk.b'!B28</f>
        <v>Menaxhimi i Infrastruktuës së ujitjes dhe kullimit</v>
      </c>
      <c r="C28" s="1071">
        <f>'(F2) Shpenzimet sipas nenfunk.b'!C28</f>
        <v>4526866</v>
      </c>
      <c r="D28" s="1071">
        <f>'KB 07'!J190</f>
        <v>0</v>
      </c>
      <c r="E28" s="1071">
        <f>'KB 07'!J197</f>
        <v>15092222</v>
      </c>
      <c r="F28" s="1071">
        <f t="shared" si="0"/>
        <v>-10565356</v>
      </c>
      <c r="G28" s="1071">
        <f>'(F2) Shpenzimet sipas nenfunk.b'!D28</f>
        <v>9893759</v>
      </c>
      <c r="H28" s="1071">
        <f>'KB 07'!K190</f>
        <v>345541</v>
      </c>
      <c r="I28" s="1071">
        <f>'KB 07'!K197</f>
        <v>10289000</v>
      </c>
      <c r="J28" s="1071">
        <f t="shared" si="1"/>
        <v>-740782</v>
      </c>
      <c r="K28" s="1071">
        <f>'(F2) Shpenzimet sipas nenfunk.b'!E28</f>
        <v>15646730</v>
      </c>
      <c r="L28" s="1071">
        <f>'KB 07'!L190</f>
        <v>500000</v>
      </c>
      <c r="M28" s="1071">
        <f>'KB 07'!L197</f>
        <v>10899000</v>
      </c>
      <c r="N28" s="1071">
        <f t="shared" si="2"/>
        <v>4247730</v>
      </c>
      <c r="O28" s="1071">
        <f>'(F2) Shpenzimet sipas nenfunk.b'!I28</f>
        <v>11588278</v>
      </c>
      <c r="P28" s="1071">
        <f>'KB 07'!M190</f>
        <v>0</v>
      </c>
      <c r="Q28" s="1071">
        <f>'KB 07'!M197</f>
        <v>10899000</v>
      </c>
      <c r="R28" s="1071">
        <f t="shared" si="3"/>
        <v>689278</v>
      </c>
      <c r="S28" s="1071">
        <f>'(F2) Shpenzimet sipas nenfunk.b'!M28</f>
        <v>12161878</v>
      </c>
      <c r="T28" s="1071">
        <f>'KB 07'!N190</f>
        <v>0</v>
      </c>
      <c r="U28" s="1071">
        <f>'KB 07'!N197</f>
        <v>10899000</v>
      </c>
      <c r="V28" s="1071">
        <f t="shared" si="4"/>
        <v>1262878</v>
      </c>
      <c r="W28" s="1071">
        <f>'(F2) Shpenzimet sipas nenfunk.b'!Q28</f>
        <v>13968133</v>
      </c>
      <c r="X28" s="1071">
        <f>'KB 07'!O190</f>
        <v>0</v>
      </c>
      <c r="Y28" s="1071">
        <f>'KB 07'!O197</f>
        <v>10899000</v>
      </c>
      <c r="Z28" s="1071">
        <f t="shared" si="5"/>
        <v>3069133</v>
      </c>
    </row>
    <row r="29" spans="1:26" ht="15" customHeight="1" x14ac:dyDescent="0.2">
      <c r="A29" s="1069" t="str">
        <f>'(F2) Shpenzimet sipas nenfunk.b'!A29</f>
        <v>04260</v>
      </c>
      <c r="B29" s="1070" t="str">
        <f>'(F2) Shpenzimet sipas nenfunk.b'!B29</f>
        <v>Administrimi i pyjeve dhe kullotave</v>
      </c>
      <c r="C29" s="1071">
        <f>'(F2) Shpenzimet sipas nenfunk.b'!C29</f>
        <v>1403256</v>
      </c>
      <c r="D29" s="1071">
        <f>'KB 07'!J229</f>
        <v>1335630</v>
      </c>
      <c r="E29" s="1071">
        <f>'KB 07'!J236</f>
        <v>6754974</v>
      </c>
      <c r="F29" s="1071">
        <f t="shared" si="0"/>
        <v>-6687348</v>
      </c>
      <c r="G29" s="1071">
        <f>'(F2) Shpenzimet sipas nenfunk.b'!D29</f>
        <v>18106291</v>
      </c>
      <c r="H29" s="1071">
        <f>'KB 07'!K229</f>
        <v>1647831</v>
      </c>
      <c r="I29" s="1071">
        <f>'KB 07'!K236</f>
        <v>11399000</v>
      </c>
      <c r="J29" s="1071">
        <f t="shared" si="1"/>
        <v>5059460</v>
      </c>
      <c r="K29" s="1071">
        <f>'(F2) Shpenzimet sipas nenfunk.b'!E29</f>
        <v>34703759</v>
      </c>
      <c r="L29" s="1071">
        <f>'KB 07'!L229</f>
        <v>1500000</v>
      </c>
      <c r="M29" s="1071">
        <f>'KB 07'!L236</f>
        <v>12539000</v>
      </c>
      <c r="N29" s="1071">
        <f t="shared" si="2"/>
        <v>20664759</v>
      </c>
      <c r="O29" s="1071">
        <f>'(F2) Shpenzimet sipas nenfunk.b'!I29</f>
        <v>30756322</v>
      </c>
      <c r="P29" s="1071">
        <f>'KB 07'!M229</f>
        <v>0</v>
      </c>
      <c r="Q29" s="1071">
        <f>'KB 07'!M236</f>
        <v>12539000</v>
      </c>
      <c r="R29" s="1071">
        <f t="shared" si="3"/>
        <v>18217322</v>
      </c>
      <c r="S29" s="1071">
        <f>'(F2) Shpenzimet sipas nenfunk.b'!M29</f>
        <v>32014582</v>
      </c>
      <c r="T29" s="1071">
        <f>'KB 07'!N229</f>
        <v>0</v>
      </c>
      <c r="U29" s="1071">
        <f>'KB 07'!N236</f>
        <v>12539000</v>
      </c>
      <c r="V29" s="1071">
        <f t="shared" si="4"/>
        <v>19475582</v>
      </c>
      <c r="W29" s="1071">
        <f>'(F2) Shpenzimet sipas nenfunk.b'!Q29</f>
        <v>32081107</v>
      </c>
      <c r="X29" s="1071">
        <f>'KB 07'!O229</f>
        <v>0</v>
      </c>
      <c r="Y29" s="1071">
        <f>'KB 07'!O236</f>
        <v>12539000</v>
      </c>
      <c r="Z29" s="1071">
        <f t="shared" si="5"/>
        <v>19542107</v>
      </c>
    </row>
    <row r="30" spans="1:26" ht="15" customHeight="1" x14ac:dyDescent="0.2">
      <c r="A30" s="1066" t="str">
        <f>'(F2) Shpenzimet sipas nenfunk.b'!A30</f>
        <v>Nënfunksioni 8</v>
      </c>
      <c r="B30" s="1067" t="str">
        <f>'(F2) Shpenzimet sipas nenfunk.b'!B30</f>
        <v>045 Trasporti</v>
      </c>
      <c r="C30" s="1068">
        <f>'(F2) Shpenzimet sipas nenfunk.b'!C30</f>
        <v>213152994</v>
      </c>
      <c r="D30" s="1068">
        <f>'KB 08'!J$19</f>
        <v>3344489</v>
      </c>
      <c r="E30" s="1068">
        <f>'KB 08'!J$27</f>
        <v>26600741</v>
      </c>
      <c r="F30" s="1068">
        <f t="shared" si="0"/>
        <v>183207764</v>
      </c>
      <c r="G30" s="1068">
        <f>'(F2) Shpenzimet sipas nenfunk.b'!D30</f>
        <v>84739057</v>
      </c>
      <c r="H30" s="1068">
        <f>'KB 08'!K$19</f>
        <v>1000000</v>
      </c>
      <c r="I30" s="1068">
        <f>'KB 08'!K$27</f>
        <v>63081290</v>
      </c>
      <c r="J30" s="1068">
        <f t="shared" si="1"/>
        <v>20657767</v>
      </c>
      <c r="K30" s="1068">
        <f>'(F2) Shpenzimet sipas nenfunk.b'!E30</f>
        <v>175922899</v>
      </c>
      <c r="L30" s="1068">
        <f>'KB 08'!L$19</f>
        <v>5000000</v>
      </c>
      <c r="M30" s="1068">
        <f>'KB 08'!L$27</f>
        <v>20303000</v>
      </c>
      <c r="N30" s="1068">
        <f t="shared" si="2"/>
        <v>150619899</v>
      </c>
      <c r="O30" s="1068">
        <f>'(F2) Shpenzimet sipas nenfunk.b'!I30</f>
        <v>205545310</v>
      </c>
      <c r="P30" s="1068">
        <f>'KB 08'!M$19</f>
        <v>0</v>
      </c>
      <c r="Q30" s="1068">
        <f>'KB 08'!M$27</f>
        <v>20303000</v>
      </c>
      <c r="R30" s="1068">
        <f t="shared" si="3"/>
        <v>185242310</v>
      </c>
      <c r="S30" s="1068">
        <f>'(F2) Shpenzimet sipas nenfunk.b'!M30</f>
        <v>208462000</v>
      </c>
      <c r="T30" s="1068">
        <f>'KB 08'!N$19</f>
        <v>0</v>
      </c>
      <c r="U30" s="1068">
        <f>'KB 08'!N$27</f>
        <v>20303000</v>
      </c>
      <c r="V30" s="1068">
        <f t="shared" si="4"/>
        <v>188159000</v>
      </c>
      <c r="W30" s="1068">
        <f>'(F2) Shpenzimet sipas nenfunk.b'!Q30</f>
        <v>214454600</v>
      </c>
      <c r="X30" s="1068">
        <f>'KB 08'!O$19</f>
        <v>0</v>
      </c>
      <c r="Y30" s="1068">
        <f>'KB 08'!O$27</f>
        <v>20303000</v>
      </c>
      <c r="Z30" s="1068">
        <f t="shared" si="5"/>
        <v>194151600</v>
      </c>
    </row>
    <row r="31" spans="1:26" ht="15" customHeight="1" x14ac:dyDescent="0.2">
      <c r="A31" s="1069" t="str">
        <f>'(F2) Shpenzimet sipas nenfunk.b'!A31</f>
        <v>04520</v>
      </c>
      <c r="B31" s="1070" t="str">
        <f>'(F2) Shpenzimet sipas nenfunk.b'!B31</f>
        <v>Rrjeti rrugor rural</v>
      </c>
      <c r="C31" s="1071">
        <f>'(F2) Shpenzimet sipas nenfunk.b'!C31</f>
        <v>213152994</v>
      </c>
      <c r="D31" s="1071">
        <f>'KB 08'!J73</f>
        <v>3344489</v>
      </c>
      <c r="E31" s="1071">
        <f>'KB 08'!J80</f>
        <v>26600741</v>
      </c>
      <c r="F31" s="1071">
        <f t="shared" si="0"/>
        <v>183207764</v>
      </c>
      <c r="G31" s="1071">
        <f>'(F2) Shpenzimet sipas nenfunk.b'!D31</f>
        <v>32485173</v>
      </c>
      <c r="H31" s="1071">
        <f>'KB 08'!K73</f>
        <v>1000000</v>
      </c>
      <c r="I31" s="1071">
        <f>'KB 08'!K80</f>
        <v>20303000</v>
      </c>
      <c r="J31" s="1071">
        <f t="shared" si="1"/>
        <v>11182173</v>
      </c>
      <c r="K31" s="1071">
        <f>'(F2) Shpenzimet sipas nenfunk.b'!E31</f>
        <v>47482899</v>
      </c>
      <c r="L31" s="1071">
        <f>'KB 08'!L73</f>
        <v>5000000</v>
      </c>
      <c r="M31" s="1071">
        <f>'KB 08'!L80</f>
        <v>20303000</v>
      </c>
      <c r="N31" s="1071">
        <f t="shared" si="2"/>
        <v>22179899</v>
      </c>
      <c r="O31" s="1071">
        <f>'(F2) Shpenzimet sipas nenfunk.b'!I31</f>
        <v>205545310</v>
      </c>
      <c r="P31" s="1071">
        <f>'KB 08'!M73</f>
        <v>0</v>
      </c>
      <c r="Q31" s="1071">
        <f>'KB 08'!M80</f>
        <v>20303000</v>
      </c>
      <c r="R31" s="1071">
        <f t="shared" si="3"/>
        <v>185242310</v>
      </c>
      <c r="S31" s="1071">
        <f>'(F2) Shpenzimet sipas nenfunk.b'!M31</f>
        <v>208462000</v>
      </c>
      <c r="T31" s="1071">
        <f>'KB 08'!N73</f>
        <v>0</v>
      </c>
      <c r="U31" s="1071">
        <f>'KB 08'!N80</f>
        <v>20303000</v>
      </c>
      <c r="V31" s="1071">
        <f t="shared" si="4"/>
        <v>188159000</v>
      </c>
      <c r="W31" s="1071">
        <f>'(F2) Shpenzimet sipas nenfunk.b'!Q31</f>
        <v>214454600</v>
      </c>
      <c r="X31" s="1071">
        <f>'KB 08'!O73</f>
        <v>0</v>
      </c>
      <c r="Y31" s="1071">
        <f>'KB 08'!O80</f>
        <v>20303000</v>
      </c>
      <c r="Z31" s="1071">
        <f t="shared" si="5"/>
        <v>194151600</v>
      </c>
    </row>
    <row r="32" spans="1:26" ht="15" customHeight="1" x14ac:dyDescent="0.2">
      <c r="A32" s="1069" t="str">
        <f>'(F2) Shpenzimet sipas nenfunk.b'!A32</f>
        <v>04530</v>
      </c>
      <c r="B32" s="1070" t="str">
        <f>'(F2) Shpenzimet sipas nenfunk.b'!B32</f>
        <v>Studimi i rrugëve</v>
      </c>
      <c r="C32" s="1071">
        <f>'(F2) Shpenzimet sipas nenfunk.b'!C32</f>
        <v>0</v>
      </c>
      <c r="D32" s="1071">
        <f>'KB 08'!J112</f>
        <v>0</v>
      </c>
      <c r="E32" s="1071">
        <f>'KB 08'!J119</f>
        <v>0</v>
      </c>
      <c r="F32" s="1071">
        <f t="shared" si="0"/>
        <v>0</v>
      </c>
      <c r="G32" s="1071">
        <f>'(F2) Shpenzimet sipas nenfunk.b'!D32</f>
        <v>52253884</v>
      </c>
      <c r="H32" s="1071">
        <f>'KB 08'!K112</f>
        <v>0</v>
      </c>
      <c r="I32" s="1071">
        <f>'KB 08'!K119</f>
        <v>42778290</v>
      </c>
      <c r="J32" s="1071">
        <f t="shared" si="1"/>
        <v>9475594</v>
      </c>
      <c r="K32" s="1071">
        <f>'(F2) Shpenzimet sipas nenfunk.b'!E32</f>
        <v>128440000</v>
      </c>
      <c r="L32" s="1071">
        <f>'KB 08'!L112</f>
        <v>0</v>
      </c>
      <c r="M32" s="1071">
        <f>'KB 08'!L119</f>
        <v>0</v>
      </c>
      <c r="N32" s="1071">
        <f t="shared" si="2"/>
        <v>128440000</v>
      </c>
      <c r="O32" s="1071">
        <f>'(F2) Shpenzimet sipas nenfunk.b'!I32</f>
        <v>0</v>
      </c>
      <c r="P32" s="1071">
        <f>'KB 08'!M112</f>
        <v>0</v>
      </c>
      <c r="Q32" s="1071">
        <f>'KB 08'!M119</f>
        <v>0</v>
      </c>
      <c r="R32" s="1071">
        <f t="shared" si="3"/>
        <v>0</v>
      </c>
      <c r="S32" s="1071">
        <f>'(F2) Shpenzimet sipas nenfunk.b'!M32</f>
        <v>0</v>
      </c>
      <c r="T32" s="1071">
        <f>'KB 08'!N112</f>
        <v>0</v>
      </c>
      <c r="U32" s="1071">
        <f>'KB 08'!N119</f>
        <v>0</v>
      </c>
      <c r="V32" s="1071">
        <f t="shared" si="4"/>
        <v>0</v>
      </c>
      <c r="W32" s="1071">
        <f>'(F2) Shpenzimet sipas nenfunk.b'!Q32</f>
        <v>0</v>
      </c>
      <c r="X32" s="1071">
        <f>'KB 08'!O112</f>
        <v>0</v>
      </c>
      <c r="Y32" s="1071">
        <f>'KB 08'!O119</f>
        <v>0</v>
      </c>
      <c r="Z32" s="1071">
        <f t="shared" si="5"/>
        <v>0</v>
      </c>
    </row>
    <row r="33" spans="1:26" ht="15" customHeight="1" x14ac:dyDescent="0.2">
      <c r="A33" s="1069" t="str">
        <f>'(F2) Shpenzimet sipas nenfunk.b'!A33</f>
        <v>04570</v>
      </c>
      <c r="B33" s="1070" t="str">
        <f>'(F2) Shpenzimet sipas nenfunk.b'!B33</f>
        <v>Transporti publik</v>
      </c>
      <c r="C33" s="1071">
        <f>'(F2) Shpenzimet sipas nenfunk.b'!C33</f>
        <v>0</v>
      </c>
      <c r="D33" s="1071">
        <f>'KB 08'!J151</f>
        <v>0</v>
      </c>
      <c r="E33" s="1071">
        <f>'KB 08'!J158</f>
        <v>0</v>
      </c>
      <c r="F33" s="1071">
        <f t="shared" si="0"/>
        <v>0</v>
      </c>
      <c r="G33" s="1071">
        <f>'(F2) Shpenzimet sipas nenfunk.b'!D33</f>
        <v>0</v>
      </c>
      <c r="H33" s="1071">
        <f>'KB 08'!K151</f>
        <v>0</v>
      </c>
      <c r="I33" s="1071">
        <f>'KB 08'!K158</f>
        <v>0</v>
      </c>
      <c r="J33" s="1071">
        <f t="shared" si="1"/>
        <v>0</v>
      </c>
      <c r="K33" s="1071">
        <f>'(F2) Shpenzimet sipas nenfunk.b'!E33</f>
        <v>0</v>
      </c>
      <c r="L33" s="1071">
        <f>'KB 08'!L151</f>
        <v>0</v>
      </c>
      <c r="M33" s="1071">
        <f>'KB 08'!L158</f>
        <v>0</v>
      </c>
      <c r="N33" s="1071">
        <f t="shared" si="2"/>
        <v>0</v>
      </c>
      <c r="O33" s="1071">
        <f>'(F2) Shpenzimet sipas nenfunk.b'!I33</f>
        <v>0</v>
      </c>
      <c r="P33" s="1071">
        <f>'KB 08'!M151</f>
        <v>0</v>
      </c>
      <c r="Q33" s="1071">
        <f>'KB 08'!M158</f>
        <v>0</v>
      </c>
      <c r="R33" s="1071">
        <f t="shared" si="3"/>
        <v>0</v>
      </c>
      <c r="S33" s="1071">
        <f>'(F2) Shpenzimet sipas nenfunk.b'!M33</f>
        <v>0</v>
      </c>
      <c r="T33" s="1071">
        <f>'KB 08'!N151</f>
        <v>0</v>
      </c>
      <c r="U33" s="1071">
        <f>'KB 08'!N158</f>
        <v>0</v>
      </c>
      <c r="V33" s="1071">
        <f t="shared" si="4"/>
        <v>0</v>
      </c>
      <c r="W33" s="1071">
        <f>'(F2) Shpenzimet sipas nenfunk.b'!Q33</f>
        <v>0</v>
      </c>
      <c r="X33" s="1071">
        <f>'KB 08'!O151</f>
        <v>0</v>
      </c>
      <c r="Y33" s="1071">
        <f>'KB 08'!O158</f>
        <v>0</v>
      </c>
      <c r="Z33" s="1071">
        <f t="shared" si="5"/>
        <v>0</v>
      </c>
    </row>
    <row r="34" spans="1:26" ht="15" customHeight="1" x14ac:dyDescent="0.2">
      <c r="A34" s="1066" t="str">
        <f>'(F2) Shpenzimet sipas nenfunk.b'!A34</f>
        <v>Nënfunksioni 9</v>
      </c>
      <c r="B34" s="1067" t="str">
        <f>'(F2) Shpenzimet sipas nenfunk.b'!B34</f>
        <v>047 Industri të tjera</v>
      </c>
      <c r="C34" s="1068">
        <f>'(F2) Shpenzimet sipas nenfunk.b'!C34</f>
        <v>0</v>
      </c>
      <c r="D34" s="1068">
        <f>'KB 09'!J$19</f>
        <v>0</v>
      </c>
      <c r="E34" s="1068">
        <f>'KB 09'!J$27</f>
        <v>0</v>
      </c>
      <c r="F34" s="1068">
        <f t="shared" si="0"/>
        <v>0</v>
      </c>
      <c r="G34" s="1068">
        <f>'(F2) Shpenzimet sipas nenfunk.b'!D34</f>
        <v>0</v>
      </c>
      <c r="H34" s="1068">
        <f>'KB 09'!K$19</f>
        <v>0</v>
      </c>
      <c r="I34" s="1068">
        <f>'KB 09'!K$27</f>
        <v>0</v>
      </c>
      <c r="J34" s="1068">
        <f t="shared" si="1"/>
        <v>0</v>
      </c>
      <c r="K34" s="1068">
        <f>'(F2) Shpenzimet sipas nenfunk.b'!E34</f>
        <v>0</v>
      </c>
      <c r="L34" s="1068">
        <f>'KB 09'!L$19</f>
        <v>0</v>
      </c>
      <c r="M34" s="1068">
        <f>'KB 09'!L$27</f>
        <v>0</v>
      </c>
      <c r="N34" s="1068">
        <f t="shared" si="2"/>
        <v>0</v>
      </c>
      <c r="O34" s="1068">
        <f>'(F2) Shpenzimet sipas nenfunk.b'!I34</f>
        <v>0</v>
      </c>
      <c r="P34" s="1068">
        <f>'KB 09'!M$19</f>
        <v>0</v>
      </c>
      <c r="Q34" s="1068">
        <f>'KB 09'!M$27</f>
        <v>0</v>
      </c>
      <c r="R34" s="1068">
        <f t="shared" si="3"/>
        <v>0</v>
      </c>
      <c r="S34" s="1068">
        <f>'(F2) Shpenzimet sipas nenfunk.b'!M34</f>
        <v>0</v>
      </c>
      <c r="T34" s="1068">
        <f>'KB 09'!N$19</f>
        <v>0</v>
      </c>
      <c r="U34" s="1068">
        <f>'KB 09'!N$27</f>
        <v>0</v>
      </c>
      <c r="V34" s="1068">
        <f t="shared" si="4"/>
        <v>0</v>
      </c>
      <c r="W34" s="1068">
        <f>'(F2) Shpenzimet sipas nenfunk.b'!Q34</f>
        <v>0</v>
      </c>
      <c r="X34" s="1068">
        <f>'KB 09'!O$19</f>
        <v>0</v>
      </c>
      <c r="Y34" s="1068">
        <f>'KB 09'!O$27</f>
        <v>0</v>
      </c>
      <c r="Z34" s="1068">
        <f t="shared" si="5"/>
        <v>0</v>
      </c>
    </row>
    <row r="35" spans="1:26" ht="15" customHeight="1" x14ac:dyDescent="0.2">
      <c r="A35" s="1069" t="str">
        <f>'(F2) Shpenzimet sipas nenfunk.b'!A35</f>
        <v>04740</v>
      </c>
      <c r="B35" s="1070" t="str">
        <f>'(F2) Shpenzimet sipas nenfunk.b'!B35</f>
        <v>Projekte Zhvillimi</v>
      </c>
      <c r="C35" s="1071">
        <f>'(F2) Shpenzimet sipas nenfunk.b'!C35</f>
        <v>0</v>
      </c>
      <c r="D35" s="1071">
        <f>'KB 09'!J73</f>
        <v>0</v>
      </c>
      <c r="E35" s="1071">
        <f>'KB 09'!J80</f>
        <v>0</v>
      </c>
      <c r="F35" s="1071">
        <f t="shared" si="0"/>
        <v>0</v>
      </c>
      <c r="G35" s="1071">
        <f>'(F2) Shpenzimet sipas nenfunk.b'!D35</f>
        <v>0</v>
      </c>
      <c r="H35" s="1071">
        <f>'KB 09'!K73</f>
        <v>0</v>
      </c>
      <c r="I35" s="1071">
        <f>'KB 09'!K80</f>
        <v>0</v>
      </c>
      <c r="J35" s="1071">
        <f t="shared" si="1"/>
        <v>0</v>
      </c>
      <c r="K35" s="1071">
        <f>'(F2) Shpenzimet sipas nenfunk.b'!E35</f>
        <v>0</v>
      </c>
      <c r="L35" s="1071">
        <f>'KB 09'!L73</f>
        <v>0</v>
      </c>
      <c r="M35" s="1071">
        <f>'KB 09'!L80</f>
        <v>0</v>
      </c>
      <c r="N35" s="1071">
        <f t="shared" si="2"/>
        <v>0</v>
      </c>
      <c r="O35" s="1071">
        <f>'(F2) Shpenzimet sipas nenfunk.b'!I35</f>
        <v>0</v>
      </c>
      <c r="P35" s="1071">
        <f>'KB 09'!M73</f>
        <v>0</v>
      </c>
      <c r="Q35" s="1071">
        <f>'KB 09'!M80</f>
        <v>0</v>
      </c>
      <c r="R35" s="1071">
        <f t="shared" si="3"/>
        <v>0</v>
      </c>
      <c r="S35" s="1071">
        <f>'(F2) Shpenzimet sipas nenfunk.b'!M35</f>
        <v>0</v>
      </c>
      <c r="T35" s="1071">
        <f>'KB 09'!N73</f>
        <v>0</v>
      </c>
      <c r="U35" s="1071">
        <f>'KB 09'!NZ80</f>
        <v>0</v>
      </c>
      <c r="V35" s="1071">
        <f t="shared" si="4"/>
        <v>0</v>
      </c>
      <c r="W35" s="1071">
        <f>'(F2) Shpenzimet sipas nenfunk.b'!Q35</f>
        <v>0</v>
      </c>
      <c r="X35" s="1071">
        <f>'KB 09'!O73</f>
        <v>0</v>
      </c>
      <c r="Y35" s="1071">
        <f>'KB 09'!O80</f>
        <v>0</v>
      </c>
      <c r="Z35" s="1071">
        <f t="shared" si="5"/>
        <v>0</v>
      </c>
    </row>
    <row r="36" spans="1:26" ht="15" customHeight="1" x14ac:dyDescent="0.2">
      <c r="A36" s="1069" t="str">
        <f>'(F2) Shpenzimet sipas nenfunk.b'!A36</f>
        <v>04760</v>
      </c>
      <c r="B36" s="1070" t="str">
        <f>'(F2) Shpenzimet sipas nenfunk.b'!B36</f>
        <v>Zhvillimi i turizmit</v>
      </c>
      <c r="C36" s="1071">
        <f>'(F2) Shpenzimet sipas nenfunk.b'!C36</f>
        <v>0</v>
      </c>
      <c r="D36" s="1071">
        <f>'KB 09'!J112</f>
        <v>0</v>
      </c>
      <c r="E36" s="1071">
        <f>'KB 09'!J119</f>
        <v>0</v>
      </c>
      <c r="F36" s="1071">
        <f>C36-D36-E36</f>
        <v>0</v>
      </c>
      <c r="G36" s="1071">
        <f>'(F2) Shpenzimet sipas nenfunk.b'!D36</f>
        <v>0</v>
      </c>
      <c r="H36" s="1071">
        <f>'KB 09'!K112</f>
        <v>0</v>
      </c>
      <c r="I36" s="1071">
        <f>'KB 09'!K119</f>
        <v>0</v>
      </c>
      <c r="J36" s="1071">
        <f t="shared" si="1"/>
        <v>0</v>
      </c>
      <c r="K36" s="1071">
        <f>'(F2) Shpenzimet sipas nenfunk.b'!E36</f>
        <v>0</v>
      </c>
      <c r="L36" s="1071">
        <f>'KB 09'!L112</f>
        <v>0</v>
      </c>
      <c r="M36" s="1071">
        <f>'KB 09'!L119</f>
        <v>0</v>
      </c>
      <c r="N36" s="1071">
        <f t="shared" si="2"/>
        <v>0</v>
      </c>
      <c r="O36" s="1071">
        <f>'(F2) Shpenzimet sipas nenfunk.b'!I36</f>
        <v>0</v>
      </c>
      <c r="P36" s="1071">
        <f>'KB 09'!M112</f>
        <v>0</v>
      </c>
      <c r="Q36" s="1071">
        <f>'KB 09'!M119</f>
        <v>0</v>
      </c>
      <c r="R36" s="1071">
        <f t="shared" si="3"/>
        <v>0</v>
      </c>
      <c r="S36" s="1071">
        <f>'(F2) Shpenzimet sipas nenfunk.b'!M36</f>
        <v>0</v>
      </c>
      <c r="T36" s="1071">
        <f>'KB 09'!N112</f>
        <v>0</v>
      </c>
      <c r="U36" s="1071">
        <f>'KB 09'!N119</f>
        <v>0</v>
      </c>
      <c r="V36" s="1071">
        <f t="shared" si="4"/>
        <v>0</v>
      </c>
      <c r="W36" s="1071">
        <f>'(F2) Shpenzimet sipas nenfunk.b'!Q36</f>
        <v>0</v>
      </c>
      <c r="X36" s="1071">
        <f>'KB 09'!O112</f>
        <v>0</v>
      </c>
      <c r="Y36" s="1071">
        <f>'KB 09'!O119</f>
        <v>0</v>
      </c>
      <c r="Z36" s="1071">
        <f t="shared" si="5"/>
        <v>0</v>
      </c>
    </row>
    <row r="37" spans="1:26" ht="15" customHeight="1" x14ac:dyDescent="0.2">
      <c r="A37" s="1066" t="str">
        <f>'(F2) Shpenzimet sipas nenfunk.b'!A37</f>
        <v>Nënfunksioni 10</v>
      </c>
      <c r="B37" s="1067" t="str">
        <f>'(F2) Shpenzimet sipas nenfunk.b'!B37</f>
        <v>062 Menaxhimi i i mbetjeve</v>
      </c>
      <c r="C37" s="1068">
        <f>'(F2) Shpenzimet sipas nenfunk.b'!C37</f>
        <v>37620677</v>
      </c>
      <c r="D37" s="1068">
        <f>'KB 10'!J$19</f>
        <v>74919468</v>
      </c>
      <c r="E37" s="1068">
        <f>'KB 10'!J$27</f>
        <v>0</v>
      </c>
      <c r="F37" s="1068">
        <f t="shared" si="0"/>
        <v>-37298791</v>
      </c>
      <c r="G37" s="1068">
        <f>'(F2) Shpenzimet sipas nenfunk.b'!D37</f>
        <v>105911830</v>
      </c>
      <c r="H37" s="1068">
        <f>'KB 10'!K$19</f>
        <v>77760684</v>
      </c>
      <c r="I37" s="1068">
        <f>'KB 10'!K$27</f>
        <v>0</v>
      </c>
      <c r="J37" s="1068">
        <f t="shared" si="1"/>
        <v>28151146</v>
      </c>
      <c r="K37" s="1068">
        <f>'(F2) Shpenzimet sipas nenfunk.b'!E37</f>
        <v>140388286</v>
      </c>
      <c r="L37" s="1068">
        <f>'KB 10'!L$19</f>
        <v>123100000</v>
      </c>
      <c r="M37" s="1068">
        <f>'KB 10'!L$27</f>
        <v>0</v>
      </c>
      <c r="N37" s="1068">
        <f t="shared" si="2"/>
        <v>17288286</v>
      </c>
      <c r="O37" s="1068">
        <f>'(F2) Shpenzimet sipas nenfunk.b'!I37</f>
        <v>150000000</v>
      </c>
      <c r="P37" s="1068">
        <f>'KB 10'!M$19</f>
        <v>122346375</v>
      </c>
      <c r="Q37" s="1068">
        <f>'KB 10'!M$27</f>
        <v>0</v>
      </c>
      <c r="R37" s="1068">
        <f t="shared" si="3"/>
        <v>27653625</v>
      </c>
      <c r="S37" s="1068">
        <f>'(F2) Shpenzimet sipas nenfunk.b'!M37</f>
        <v>150000000</v>
      </c>
      <c r="T37" s="1068">
        <f>'KB 10'!N$19</f>
        <v>124181570</v>
      </c>
      <c r="U37" s="1068">
        <f>'KB 10'!N$27</f>
        <v>0</v>
      </c>
      <c r="V37" s="1068">
        <f t="shared" si="4"/>
        <v>25818430</v>
      </c>
      <c r="W37" s="1068">
        <f>'(F2) Shpenzimet sipas nenfunk.b'!Q37</f>
        <v>150000000</v>
      </c>
      <c r="X37" s="1068">
        <f>'KB 10'!O$19</f>
        <v>126044294</v>
      </c>
      <c r="Y37" s="1068">
        <f>'KB 10'!O$27</f>
        <v>0</v>
      </c>
      <c r="Z37" s="1068">
        <f t="shared" si="5"/>
        <v>23955706</v>
      </c>
    </row>
    <row r="38" spans="1:26" ht="15" customHeight="1" x14ac:dyDescent="0.2">
      <c r="A38" s="1069" t="str">
        <f>'(F2) Shpenzimet sipas nenfunk.b'!A38</f>
        <v>06260</v>
      </c>
      <c r="B38" s="1070" t="str">
        <f>'(F2) Shpenzimet sipas nenfunk.b'!B38</f>
        <v>Menaxhimi i mbetjeve</v>
      </c>
      <c r="C38" s="1071">
        <f>'(F2) Shpenzimet sipas nenfunk.b'!C38</f>
        <v>37620677</v>
      </c>
      <c r="D38" s="1071">
        <f>'KB 10'!J73</f>
        <v>74919468</v>
      </c>
      <c r="E38" s="1071">
        <f>'KB 10'!J80</f>
        <v>0</v>
      </c>
      <c r="F38" s="1071">
        <f t="shared" si="0"/>
        <v>-37298791</v>
      </c>
      <c r="G38" s="1071">
        <f>'(F2) Shpenzimet sipas nenfunk.b'!D38</f>
        <v>105911830</v>
      </c>
      <c r="H38" s="1071">
        <f>'KB 10'!K73</f>
        <v>77760684</v>
      </c>
      <c r="I38" s="1071">
        <f>'KB 10'!K80</f>
        <v>0</v>
      </c>
      <c r="J38" s="1071">
        <f t="shared" si="1"/>
        <v>28151146</v>
      </c>
      <c r="K38" s="1071">
        <f>'(F2) Shpenzimet sipas nenfunk.b'!E38</f>
        <v>140388286</v>
      </c>
      <c r="L38" s="1071">
        <f>'KB 10'!L73</f>
        <v>123100000</v>
      </c>
      <c r="M38" s="1071">
        <f>'KB 10'!L80</f>
        <v>0</v>
      </c>
      <c r="N38" s="1071">
        <f t="shared" si="2"/>
        <v>17288286</v>
      </c>
      <c r="O38" s="1071">
        <f>'(F2) Shpenzimet sipas nenfunk.b'!I38</f>
        <v>150000000</v>
      </c>
      <c r="P38" s="1071">
        <f>'KB 10'!M73</f>
        <v>122346375</v>
      </c>
      <c r="Q38" s="1071">
        <f>'KB 10'!M80</f>
        <v>0</v>
      </c>
      <c r="R38" s="1071">
        <f t="shared" si="3"/>
        <v>27653625</v>
      </c>
      <c r="S38" s="1071">
        <f>'(F2) Shpenzimet sipas nenfunk.b'!M38</f>
        <v>150000000</v>
      </c>
      <c r="T38" s="1071">
        <f>'KB 10'!N73</f>
        <v>124181570</v>
      </c>
      <c r="U38" s="1071">
        <f>'KB 10'!N80</f>
        <v>0</v>
      </c>
      <c r="V38" s="1071">
        <f t="shared" si="4"/>
        <v>25818430</v>
      </c>
      <c r="W38" s="1071">
        <f>'(F2) Shpenzimet sipas nenfunk.b'!Q38</f>
        <v>150000000</v>
      </c>
      <c r="X38" s="1071">
        <f>'KB 10'!O73</f>
        <v>126044294</v>
      </c>
      <c r="Y38" s="1071">
        <f>'KB 10'!O80</f>
        <v>0</v>
      </c>
      <c r="Z38" s="1071"/>
    </row>
    <row r="39" spans="1:26" ht="15" customHeight="1" x14ac:dyDescent="0.2">
      <c r="A39" s="1066" t="str">
        <f>'(F2) Shpenzimet sipas nenfunk.b'!A39</f>
        <v>Nënfunksioni 11</v>
      </c>
      <c r="B39" s="1067" t="str">
        <f>'(F2) Shpenzimet sipas nenfunk.b'!B39</f>
        <v>052 Menaxhimi i ujrave të zeza</v>
      </c>
      <c r="C39" s="1068">
        <f>'(F2) Shpenzimet sipas nenfunk.b'!C39</f>
        <v>0</v>
      </c>
      <c r="D39" s="1068">
        <f>'KB 11'!J$19</f>
        <v>0</v>
      </c>
      <c r="E39" s="1068">
        <f>'KB 11'!J$27</f>
        <v>0</v>
      </c>
      <c r="F39" s="1068">
        <f t="shared" si="0"/>
        <v>0</v>
      </c>
      <c r="G39" s="1068">
        <f>'(F2) Shpenzimet sipas nenfunk.b'!D39</f>
        <v>0</v>
      </c>
      <c r="H39" s="1068">
        <f>'KB 11'!K$19</f>
        <v>0</v>
      </c>
      <c r="I39" s="1068">
        <f>'KB 11'!K$27</f>
        <v>0</v>
      </c>
      <c r="J39" s="1068">
        <f t="shared" si="1"/>
        <v>0</v>
      </c>
      <c r="K39" s="1068">
        <f>'(F2) Shpenzimet sipas nenfunk.b'!E39</f>
        <v>0</v>
      </c>
      <c r="L39" s="1068">
        <f>'KB 11'!L$19</f>
        <v>0</v>
      </c>
      <c r="M39" s="1068">
        <f>'KB 11'!L$27</f>
        <v>0</v>
      </c>
      <c r="N39" s="1068">
        <f t="shared" si="2"/>
        <v>0</v>
      </c>
      <c r="O39" s="1068">
        <f>'(F2) Shpenzimet sipas nenfunk.b'!I39</f>
        <v>0</v>
      </c>
      <c r="P39" s="1068">
        <f>'KB 11'!M$19</f>
        <v>0</v>
      </c>
      <c r="Q39" s="1068">
        <f>'KB 11'!M$27</f>
        <v>0</v>
      </c>
      <c r="R39" s="1068">
        <f t="shared" si="3"/>
        <v>0</v>
      </c>
      <c r="S39" s="1068">
        <f>'(F2) Shpenzimet sipas nenfunk.b'!M39</f>
        <v>0</v>
      </c>
      <c r="T39" s="1068">
        <f>'KB 11'!N$19</f>
        <v>0</v>
      </c>
      <c r="U39" s="1068">
        <f>'KB 11'!N$27</f>
        <v>0</v>
      </c>
      <c r="V39" s="1068">
        <f t="shared" si="4"/>
        <v>0</v>
      </c>
      <c r="W39" s="1068">
        <f>'(F2) Shpenzimet sipas nenfunk.b'!Q39</f>
        <v>0</v>
      </c>
      <c r="X39" s="1068">
        <f>'KB 11'!O$19</f>
        <v>0</v>
      </c>
      <c r="Y39" s="1068">
        <f>'KB 11'!O$27</f>
        <v>0</v>
      </c>
      <c r="Z39" s="1068">
        <f t="shared" si="5"/>
        <v>0</v>
      </c>
    </row>
    <row r="40" spans="1:26" ht="15" customHeight="1" x14ac:dyDescent="0.2">
      <c r="A40" s="1069" t="str">
        <f>'(F2) Shpenzimet sipas nenfunk.b'!A40</f>
        <v>05200</v>
      </c>
      <c r="B40" s="1070" t="str">
        <f>'(F2) Shpenzimet sipas nenfunk.b'!B40</f>
        <v>Menaxhimi i ujrave të zeza dhe kanalizimeve</v>
      </c>
      <c r="C40" s="1071">
        <f>'(F2) Shpenzimet sipas nenfunk.b'!C40</f>
        <v>0</v>
      </c>
      <c r="D40" s="1071">
        <f>'KB 11'!J73</f>
        <v>0</v>
      </c>
      <c r="E40" s="1071">
        <f>'KB 11'!J80</f>
        <v>0</v>
      </c>
      <c r="F40" s="1071">
        <f>C40-D40-E40</f>
        <v>0</v>
      </c>
      <c r="G40" s="1071">
        <f>'(F2) Shpenzimet sipas nenfunk.b'!D40</f>
        <v>0</v>
      </c>
      <c r="H40" s="1071">
        <f>'KB 11'!K73</f>
        <v>0</v>
      </c>
      <c r="I40" s="1071">
        <f>'KB 11'!K80</f>
        <v>0</v>
      </c>
      <c r="J40" s="1071">
        <f t="shared" si="1"/>
        <v>0</v>
      </c>
      <c r="K40" s="1071">
        <f>'(F2) Shpenzimet sipas nenfunk.b'!E40</f>
        <v>0</v>
      </c>
      <c r="L40" s="1071">
        <f>'KB 11'!L73</f>
        <v>0</v>
      </c>
      <c r="M40" s="1071">
        <f>'KB 11'!L80</f>
        <v>0</v>
      </c>
      <c r="N40" s="1071">
        <f t="shared" si="2"/>
        <v>0</v>
      </c>
      <c r="O40" s="1071">
        <f>'(F2) Shpenzimet sipas nenfunk.b'!I40</f>
        <v>0</v>
      </c>
      <c r="P40" s="1071">
        <f>'KB 11'!M73</f>
        <v>0</v>
      </c>
      <c r="Q40" s="1071">
        <f>'KB 11'!M80</f>
        <v>0</v>
      </c>
      <c r="R40" s="1071">
        <f t="shared" si="3"/>
        <v>0</v>
      </c>
      <c r="S40" s="1071">
        <f>'(F2) Shpenzimet sipas nenfunk.b'!M40</f>
        <v>0</v>
      </c>
      <c r="T40" s="1071">
        <f>'KB 11'!N73</f>
        <v>0</v>
      </c>
      <c r="U40" s="1071">
        <f>'KB 11'!N80</f>
        <v>0</v>
      </c>
      <c r="V40" s="1071">
        <f t="shared" si="4"/>
        <v>0</v>
      </c>
      <c r="W40" s="1071">
        <f>'(F2) Shpenzimet sipas nenfunk.b'!Q40</f>
        <v>0</v>
      </c>
      <c r="X40" s="1071">
        <f>'KB 11'!O73</f>
        <v>0</v>
      </c>
      <c r="Y40" s="1071">
        <f>'KB 11'!O80</f>
        <v>0</v>
      </c>
      <c r="Z40" s="1071">
        <f t="shared" si="5"/>
        <v>0</v>
      </c>
    </row>
    <row r="41" spans="1:26" ht="15" customHeight="1" x14ac:dyDescent="0.2">
      <c r="A41" s="1066" t="str">
        <f>'(F2) Shpenzimet sipas nenfunk.b'!A41</f>
        <v>Nënfunksioni 12</v>
      </c>
      <c r="B41" s="1067" t="str">
        <f>'(F2) Shpenzimet sipas nenfunk.b'!B41</f>
        <v>053 Reduktimi i ndotjes</v>
      </c>
      <c r="C41" s="1068">
        <f>'(F2) Shpenzimet sipas nenfunk.b'!C41</f>
        <v>0</v>
      </c>
      <c r="D41" s="1068">
        <f>'KB 12'!J$19</f>
        <v>0</v>
      </c>
      <c r="E41" s="1068">
        <f>'KB 12'!J$27</f>
        <v>0</v>
      </c>
      <c r="F41" s="1068">
        <f t="shared" si="0"/>
        <v>0</v>
      </c>
      <c r="G41" s="1068">
        <f>'(F2) Shpenzimet sipas nenfunk.b'!D41</f>
        <v>0</v>
      </c>
      <c r="H41" s="1068">
        <f>'KB 12'!K$19</f>
        <v>0</v>
      </c>
      <c r="I41" s="1068">
        <f>'KB 12'!K$27</f>
        <v>0</v>
      </c>
      <c r="J41" s="1068">
        <f t="shared" si="1"/>
        <v>0</v>
      </c>
      <c r="K41" s="1068">
        <f>'(F2) Shpenzimet sipas nenfunk.b'!E41</f>
        <v>0</v>
      </c>
      <c r="L41" s="1068">
        <f>'KB 12'!L$19</f>
        <v>0</v>
      </c>
      <c r="M41" s="1068">
        <f>'KB 12'!L$27</f>
        <v>0</v>
      </c>
      <c r="N41" s="1068">
        <f t="shared" si="2"/>
        <v>0</v>
      </c>
      <c r="O41" s="1068">
        <f>'(F2) Shpenzimet sipas nenfunk.b'!I41</f>
        <v>0</v>
      </c>
      <c r="P41" s="1068">
        <f>'KB 12'!M$19</f>
        <v>0</v>
      </c>
      <c r="Q41" s="1068">
        <f>'KB 12'!M$27</f>
        <v>0</v>
      </c>
      <c r="R41" s="1068">
        <f t="shared" si="3"/>
        <v>0</v>
      </c>
      <c r="S41" s="1068">
        <f>'(F2) Shpenzimet sipas nenfunk.b'!M41</f>
        <v>0</v>
      </c>
      <c r="T41" s="1068">
        <f>'KB 12'!N$19</f>
        <v>0</v>
      </c>
      <c r="U41" s="1068">
        <f>'KB 12'!N$27</f>
        <v>0</v>
      </c>
      <c r="V41" s="1068">
        <f t="shared" si="4"/>
        <v>0</v>
      </c>
      <c r="W41" s="1068">
        <f>'(F2) Shpenzimet sipas nenfunk.b'!Q41</f>
        <v>0</v>
      </c>
      <c r="X41" s="1068">
        <f>'KB 12'!O$19</f>
        <v>0</v>
      </c>
      <c r="Y41" s="1068">
        <f>'KB 12'!O$27</f>
        <v>0</v>
      </c>
      <c r="Z41" s="1068">
        <f t="shared" si="5"/>
        <v>0</v>
      </c>
    </row>
    <row r="42" spans="1:26" ht="15" customHeight="1" x14ac:dyDescent="0.2">
      <c r="A42" s="1069" t="str">
        <f>'(F2) Shpenzimet sipas nenfunk.b'!A42</f>
        <v>05320</v>
      </c>
      <c r="B42" s="1070" t="str">
        <f>'(F2) Shpenzimet sipas nenfunk.b'!B42</f>
        <v>Programet e mbrojtjes së mjedisit</v>
      </c>
      <c r="C42" s="1071">
        <f>'(F2) Shpenzimet sipas nenfunk.b'!C42</f>
        <v>0</v>
      </c>
      <c r="D42" s="1071">
        <f>'KB 12'!J73</f>
        <v>0</v>
      </c>
      <c r="E42" s="1071">
        <f>'KB 12'!J80</f>
        <v>0</v>
      </c>
      <c r="F42" s="1071">
        <f>C42-D42-E42</f>
        <v>0</v>
      </c>
      <c r="G42" s="1071">
        <f>'(F2) Shpenzimet sipas nenfunk.b'!D42</f>
        <v>0</v>
      </c>
      <c r="H42" s="1071">
        <f>'KB 12'!K73</f>
        <v>0</v>
      </c>
      <c r="I42" s="1071">
        <f>'KB 12'!K80</f>
        <v>0</v>
      </c>
      <c r="J42" s="1071">
        <f t="shared" si="1"/>
        <v>0</v>
      </c>
      <c r="K42" s="1071">
        <f>'(F2) Shpenzimet sipas nenfunk.b'!E42</f>
        <v>0</v>
      </c>
      <c r="L42" s="1071">
        <f>'KB 12'!L73</f>
        <v>0</v>
      </c>
      <c r="M42" s="1071">
        <f>'KB 12'!L80</f>
        <v>0</v>
      </c>
      <c r="N42" s="1071">
        <f t="shared" si="2"/>
        <v>0</v>
      </c>
      <c r="O42" s="1071">
        <f>'(F2) Shpenzimet sipas nenfunk.b'!I42</f>
        <v>0</v>
      </c>
      <c r="P42" s="1071">
        <f>'KB 12'!M73</f>
        <v>0</v>
      </c>
      <c r="Q42" s="1071">
        <f>'KB 12'!M80</f>
        <v>0</v>
      </c>
      <c r="R42" s="1071">
        <f t="shared" si="3"/>
        <v>0</v>
      </c>
      <c r="S42" s="1071">
        <f>'(F2) Shpenzimet sipas nenfunk.b'!M42</f>
        <v>0</v>
      </c>
      <c r="T42" s="1071">
        <f>'KB 12'!N73</f>
        <v>0</v>
      </c>
      <c r="U42" s="1071">
        <f>'KB 12'!N80</f>
        <v>0</v>
      </c>
      <c r="V42" s="1071">
        <f t="shared" si="4"/>
        <v>0</v>
      </c>
      <c r="W42" s="1071">
        <f>'(F2) Shpenzimet sipas nenfunk.b'!Q42</f>
        <v>0</v>
      </c>
      <c r="X42" s="1071">
        <f>'KB 12'!O73</f>
        <v>0</v>
      </c>
      <c r="Y42" s="1071">
        <f>'KB 12'!O80</f>
        <v>0</v>
      </c>
      <c r="Z42" s="1071">
        <f t="shared" si="5"/>
        <v>0</v>
      </c>
    </row>
    <row r="43" spans="1:26" ht="15" customHeight="1" x14ac:dyDescent="0.2">
      <c r="A43" s="1066" t="str">
        <f>'(F2) Shpenzimet sipas nenfunk.b'!A43</f>
        <v>Nënfunksioni 13</v>
      </c>
      <c r="B43" s="1067" t="str">
        <f>'(F2) Shpenzimet sipas nenfunk.b'!B43</f>
        <v>056 Mbrojtja e mjedisit</v>
      </c>
      <c r="C43" s="1068">
        <f>'(F2) Shpenzimet sipas nenfunk.b'!C43</f>
        <v>0</v>
      </c>
      <c r="D43" s="1068">
        <f>'KB 13'!J$19</f>
        <v>0</v>
      </c>
      <c r="E43" s="1068">
        <f>'KB 13'!J$27</f>
        <v>0</v>
      </c>
      <c r="F43" s="1068">
        <f>C43-D43-E43</f>
        <v>0</v>
      </c>
      <c r="G43" s="1068">
        <f>'(F2) Shpenzimet sipas nenfunk.b'!D43</f>
        <v>0</v>
      </c>
      <c r="H43" s="1068">
        <f>'KB 13'!K$19</f>
        <v>0</v>
      </c>
      <c r="I43" s="1068">
        <f>'KB 13'!K$27</f>
        <v>0</v>
      </c>
      <c r="J43" s="1068">
        <f t="shared" si="1"/>
        <v>0</v>
      </c>
      <c r="K43" s="1068">
        <f>'(F2) Shpenzimet sipas nenfunk.b'!E43</f>
        <v>0</v>
      </c>
      <c r="L43" s="1068">
        <f>'KB 13'!L$19</f>
        <v>0</v>
      </c>
      <c r="M43" s="1068">
        <f>'KB 13'!L$27</f>
        <v>0</v>
      </c>
      <c r="N43" s="1068">
        <f t="shared" si="2"/>
        <v>0</v>
      </c>
      <c r="O43" s="1068">
        <f>'(F2) Shpenzimet sipas nenfunk.b'!I43</f>
        <v>0</v>
      </c>
      <c r="P43" s="1068">
        <f>'KB 13'!M$19</f>
        <v>0</v>
      </c>
      <c r="Q43" s="1068">
        <f>'KB 13'!M$27</f>
        <v>0</v>
      </c>
      <c r="R43" s="1068">
        <f t="shared" si="3"/>
        <v>0</v>
      </c>
      <c r="S43" s="1068">
        <f>'(F2) Shpenzimet sipas nenfunk.b'!M43</f>
        <v>0</v>
      </c>
      <c r="T43" s="1068">
        <f>'KB 13'!N$19</f>
        <v>0</v>
      </c>
      <c r="U43" s="1068">
        <f>'KB 13'!N$27</f>
        <v>0</v>
      </c>
      <c r="V43" s="1068">
        <f t="shared" si="4"/>
        <v>0</v>
      </c>
      <c r="W43" s="1068">
        <f>'(F2) Shpenzimet sipas nenfunk.b'!Q43</f>
        <v>0</v>
      </c>
      <c r="X43" s="1068">
        <f>'KB 13'!O$19</f>
        <v>0</v>
      </c>
      <c r="Y43" s="1068">
        <f>'KB 13'!O$27</f>
        <v>0</v>
      </c>
      <c r="Z43" s="1068">
        <f t="shared" si="5"/>
        <v>0</v>
      </c>
    </row>
    <row r="44" spans="1:26" ht="15" customHeight="1" x14ac:dyDescent="0.2">
      <c r="A44" s="1069" t="str">
        <f>'(F2) Shpenzimet sipas nenfunk.b'!A44</f>
        <v>05630</v>
      </c>
      <c r="B44" s="1070" t="str">
        <f>'(F2) Shpenzimet sipas nenfunk.b'!B44</f>
        <v>Ndërgjegjësimi mjedisor</v>
      </c>
      <c r="C44" s="1071">
        <f>'(F2) Shpenzimet sipas nenfunk.b'!C44</f>
        <v>0</v>
      </c>
      <c r="D44" s="1071">
        <f>'KB 13'!J73</f>
        <v>0</v>
      </c>
      <c r="E44" s="1071">
        <f>'KB 13'!J80</f>
        <v>0</v>
      </c>
      <c r="F44" s="1071">
        <f>C44-D44-E44</f>
        <v>0</v>
      </c>
      <c r="G44" s="1071">
        <f>'(F2) Shpenzimet sipas nenfunk.b'!D44</f>
        <v>0</v>
      </c>
      <c r="H44" s="1071">
        <f>'KB 13'!K73</f>
        <v>0</v>
      </c>
      <c r="I44" s="1071">
        <f>'KB 13'!K80</f>
        <v>0</v>
      </c>
      <c r="J44" s="1071">
        <f t="shared" si="1"/>
        <v>0</v>
      </c>
      <c r="K44" s="1071">
        <f>'(F2) Shpenzimet sipas nenfunk.b'!E44</f>
        <v>0</v>
      </c>
      <c r="L44" s="1071">
        <f>'KB 13'!L73</f>
        <v>0</v>
      </c>
      <c r="M44" s="1071">
        <f>'KB 13'!L80</f>
        <v>0</v>
      </c>
      <c r="N44" s="1071">
        <f t="shared" si="2"/>
        <v>0</v>
      </c>
      <c r="O44" s="1071">
        <f>'(F2) Shpenzimet sipas nenfunk.b'!I44</f>
        <v>0</v>
      </c>
      <c r="P44" s="1071">
        <f>'KB 13'!M73</f>
        <v>0</v>
      </c>
      <c r="Q44" s="1071">
        <f>'KB 13'!M80</f>
        <v>0</v>
      </c>
      <c r="R44" s="1071">
        <f t="shared" si="3"/>
        <v>0</v>
      </c>
      <c r="S44" s="1071">
        <f>'(F2) Shpenzimet sipas nenfunk.b'!M44</f>
        <v>0</v>
      </c>
      <c r="T44" s="1071">
        <f>'KB 13'!N73</f>
        <v>0</v>
      </c>
      <c r="U44" s="1071">
        <f>'KB 13'!N80</f>
        <v>0</v>
      </c>
      <c r="V44" s="1071">
        <f t="shared" si="4"/>
        <v>0</v>
      </c>
      <c r="W44" s="1071">
        <f>'(F2) Shpenzimet sipas nenfunk.b'!Q44</f>
        <v>0</v>
      </c>
      <c r="X44" s="1071">
        <f>'KB 13'!O73</f>
        <v>0</v>
      </c>
      <c r="Y44" s="1071">
        <f>'KB 13'!O80</f>
        <v>0</v>
      </c>
      <c r="Z44" s="1071">
        <f t="shared" si="5"/>
        <v>0</v>
      </c>
    </row>
    <row r="45" spans="1:26" ht="15" hidden="1" customHeight="1" x14ac:dyDescent="0.2">
      <c r="A45" s="1069" t="str">
        <f>'(F2) Shpenzimet sipas nenfunk.b'!A45</f>
        <v>05640</v>
      </c>
      <c r="B45" s="1070" t="str">
        <f>'(F2) Shpenzimet sipas nenfunk.b'!B45</f>
        <v>Administrimi i resurseve ujore</v>
      </c>
      <c r="C45" s="1071">
        <f>'(F2) Shpenzimet sipas nenfunk.b'!C45</f>
        <v>0</v>
      </c>
      <c r="D45" s="1071">
        <f>'KB 13'!J112</f>
        <v>0</v>
      </c>
      <c r="E45" s="1071">
        <f>'KB 13'!J119</f>
        <v>0</v>
      </c>
      <c r="F45" s="1071">
        <f>C45-D45-E45</f>
        <v>0</v>
      </c>
      <c r="G45" s="1071">
        <f>'(F2) Shpenzimet sipas nenfunk.b'!D45</f>
        <v>0</v>
      </c>
      <c r="H45" s="1071">
        <f>'KB 13'!K112</f>
        <v>0</v>
      </c>
      <c r="I45" s="1071">
        <f>'KB 13'!K119</f>
        <v>0</v>
      </c>
      <c r="J45" s="1071">
        <f t="shared" si="1"/>
        <v>0</v>
      </c>
      <c r="K45" s="1071">
        <f>'(F2) Shpenzimet sipas nenfunk.b'!E45</f>
        <v>0</v>
      </c>
      <c r="L45" s="1071">
        <f>'KB 13'!L112</f>
        <v>0</v>
      </c>
      <c r="M45" s="1071">
        <f>'KB 13'!L119</f>
        <v>0</v>
      </c>
      <c r="N45" s="1071">
        <f t="shared" si="2"/>
        <v>0</v>
      </c>
      <c r="O45" s="1071">
        <f>'(F2) Shpenzimet sipas nenfunk.b'!I45</f>
        <v>0</v>
      </c>
      <c r="P45" s="1071">
        <f>'KB 13'!M112</f>
        <v>0</v>
      </c>
      <c r="Q45" s="1071">
        <f>'KB 13'!M119</f>
        <v>0</v>
      </c>
      <c r="R45" s="1071">
        <f t="shared" si="3"/>
        <v>0</v>
      </c>
      <c r="S45" s="1071">
        <f>'(F2) Shpenzimet sipas nenfunk.b'!M45</f>
        <v>0</v>
      </c>
      <c r="T45" s="1071">
        <f>'KB 13'!N112</f>
        <v>0</v>
      </c>
      <c r="U45" s="1071">
        <f>'KB 13'!N119</f>
        <v>0</v>
      </c>
      <c r="V45" s="1071">
        <f t="shared" si="4"/>
        <v>0</v>
      </c>
      <c r="W45" s="1071">
        <f>'(F2) Shpenzimet sipas nenfunk.b'!Q45</f>
        <v>0</v>
      </c>
      <c r="X45" s="1071">
        <f>'KB 13'!O112</f>
        <v>0</v>
      </c>
      <c r="Y45" s="1071">
        <f>'KB 13'!O119</f>
        <v>0</v>
      </c>
      <c r="Z45" s="1071">
        <f t="shared" si="5"/>
        <v>0</v>
      </c>
    </row>
    <row r="46" spans="1:26" ht="15" customHeight="1" x14ac:dyDescent="0.2">
      <c r="A46" s="1066" t="str">
        <f>'(F2) Shpenzimet sipas nenfunk.b'!A46</f>
        <v>Nënfunksioni 14</v>
      </c>
      <c r="B46" s="1067" t="str">
        <f>'(F2) Shpenzimet sipas nenfunk.b'!B46</f>
        <v>061 Urbanistika</v>
      </c>
      <c r="C46" s="1068">
        <f>'(F2) Shpenzimet sipas nenfunk.b'!C46</f>
        <v>311473</v>
      </c>
      <c r="D46" s="1068">
        <f>'KB 14'!J$19</f>
        <v>26660867</v>
      </c>
      <c r="E46" s="1068">
        <f>'KB 14'!J$27</f>
        <v>0</v>
      </c>
      <c r="F46" s="1068">
        <f t="shared" si="0"/>
        <v>-26349394</v>
      </c>
      <c r="G46" s="1068">
        <f>'(F2) Shpenzimet sipas nenfunk.b'!D46</f>
        <v>1379258</v>
      </c>
      <c r="H46" s="1068">
        <f>'KB 14'!K$19</f>
        <v>0</v>
      </c>
      <c r="I46" s="1068">
        <f>'KB 14'!K$27</f>
        <v>0</v>
      </c>
      <c r="J46" s="1068">
        <f t="shared" si="1"/>
        <v>1379258</v>
      </c>
      <c r="K46" s="1068">
        <f>'(F2) Shpenzimet sipas nenfunk.b'!E46</f>
        <v>14372555</v>
      </c>
      <c r="L46" s="1068">
        <f>'KB 14'!L$19</f>
        <v>64885000</v>
      </c>
      <c r="M46" s="1068">
        <f>'KB 14'!L$27</f>
        <v>0</v>
      </c>
      <c r="N46" s="1068">
        <f t="shared" si="2"/>
        <v>-50512445</v>
      </c>
      <c r="O46" s="1068">
        <f>'(F2) Shpenzimet sipas nenfunk.b'!I46</f>
        <v>0</v>
      </c>
      <c r="P46" s="1068">
        <f>'KB 14'!M$19</f>
        <v>0</v>
      </c>
      <c r="Q46" s="1068">
        <f>'KB 14'!M$27</f>
        <v>0</v>
      </c>
      <c r="R46" s="1068">
        <f t="shared" si="3"/>
        <v>0</v>
      </c>
      <c r="S46" s="1068">
        <f>'(F2) Shpenzimet sipas nenfunk.b'!M46</f>
        <v>0</v>
      </c>
      <c r="T46" s="1068">
        <f>'KB 14'!N$19</f>
        <v>0</v>
      </c>
      <c r="U46" s="1068">
        <f>'KB 14'!N$27</f>
        <v>0</v>
      </c>
      <c r="V46" s="1068">
        <f t="shared" si="4"/>
        <v>0</v>
      </c>
      <c r="W46" s="1068">
        <f>'(F2) Shpenzimet sipas nenfunk.b'!Q46</f>
        <v>0</v>
      </c>
      <c r="X46" s="1068">
        <f>'KB 14'!O$19</f>
        <v>0</v>
      </c>
      <c r="Y46" s="1068">
        <f>'KB 14'!O$27</f>
        <v>0</v>
      </c>
      <c r="Z46" s="1068">
        <f t="shared" si="5"/>
        <v>0</v>
      </c>
    </row>
    <row r="47" spans="1:26" ht="15" customHeight="1" x14ac:dyDescent="0.2">
      <c r="A47" s="1069" t="str">
        <f>'(F2) Shpenzimet sipas nenfunk.b'!A47</f>
        <v>06140</v>
      </c>
      <c r="B47" s="1070" t="str">
        <f>'(F2) Shpenzimet sipas nenfunk.b'!B47</f>
        <v>Planifikimi Urban Vendor</v>
      </c>
      <c r="C47" s="1071">
        <f>'(F2) Shpenzimet sipas nenfunk.b'!C47</f>
        <v>311473</v>
      </c>
      <c r="D47" s="1071">
        <f>'KB 14'!J73</f>
        <v>26660867</v>
      </c>
      <c r="E47" s="1071">
        <f>'KB 14'!J80</f>
        <v>0</v>
      </c>
      <c r="F47" s="1071">
        <f t="shared" si="0"/>
        <v>-26349394</v>
      </c>
      <c r="G47" s="1071">
        <f>'(F2) Shpenzimet sipas nenfunk.b'!D47</f>
        <v>1379258</v>
      </c>
      <c r="H47" s="1071">
        <f>'KB 14'!K73</f>
        <v>0</v>
      </c>
      <c r="I47" s="1071">
        <f>'KB 14'!K80</f>
        <v>0</v>
      </c>
      <c r="J47" s="1071">
        <f t="shared" si="1"/>
        <v>1379258</v>
      </c>
      <c r="K47" s="1071">
        <f>'(F2) Shpenzimet sipas nenfunk.b'!E47</f>
        <v>14372555</v>
      </c>
      <c r="L47" s="1071">
        <f>'KB 14'!L73</f>
        <v>64885000</v>
      </c>
      <c r="M47" s="1071">
        <f>'KB 14'!L80</f>
        <v>0</v>
      </c>
      <c r="N47" s="1071">
        <f t="shared" si="2"/>
        <v>-50512445</v>
      </c>
      <c r="O47" s="1071">
        <f>'(F2) Shpenzimet sipas nenfunk.b'!I47</f>
        <v>0</v>
      </c>
      <c r="P47" s="1071">
        <f>'KB 14'!M73</f>
        <v>0</v>
      </c>
      <c r="Q47" s="1071">
        <f>'KB 14'!M80</f>
        <v>0</v>
      </c>
      <c r="R47" s="1071">
        <f t="shared" si="3"/>
        <v>0</v>
      </c>
      <c r="S47" s="1071">
        <f>'(F2) Shpenzimet sipas nenfunk.b'!M47</f>
        <v>0</v>
      </c>
      <c r="T47" s="1071">
        <f>'KB 14'!N73</f>
        <v>0</v>
      </c>
      <c r="U47" s="1071">
        <f>'KB 14'!N80</f>
        <v>0</v>
      </c>
      <c r="V47" s="1071">
        <f t="shared" si="4"/>
        <v>0</v>
      </c>
      <c r="W47" s="1071">
        <f>'(F2) Shpenzimet sipas nenfunk.b'!Q47</f>
        <v>0</v>
      </c>
      <c r="X47" s="1071">
        <f>'KB 14'!O73</f>
        <v>0</v>
      </c>
      <c r="Y47" s="1071">
        <f>'KB 14'!O80</f>
        <v>0</v>
      </c>
      <c r="Z47" s="1071">
        <f t="shared" si="5"/>
        <v>0</v>
      </c>
    </row>
    <row r="48" spans="1:26" ht="15" hidden="1" customHeight="1" x14ac:dyDescent="0.2">
      <c r="A48" s="1069" t="str">
        <f>'(F2) Shpenzimet sipas nenfunk.b'!A48</f>
        <v>06180</v>
      </c>
      <c r="B48" s="1070" t="str">
        <f>'(F2) Shpenzimet sipas nenfunk.b'!B48</f>
        <v>Planifikimi urban dhe strehimi</v>
      </c>
      <c r="C48" s="1071">
        <f>'(F2) Shpenzimet sipas nenfunk.b'!C48</f>
        <v>0</v>
      </c>
      <c r="D48" s="1071">
        <f>'KB 14'!J112</f>
        <v>0</v>
      </c>
      <c r="E48" s="1071">
        <f>'KB 14'!J119</f>
        <v>0</v>
      </c>
      <c r="F48" s="1071">
        <f t="shared" si="0"/>
        <v>0</v>
      </c>
      <c r="G48" s="1071">
        <f>'(F2) Shpenzimet sipas nenfunk.b'!D48</f>
        <v>0</v>
      </c>
      <c r="H48" s="1071">
        <f>'KB 14'!K112</f>
        <v>0</v>
      </c>
      <c r="I48" s="1071">
        <f>'KB 14'!K119</f>
        <v>0</v>
      </c>
      <c r="J48" s="1071">
        <f t="shared" si="1"/>
        <v>0</v>
      </c>
      <c r="K48" s="1071">
        <f>'(F2) Shpenzimet sipas nenfunk.b'!E48</f>
        <v>0</v>
      </c>
      <c r="L48" s="1071">
        <f>'KB 14'!L112</f>
        <v>0</v>
      </c>
      <c r="M48" s="1071">
        <f>'KB 14'!L119</f>
        <v>0</v>
      </c>
      <c r="N48" s="1071">
        <f t="shared" si="2"/>
        <v>0</v>
      </c>
      <c r="O48" s="1071">
        <f>'(F2) Shpenzimet sipas nenfunk.b'!I48</f>
        <v>0</v>
      </c>
      <c r="P48" s="1071">
        <f>'KB 14'!M112</f>
        <v>0</v>
      </c>
      <c r="Q48" s="1071">
        <f>'KB 14'!M119</f>
        <v>0</v>
      </c>
      <c r="R48" s="1071">
        <f t="shared" si="3"/>
        <v>0</v>
      </c>
      <c r="S48" s="1071">
        <f>'(F2) Shpenzimet sipas nenfunk.b'!M48</f>
        <v>0</v>
      </c>
      <c r="T48" s="1071">
        <f>'KB 14'!N112</f>
        <v>0</v>
      </c>
      <c r="U48" s="1071">
        <f>'KB 14'!N119</f>
        <v>0</v>
      </c>
      <c r="V48" s="1071">
        <f t="shared" si="4"/>
        <v>0</v>
      </c>
      <c r="W48" s="1071">
        <f>'(F2) Shpenzimet sipas nenfunk.b'!Q48</f>
        <v>0</v>
      </c>
      <c r="X48" s="1071">
        <f>'KB 14'!O112</f>
        <v>0</v>
      </c>
      <c r="Y48" s="1071">
        <f>'KB 14'!O119</f>
        <v>0</v>
      </c>
      <c r="Z48" s="1071">
        <f t="shared" si="5"/>
        <v>0</v>
      </c>
    </row>
    <row r="49" spans="1:26" ht="15" customHeight="1" x14ac:dyDescent="0.2">
      <c r="A49" s="1066" t="str">
        <f>'(F2) Shpenzimet sipas nenfunk.b'!A49</f>
        <v>Nënfunksioni 15</v>
      </c>
      <c r="B49" s="1067" t="str">
        <f>'(F2) Shpenzimet sipas nenfunk.b'!B49</f>
        <v>062 Zhvillimi i komunitetit</v>
      </c>
      <c r="C49" s="1068">
        <f>'(F2) Shpenzimet sipas nenfunk.b'!C49</f>
        <v>48731493</v>
      </c>
      <c r="D49" s="1068">
        <f>'KB 15'!J$19</f>
        <v>42162659</v>
      </c>
      <c r="E49" s="1068">
        <f>'KB 15'!J$27</f>
        <v>0</v>
      </c>
      <c r="F49" s="1068">
        <f t="shared" si="0"/>
        <v>6568834</v>
      </c>
      <c r="G49" s="1068">
        <f>'(F2) Shpenzimet sipas nenfunk.b'!D49</f>
        <v>72282837</v>
      </c>
      <c r="H49" s="1068">
        <f>'KB 15'!K$19</f>
        <v>43143981</v>
      </c>
      <c r="I49" s="1068">
        <f>'KB 15'!K$27</f>
        <v>0</v>
      </c>
      <c r="J49" s="1068">
        <f t="shared" si="1"/>
        <v>29138856</v>
      </c>
      <c r="K49" s="1068">
        <f>'(F2) Shpenzimet sipas nenfunk.b'!E49</f>
        <v>193698859</v>
      </c>
      <c r="L49" s="1068">
        <f>'KB 15'!L$19</f>
        <v>75000000</v>
      </c>
      <c r="M49" s="1068">
        <f>'KB 15'!L$27</f>
        <v>0</v>
      </c>
      <c r="N49" s="1068">
        <f t="shared" si="2"/>
        <v>118698859</v>
      </c>
      <c r="O49" s="1068">
        <f>'(F2) Shpenzimet sipas nenfunk.b'!I49</f>
        <v>99335900</v>
      </c>
      <c r="P49" s="1068">
        <f>'KB 15'!M$19</f>
        <v>72695639</v>
      </c>
      <c r="Q49" s="1068">
        <f>'KB 15'!M$27</f>
        <v>0</v>
      </c>
      <c r="R49" s="1068">
        <f t="shared" si="3"/>
        <v>26640261</v>
      </c>
      <c r="S49" s="1068">
        <f>'(F2) Shpenzimet sipas nenfunk.b'!M49</f>
        <v>102823000</v>
      </c>
      <c r="T49" s="1068">
        <f>'KB 15'!N$19</f>
        <v>73722128</v>
      </c>
      <c r="U49" s="1068">
        <f>'KB 15'!N$27</f>
        <v>0</v>
      </c>
      <c r="V49" s="1068">
        <f t="shared" si="4"/>
        <v>29100872</v>
      </c>
      <c r="W49" s="1068">
        <f>'(F2) Shpenzimet sipas nenfunk.b'!Q49</f>
        <v>106667600</v>
      </c>
      <c r="X49" s="1068">
        <f>'KB 15'!O$19</f>
        <v>74827960</v>
      </c>
      <c r="Y49" s="1068">
        <f>'KB 15'!O$27</f>
        <v>0</v>
      </c>
      <c r="Z49" s="1068">
        <f t="shared" si="5"/>
        <v>31839640</v>
      </c>
    </row>
    <row r="50" spans="1:26" ht="15" customHeight="1" x14ac:dyDescent="0.2">
      <c r="A50" s="1069" t="str">
        <f>'(F2) Shpenzimet sipas nenfunk.b'!A50</f>
        <v>06210</v>
      </c>
      <c r="B50" s="1070" t="str">
        <f>'(F2) Shpenzimet sipas nenfunk.b'!B50</f>
        <v>Programet e zhvillimit</v>
      </c>
      <c r="C50" s="1071">
        <f>'(F2) Shpenzimet sipas nenfunk.b'!C50</f>
        <v>0</v>
      </c>
      <c r="D50" s="1071">
        <f>'KB 15'!J73</f>
        <v>0</v>
      </c>
      <c r="E50" s="1071">
        <f>'KB 15'!J80</f>
        <v>0</v>
      </c>
      <c r="F50" s="1071">
        <f>C50-D50-E50</f>
        <v>0</v>
      </c>
      <c r="G50" s="1071">
        <f>'(F2) Shpenzimet sipas nenfunk.b'!D50</f>
        <v>0</v>
      </c>
      <c r="H50" s="1071">
        <f>'KB 15'!K73</f>
        <v>0</v>
      </c>
      <c r="I50" s="1071">
        <f>'KB 15'!K80</f>
        <v>0</v>
      </c>
      <c r="J50" s="1071">
        <f t="shared" si="1"/>
        <v>0</v>
      </c>
      <c r="K50" s="1071">
        <f>'(F2) Shpenzimet sipas nenfunk.b'!E50</f>
        <v>0</v>
      </c>
      <c r="L50" s="1071">
        <f>'KB 15'!L73</f>
        <v>0</v>
      </c>
      <c r="M50" s="1071">
        <f>'KB 15'!L80</f>
        <v>0</v>
      </c>
      <c r="N50" s="1071">
        <f t="shared" si="2"/>
        <v>0</v>
      </c>
      <c r="O50" s="1071">
        <f>'(F2) Shpenzimet sipas nenfunk.b'!I50</f>
        <v>0</v>
      </c>
      <c r="P50" s="1071">
        <f>'KB 15'!M73</f>
        <v>0</v>
      </c>
      <c r="Q50" s="1071">
        <f>'KB 15'!M80</f>
        <v>0</v>
      </c>
      <c r="R50" s="1071">
        <f t="shared" si="3"/>
        <v>0</v>
      </c>
      <c r="S50" s="1071">
        <f>'(F2) Shpenzimet sipas nenfunk.b'!M50</f>
        <v>0</v>
      </c>
      <c r="T50" s="1071">
        <f>'KB 15'!N73</f>
        <v>0</v>
      </c>
      <c r="U50" s="1071">
        <f>'KB 15'!N80</f>
        <v>0</v>
      </c>
      <c r="V50" s="1071">
        <f t="shared" si="4"/>
        <v>0</v>
      </c>
      <c r="W50" s="1071">
        <f>'(F2) Shpenzimet sipas nenfunk.b'!Q50</f>
        <v>0</v>
      </c>
      <c r="X50" s="1071">
        <f>'KB 15'!O73</f>
        <v>0</v>
      </c>
      <c r="Y50" s="1071">
        <f>'KB 15'!O80</f>
        <v>0</v>
      </c>
      <c r="Z50" s="1071">
        <f t="shared" si="5"/>
        <v>0</v>
      </c>
    </row>
    <row r="51" spans="1:26" ht="15" customHeight="1" x14ac:dyDescent="0.2">
      <c r="A51" s="1069" t="str">
        <f>'(F2) Shpenzimet sipas nenfunk.b'!A51</f>
        <v>06260</v>
      </c>
      <c r="B51" s="1070" t="str">
        <f>'(F2) Shpenzimet sipas nenfunk.b'!B51</f>
        <v>Sherbime publike vendore</v>
      </c>
      <c r="C51" s="1071">
        <f>'(F2) Shpenzimet sipas nenfunk.b'!C51</f>
        <v>48731493</v>
      </c>
      <c r="D51" s="1071">
        <f>'KB 15'!J112</f>
        <v>42162659</v>
      </c>
      <c r="E51" s="1071">
        <f>'KB 15'!J119</f>
        <v>0</v>
      </c>
      <c r="F51" s="1071">
        <f t="shared" si="0"/>
        <v>6568834</v>
      </c>
      <c r="G51" s="1071">
        <f>'(F2) Shpenzimet sipas nenfunk.b'!D51</f>
        <v>72282837</v>
      </c>
      <c r="H51" s="1071">
        <f>'KB 15'!K112</f>
        <v>43143981</v>
      </c>
      <c r="I51" s="1071">
        <f>'KB 15'!K119</f>
        <v>0</v>
      </c>
      <c r="J51" s="1071">
        <f t="shared" si="1"/>
        <v>29138856</v>
      </c>
      <c r="K51" s="1071">
        <f>'(F2) Shpenzimet sipas nenfunk.b'!E51</f>
        <v>193698859</v>
      </c>
      <c r="L51" s="1071">
        <f>'KB 15'!L112</f>
        <v>75000000</v>
      </c>
      <c r="M51" s="1071">
        <f>'KB 15'!L119</f>
        <v>0</v>
      </c>
      <c r="N51" s="1071">
        <f t="shared" si="2"/>
        <v>118698859</v>
      </c>
      <c r="O51" s="1071">
        <f>'(F2) Shpenzimet sipas nenfunk.b'!I51</f>
        <v>99335900</v>
      </c>
      <c r="P51" s="1071">
        <f>'KB 15'!M112</f>
        <v>72695639</v>
      </c>
      <c r="Q51" s="1071">
        <f>'KB 15'!M119</f>
        <v>0</v>
      </c>
      <c r="R51" s="1071">
        <f t="shared" si="3"/>
        <v>26640261</v>
      </c>
      <c r="S51" s="1071">
        <f>'(F2) Shpenzimet sipas nenfunk.b'!M51</f>
        <v>102823000</v>
      </c>
      <c r="T51" s="1071">
        <f>'KB 15'!N112</f>
        <v>73722128</v>
      </c>
      <c r="U51" s="1071">
        <f>'KB 15'!N119</f>
        <v>0</v>
      </c>
      <c r="V51" s="1071">
        <f t="shared" si="4"/>
        <v>29100872</v>
      </c>
      <c r="W51" s="1071">
        <f>'(F2) Shpenzimet sipas nenfunk.b'!Q51</f>
        <v>106667600</v>
      </c>
      <c r="X51" s="1071">
        <f>'KB 15'!O112</f>
        <v>74827960</v>
      </c>
      <c r="Y51" s="1071">
        <f>'KB 15'!O119</f>
        <v>0</v>
      </c>
      <c r="Z51" s="1071">
        <f t="shared" si="5"/>
        <v>31839640</v>
      </c>
    </row>
    <row r="52" spans="1:26" ht="15" customHeight="1" x14ac:dyDescent="0.2">
      <c r="A52" s="1066" t="str">
        <f>'(F2) Shpenzimet sipas nenfunk.b'!A52</f>
        <v>Nënfunksioni 16</v>
      </c>
      <c r="B52" s="1067" t="str">
        <f>'(F2) Shpenzimet sipas nenfunk.b'!B52</f>
        <v>063 Furnizimi me ujë</v>
      </c>
      <c r="C52" s="1068">
        <f>'(F2) Shpenzimet sipas nenfunk.b'!C52</f>
        <v>11999999</v>
      </c>
      <c r="D52" s="1068">
        <f>'KB 16'!J$19</f>
        <v>0</v>
      </c>
      <c r="E52" s="1068">
        <f>'KB 16'!J$27</f>
        <v>0</v>
      </c>
      <c r="F52" s="1068">
        <f>C52-D52-E52</f>
        <v>11999999</v>
      </c>
      <c r="G52" s="1068">
        <f>'(F2) Shpenzimet sipas nenfunk.b'!D52</f>
        <v>272714</v>
      </c>
      <c r="H52" s="1068">
        <f>'KB 16'!K$19</f>
        <v>0</v>
      </c>
      <c r="I52" s="1068">
        <f>'KB 16'!K$27</f>
        <v>0</v>
      </c>
      <c r="J52" s="1068">
        <f t="shared" si="1"/>
        <v>272714</v>
      </c>
      <c r="K52" s="1068">
        <f>'(F2) Shpenzimet sipas nenfunk.b'!E52</f>
        <v>59359820</v>
      </c>
      <c r="L52" s="1068">
        <f>'KB 16'!L$19</f>
        <v>0</v>
      </c>
      <c r="M52" s="1068">
        <f>'KB 16'!L$27</f>
        <v>0</v>
      </c>
      <c r="N52" s="1068">
        <f t="shared" si="2"/>
        <v>59359820</v>
      </c>
      <c r="O52" s="1068">
        <f>'(F2) Shpenzimet sipas nenfunk.b'!I52</f>
        <v>0</v>
      </c>
      <c r="P52" s="1068">
        <f>'KB 16'!M$19</f>
        <v>0</v>
      </c>
      <c r="Q52" s="1068">
        <f>'KB 16'!M$27</f>
        <v>0</v>
      </c>
      <c r="R52" s="1068">
        <f t="shared" si="3"/>
        <v>0</v>
      </c>
      <c r="S52" s="1068">
        <f>'(F2) Shpenzimet sipas nenfunk.b'!M52</f>
        <v>0</v>
      </c>
      <c r="T52" s="1068">
        <f>'KB 16'!N$19</f>
        <v>0</v>
      </c>
      <c r="U52" s="1068">
        <f>'KB 16'!N$27</f>
        <v>0</v>
      </c>
      <c r="V52" s="1068">
        <f t="shared" si="4"/>
        <v>0</v>
      </c>
      <c r="W52" s="1068">
        <f>'(F2) Shpenzimet sipas nenfunk.b'!Q52</f>
        <v>0</v>
      </c>
      <c r="X52" s="1068">
        <f>'KB 16'!O$19</f>
        <v>0</v>
      </c>
      <c r="Y52" s="1068">
        <f>'KB 16'!O$27</f>
        <v>0</v>
      </c>
      <c r="Z52" s="1068">
        <f t="shared" si="5"/>
        <v>0</v>
      </c>
    </row>
    <row r="53" spans="1:26" ht="15" customHeight="1" x14ac:dyDescent="0.2">
      <c r="A53" s="1069" t="str">
        <f>'(F2) Shpenzimet sipas nenfunk.b'!A53</f>
        <v>06330</v>
      </c>
      <c r="B53" s="1070" t="str">
        <f>'(F2) Shpenzimet sipas nenfunk.b'!B53</f>
        <v xml:space="preserve">Furnizimi me ujë </v>
      </c>
      <c r="C53" s="1071">
        <f>'(F2) Shpenzimet sipas nenfunk.b'!C53</f>
        <v>11999999</v>
      </c>
      <c r="D53" s="1071">
        <f>'KB 16'!J73</f>
        <v>0</v>
      </c>
      <c r="E53" s="1071">
        <f>'KB 16'!J80</f>
        <v>0</v>
      </c>
      <c r="F53" s="1071">
        <f>C53-D53-E53</f>
        <v>11999999</v>
      </c>
      <c r="G53" s="1071">
        <f>'(F2) Shpenzimet sipas nenfunk.b'!D53</f>
        <v>272714</v>
      </c>
      <c r="H53" s="1071">
        <f>'KB 16'!K73</f>
        <v>0</v>
      </c>
      <c r="I53" s="1071">
        <f>'KB 16'!K80</f>
        <v>0</v>
      </c>
      <c r="J53" s="1071">
        <f t="shared" si="1"/>
        <v>272714</v>
      </c>
      <c r="K53" s="1071">
        <f>'(F2) Shpenzimet sipas nenfunk.b'!E53</f>
        <v>59359820</v>
      </c>
      <c r="L53" s="1071">
        <f>'KB 16'!L73</f>
        <v>0</v>
      </c>
      <c r="M53" s="1071">
        <f>'KB 16'!L80</f>
        <v>0</v>
      </c>
      <c r="N53" s="1071">
        <f t="shared" si="2"/>
        <v>59359820</v>
      </c>
      <c r="O53" s="1071">
        <f>'(F2) Shpenzimet sipas nenfunk.b'!I53</f>
        <v>0</v>
      </c>
      <c r="P53" s="1071">
        <f>'KB 16'!M73</f>
        <v>0</v>
      </c>
      <c r="Q53" s="1071">
        <f>'KB 16'!M80</f>
        <v>0</v>
      </c>
      <c r="R53" s="1071">
        <f t="shared" si="3"/>
        <v>0</v>
      </c>
      <c r="S53" s="1071">
        <f>'(F2) Shpenzimet sipas nenfunk.b'!M53</f>
        <v>0</v>
      </c>
      <c r="T53" s="1071">
        <f>'KB 16'!N73</f>
        <v>0</v>
      </c>
      <c r="U53" s="1071">
        <f>'KB 16'!N80</f>
        <v>0</v>
      </c>
      <c r="V53" s="1071">
        <f t="shared" si="4"/>
        <v>0</v>
      </c>
      <c r="W53" s="1071">
        <f>'(F2) Shpenzimet sipas nenfunk.b'!Q53</f>
        <v>0</v>
      </c>
      <c r="X53" s="1071">
        <f>'KB 16'!O73</f>
        <v>0</v>
      </c>
      <c r="Y53" s="1071">
        <f>'KB 16'!O80</f>
        <v>0</v>
      </c>
      <c r="Z53" s="1071">
        <f t="shared" si="5"/>
        <v>0</v>
      </c>
    </row>
    <row r="54" spans="1:26" ht="15" customHeight="1" x14ac:dyDescent="0.2">
      <c r="A54" s="1066" t="str">
        <f>'(F2) Shpenzimet sipas nenfunk.b'!A54</f>
        <v>Nënfunksioni 17</v>
      </c>
      <c r="B54" s="1067" t="str">
        <f>'(F2) Shpenzimet sipas nenfunk.b'!B54</f>
        <v>064 Ndriçimi i rrugëve</v>
      </c>
      <c r="C54" s="1068">
        <f>'(F2) Shpenzimet sipas nenfunk.b'!C54</f>
        <v>17084331</v>
      </c>
      <c r="D54" s="1068">
        <f>'KB 17'!J$19</f>
        <v>17765132</v>
      </c>
      <c r="E54" s="1068">
        <f>'KB 17'!J$27</f>
        <v>0</v>
      </c>
      <c r="F54" s="1068">
        <f t="shared" si="0"/>
        <v>-680801</v>
      </c>
      <c r="G54" s="1068">
        <f>'(F2) Shpenzimet sipas nenfunk.b'!D54</f>
        <v>19881683</v>
      </c>
      <c r="H54" s="1068">
        <f>'KB 17'!K$19</f>
        <v>17574974</v>
      </c>
      <c r="I54" s="1068">
        <f>'KB 17'!K$27</f>
        <v>0</v>
      </c>
      <c r="J54" s="1068">
        <f t="shared" si="1"/>
        <v>2306709</v>
      </c>
      <c r="K54" s="1068">
        <f>'(F2) Shpenzimet sipas nenfunk.b'!E54</f>
        <v>26000000</v>
      </c>
      <c r="L54" s="1068">
        <f>'KB 17'!L$19</f>
        <v>29060000</v>
      </c>
      <c r="M54" s="1068">
        <f>'KB 17'!L$27</f>
        <v>0</v>
      </c>
      <c r="N54" s="1068">
        <f t="shared" si="2"/>
        <v>-3060000</v>
      </c>
      <c r="O54" s="1068">
        <f>'(F2) Shpenzimet sipas nenfunk.b'!I54</f>
        <v>36800000</v>
      </c>
      <c r="P54" s="1068">
        <f>'KB 17'!M$19</f>
        <v>28479885</v>
      </c>
      <c r="Q54" s="1068">
        <f>'KB 17'!M$27</f>
        <v>0</v>
      </c>
      <c r="R54" s="1068">
        <f t="shared" si="3"/>
        <v>8320115</v>
      </c>
      <c r="S54" s="1068">
        <f>'(F2) Shpenzimet sipas nenfunk.b'!M54</f>
        <v>37700000</v>
      </c>
      <c r="T54" s="1068">
        <f>'KB 17'!N$19</f>
        <v>28907083</v>
      </c>
      <c r="U54" s="1068">
        <f>'KB 17'!N$27</f>
        <v>0</v>
      </c>
      <c r="V54" s="1068">
        <f t="shared" si="4"/>
        <v>8792917</v>
      </c>
      <c r="W54" s="1068">
        <f>'(F2) Shpenzimet sipas nenfunk.b'!Q54</f>
        <v>48600000</v>
      </c>
      <c r="X54" s="1068">
        <f>'KB 17'!O$19</f>
        <v>29340690</v>
      </c>
      <c r="Y54" s="1068">
        <f>'KB 17'!O$27</f>
        <v>0</v>
      </c>
      <c r="Z54" s="1068">
        <f t="shared" si="5"/>
        <v>19259310</v>
      </c>
    </row>
    <row r="55" spans="1:26" ht="15" customHeight="1" x14ac:dyDescent="0.2">
      <c r="A55" s="1069" t="str">
        <f>'(F2) Shpenzimet sipas nenfunk.b'!A55</f>
        <v>06440</v>
      </c>
      <c r="B55" s="1070" t="str">
        <f>'(F2) Shpenzimet sipas nenfunk.b'!B55</f>
        <v>Ndriçim rrugësh</v>
      </c>
      <c r="C55" s="1071">
        <f>'(F2) Shpenzimet sipas nenfunk.b'!C55</f>
        <v>17084331</v>
      </c>
      <c r="D55" s="1071">
        <f>'KB 17'!J73</f>
        <v>17765132</v>
      </c>
      <c r="E55" s="1071">
        <f>'KB 17'!J80</f>
        <v>0</v>
      </c>
      <c r="F55" s="1071">
        <f t="shared" si="0"/>
        <v>-680801</v>
      </c>
      <c r="G55" s="1071">
        <f>'(F2) Shpenzimet sipas nenfunk.b'!D55</f>
        <v>19881683</v>
      </c>
      <c r="H55" s="1071">
        <f>'KB 17'!K73</f>
        <v>17574974</v>
      </c>
      <c r="I55" s="1071">
        <f>'KB 17'!K80</f>
        <v>0</v>
      </c>
      <c r="J55" s="1071">
        <f t="shared" si="1"/>
        <v>2306709</v>
      </c>
      <c r="K55" s="1071">
        <f>'(F2) Shpenzimet sipas nenfunk.b'!E55</f>
        <v>26000000</v>
      </c>
      <c r="L55" s="1071">
        <f>'KB 17'!L73</f>
        <v>29060000</v>
      </c>
      <c r="M55" s="1071">
        <f>'KB 17'!L80</f>
        <v>0</v>
      </c>
      <c r="N55" s="1071">
        <f t="shared" si="2"/>
        <v>-3060000</v>
      </c>
      <c r="O55" s="1071">
        <f>'(F2) Shpenzimet sipas nenfunk.b'!I55</f>
        <v>0</v>
      </c>
      <c r="P55" s="1071">
        <f>'KB 17'!M73</f>
        <v>0</v>
      </c>
      <c r="Q55" s="1071">
        <f>'KB 17'!M80</f>
        <v>0</v>
      </c>
      <c r="R55" s="1071">
        <f t="shared" si="3"/>
        <v>0</v>
      </c>
      <c r="S55" s="1071">
        <f>'(F2) Shpenzimet sipas nenfunk.b'!M55</f>
        <v>0</v>
      </c>
      <c r="T55" s="1071">
        <f>'KB 17'!N73</f>
        <v>0</v>
      </c>
      <c r="U55" s="1071">
        <f>'KB 17'!N80</f>
        <v>0</v>
      </c>
      <c r="V55" s="1071">
        <f t="shared" si="4"/>
        <v>0</v>
      </c>
      <c r="W55" s="1071">
        <f>'(F2) Shpenzimet sipas nenfunk.b'!Q55</f>
        <v>0</v>
      </c>
      <c r="X55" s="1071">
        <f>'KB 17'!O73</f>
        <v>0</v>
      </c>
      <c r="Y55" s="1071">
        <f>'KB 17'!O80</f>
        <v>0</v>
      </c>
      <c r="Z55" s="1071">
        <f t="shared" si="5"/>
        <v>0</v>
      </c>
    </row>
    <row r="56" spans="1:26" s="1072" customFormat="1" ht="15" customHeight="1" x14ac:dyDescent="0.2">
      <c r="A56" s="1066" t="str">
        <f>'(F2) Shpenzimet sipas nenfunk.b'!A56</f>
        <v>Nënfunksioni 18</v>
      </c>
      <c r="B56" s="1067" t="str">
        <f>'(F2) Shpenzimet sipas nenfunk.b'!B56</f>
        <v xml:space="preserve">072 Shërbimet e kujdesit parësor </v>
      </c>
      <c r="C56" s="1068">
        <f>'(F2) Shpenzimet sipas nenfunk.b'!C56</f>
        <v>0</v>
      </c>
      <c r="D56" s="1068">
        <f>'KB 18'!J$19</f>
        <v>0</v>
      </c>
      <c r="E56" s="1068">
        <f>'KB 18'!J$27</f>
        <v>0</v>
      </c>
      <c r="F56" s="1068">
        <f t="shared" si="0"/>
        <v>0</v>
      </c>
      <c r="G56" s="1068">
        <f>'(F2) Shpenzimet sipas nenfunk.b'!D56</f>
        <v>0</v>
      </c>
      <c r="H56" s="1068">
        <f>'KB 18'!K$19</f>
        <v>0</v>
      </c>
      <c r="I56" s="1068">
        <f>'KB 18'!K$27</f>
        <v>0</v>
      </c>
      <c r="J56" s="1068">
        <f t="shared" si="1"/>
        <v>0</v>
      </c>
      <c r="K56" s="1068">
        <f>'(F2) Shpenzimet sipas nenfunk.b'!E56</f>
        <v>0</v>
      </c>
      <c r="L56" s="1068">
        <f>'KB 18'!L$19</f>
        <v>0</v>
      </c>
      <c r="M56" s="1068">
        <f>'KB 18'!L$27</f>
        <v>0</v>
      </c>
      <c r="N56" s="1068">
        <f t="shared" si="2"/>
        <v>0</v>
      </c>
      <c r="O56" s="1068">
        <f>'(F2) Shpenzimet sipas nenfunk.b'!I56</f>
        <v>0</v>
      </c>
      <c r="P56" s="1068">
        <f>'KB 18'!M$19</f>
        <v>0</v>
      </c>
      <c r="Q56" s="1068">
        <f>'KB 18'!M$27</f>
        <v>0</v>
      </c>
      <c r="R56" s="1068">
        <f t="shared" si="3"/>
        <v>0</v>
      </c>
      <c r="S56" s="1068">
        <f>'(F2) Shpenzimet sipas nenfunk.b'!M56</f>
        <v>0</v>
      </c>
      <c r="T56" s="1068">
        <f>'KB 18'!N$19</f>
        <v>0</v>
      </c>
      <c r="U56" s="1068">
        <f>'KB 18'!N$27</f>
        <v>0</v>
      </c>
      <c r="V56" s="1068">
        <f t="shared" si="4"/>
        <v>0</v>
      </c>
      <c r="W56" s="1068">
        <f>'(F2) Shpenzimet sipas nenfunk.b'!Q56</f>
        <v>0</v>
      </c>
      <c r="X56" s="1068">
        <f>'KB 18'!O$19</f>
        <v>0</v>
      </c>
      <c r="Y56" s="1068">
        <f>'KB 18'!O$27</f>
        <v>0</v>
      </c>
      <c r="Z56" s="1068">
        <f t="shared" si="5"/>
        <v>0</v>
      </c>
    </row>
    <row r="57" spans="1:26" ht="15" customHeight="1" x14ac:dyDescent="0.2">
      <c r="A57" s="1069" t="str">
        <f>'(F2) Shpenzimet sipas nenfunk.b'!A57</f>
        <v>07220</v>
      </c>
      <c r="B57" s="1070" t="str">
        <f>'(F2) Shpenzimet sipas nenfunk.b'!B57</f>
        <v>Shërbimet e kujdesit parësor</v>
      </c>
      <c r="C57" s="1071">
        <f>'(F2) Shpenzimet sipas nenfunk.b'!C57</f>
        <v>0</v>
      </c>
      <c r="D57" s="1071">
        <f>'KB 18'!J73</f>
        <v>0</v>
      </c>
      <c r="E57" s="1071">
        <f>'KB 18'!J80</f>
        <v>0</v>
      </c>
      <c r="F57" s="1071">
        <f t="shared" si="0"/>
        <v>0</v>
      </c>
      <c r="G57" s="1071">
        <f>'(F2) Shpenzimet sipas nenfunk.b'!D57</f>
        <v>0</v>
      </c>
      <c r="H57" s="1071">
        <f>'KB 18'!K73</f>
        <v>0</v>
      </c>
      <c r="I57" s="1071">
        <f>'KB 18'!K80</f>
        <v>0</v>
      </c>
      <c r="J57" s="1071">
        <f t="shared" si="1"/>
        <v>0</v>
      </c>
      <c r="K57" s="1071">
        <f>'(F2) Shpenzimet sipas nenfunk.b'!E57</f>
        <v>0</v>
      </c>
      <c r="L57" s="1071">
        <f>'KB 18'!L73</f>
        <v>0</v>
      </c>
      <c r="M57" s="1071">
        <f>'KB 18'!L80</f>
        <v>0</v>
      </c>
      <c r="N57" s="1071">
        <f t="shared" si="2"/>
        <v>0</v>
      </c>
      <c r="O57" s="1071">
        <f>'(F2) Shpenzimet sipas nenfunk.b'!I57</f>
        <v>0</v>
      </c>
      <c r="P57" s="1071">
        <f>'KB 18'!M73</f>
        <v>0</v>
      </c>
      <c r="Q57" s="1071">
        <f>'KB 18'!M80</f>
        <v>0</v>
      </c>
      <c r="R57" s="1071">
        <f t="shared" si="3"/>
        <v>0</v>
      </c>
      <c r="S57" s="1071">
        <f>'(F2) Shpenzimet sipas nenfunk.b'!M57</f>
        <v>0</v>
      </c>
      <c r="T57" s="1071">
        <f>'KB 18'!N73</f>
        <v>0</v>
      </c>
      <c r="U57" s="1071">
        <f>'KB 18'!N80</f>
        <v>0</v>
      </c>
      <c r="V57" s="1071">
        <f t="shared" si="4"/>
        <v>0</v>
      </c>
      <c r="W57" s="1071">
        <f>'(F2) Shpenzimet sipas nenfunk.b'!Q57</f>
        <v>0</v>
      </c>
      <c r="X57" s="1071">
        <f>'KB 18'!O73</f>
        <v>0</v>
      </c>
      <c r="Y57" s="1071">
        <f>'KB 18'!O80</f>
        <v>0</v>
      </c>
      <c r="Z57" s="1071">
        <f t="shared" si="5"/>
        <v>0</v>
      </c>
    </row>
    <row r="58" spans="1:26" s="1072" customFormat="1" ht="15" customHeight="1" x14ac:dyDescent="0.2">
      <c r="A58" s="1066" t="str">
        <f>'(F2) Shpenzimet sipas nenfunk.b'!A58</f>
        <v>Nënfunksioni 19</v>
      </c>
      <c r="B58" s="1067" t="str">
        <f>'(F2) Shpenzimet sipas nenfunk.b'!B58</f>
        <v>081 Shërbimet rekreative dhe sportive</v>
      </c>
      <c r="C58" s="1068">
        <f>'(F2) Shpenzimet sipas nenfunk.b'!C58</f>
        <v>24247564</v>
      </c>
      <c r="D58" s="1068">
        <f>'KB 19'!J$19</f>
        <v>151900</v>
      </c>
      <c r="E58" s="1068">
        <f>'KB 19'!J$27</f>
        <v>0</v>
      </c>
      <c r="F58" s="1068">
        <f t="shared" si="0"/>
        <v>24095664</v>
      </c>
      <c r="G58" s="1068">
        <f>'(F2) Shpenzimet sipas nenfunk.b'!D58</f>
        <v>10803448</v>
      </c>
      <c r="H58" s="1068">
        <f>'KB 19'!K$19</f>
        <v>37500</v>
      </c>
      <c r="I58" s="1068">
        <f>'KB 19'!K$27</f>
        <v>0</v>
      </c>
      <c r="J58" s="1068">
        <f t="shared" si="1"/>
        <v>10765948</v>
      </c>
      <c r="K58" s="1068">
        <f>'(F2) Shpenzimet sipas nenfunk.b'!E58</f>
        <v>20764388</v>
      </c>
      <c r="L58" s="1068">
        <f>'KB 19'!L$19</f>
        <v>350000</v>
      </c>
      <c r="M58" s="1068">
        <f>'KB 19'!L$27</f>
        <v>0</v>
      </c>
      <c r="N58" s="1068">
        <f t="shared" si="2"/>
        <v>20414388</v>
      </c>
      <c r="O58" s="1068">
        <f>'(F2) Shpenzimet sipas nenfunk.b'!I58</f>
        <v>15705000</v>
      </c>
      <c r="P58" s="1068">
        <f>'KB 19'!M$19</f>
        <v>0</v>
      </c>
      <c r="Q58" s="1068">
        <f>'KB 19'!M$27</f>
        <v>0</v>
      </c>
      <c r="R58" s="1068">
        <f t="shared" si="3"/>
        <v>15705000</v>
      </c>
      <c r="S58" s="1068">
        <f>'(F2) Shpenzimet sipas nenfunk.b'!M58</f>
        <v>16795000</v>
      </c>
      <c r="T58" s="1068">
        <f>'KB 19'!N$19</f>
        <v>0</v>
      </c>
      <c r="U58" s="1068">
        <f>'KB 19'!N$27</f>
        <v>0</v>
      </c>
      <c r="V58" s="1068">
        <f t="shared" si="4"/>
        <v>16795000</v>
      </c>
      <c r="W58" s="1068">
        <f>'(F2) Shpenzimet sipas nenfunk.b'!Q58</f>
        <v>17368600</v>
      </c>
      <c r="X58" s="1068">
        <f>'KB 19'!O$19</f>
        <v>0</v>
      </c>
      <c r="Y58" s="1068">
        <f>'KB 19'!O$27</f>
        <v>0</v>
      </c>
      <c r="Z58" s="1068">
        <f t="shared" si="5"/>
        <v>17368600</v>
      </c>
    </row>
    <row r="59" spans="1:26" ht="15" hidden="1" customHeight="1" x14ac:dyDescent="0.2">
      <c r="A59" s="1069" t="str">
        <f>'(F2) Shpenzimet sipas nenfunk.b'!A59</f>
        <v>08120</v>
      </c>
      <c r="B59" s="1070" t="str">
        <f>'(F2) Shpenzimet sipas nenfunk.b'!B59</f>
        <v>Parqet</v>
      </c>
      <c r="C59" s="1071">
        <f>'(F2) Shpenzimet sipas nenfunk.b'!C59</f>
        <v>0</v>
      </c>
      <c r="D59" s="1071">
        <f>'KB 19'!J73</f>
        <v>0</v>
      </c>
      <c r="E59" s="1071">
        <f>'KB 19'!J80</f>
        <v>0</v>
      </c>
      <c r="F59" s="1071">
        <f t="shared" si="0"/>
        <v>0</v>
      </c>
      <c r="G59" s="1071">
        <f>'(F2) Shpenzimet sipas nenfunk.b'!D59</f>
        <v>0</v>
      </c>
      <c r="H59" s="1071">
        <f>'KB 19'!K73</f>
        <v>0</v>
      </c>
      <c r="I59" s="1071">
        <f>'KB 19'!K80</f>
        <v>0</v>
      </c>
      <c r="J59" s="1071">
        <f t="shared" si="1"/>
        <v>0</v>
      </c>
      <c r="K59" s="1071">
        <f>'(F2) Shpenzimet sipas nenfunk.b'!E59</f>
        <v>0</v>
      </c>
      <c r="L59" s="1071">
        <f>'KB 19'!L73</f>
        <v>0</v>
      </c>
      <c r="M59" s="1071">
        <f>'KB 19'!L80</f>
        <v>0</v>
      </c>
      <c r="N59" s="1071">
        <f t="shared" si="2"/>
        <v>0</v>
      </c>
      <c r="O59" s="1071">
        <f>'(F2) Shpenzimet sipas nenfunk.b'!I59</f>
        <v>0</v>
      </c>
      <c r="P59" s="1071">
        <f>'KB 19'!M73</f>
        <v>0</v>
      </c>
      <c r="Q59" s="1071">
        <f>'KB 19'!M80</f>
        <v>0</v>
      </c>
      <c r="R59" s="1071">
        <f t="shared" si="3"/>
        <v>0</v>
      </c>
      <c r="S59" s="1071">
        <f>'(F2) Shpenzimet sipas nenfunk.b'!M59</f>
        <v>0</v>
      </c>
      <c r="T59" s="1071">
        <f>'KB 19'!N73</f>
        <v>0</v>
      </c>
      <c r="U59" s="1071">
        <f>'KB 19'!N80</f>
        <v>0</v>
      </c>
      <c r="V59" s="1071">
        <f t="shared" si="4"/>
        <v>0</v>
      </c>
      <c r="W59" s="1071">
        <f>'(F2) Shpenzimet sipas nenfunk.b'!Q59</f>
        <v>0</v>
      </c>
      <c r="X59" s="1071">
        <f>'KB 19'!O73</f>
        <v>0</v>
      </c>
      <c r="Y59" s="1071">
        <f>'KB 19'!O80</f>
        <v>0</v>
      </c>
      <c r="Z59" s="1071">
        <f t="shared" si="5"/>
        <v>0</v>
      </c>
    </row>
    <row r="60" spans="1:26" ht="15" customHeight="1" x14ac:dyDescent="0.2">
      <c r="A60" s="1069" t="str">
        <f>'(F2) Shpenzimet sipas nenfunk.b'!A60</f>
        <v>08130</v>
      </c>
      <c r="B60" s="1070" t="str">
        <f>'(F2) Shpenzimet sipas nenfunk.b'!B60</f>
        <v>Sport dhe argëtim</v>
      </c>
      <c r="C60" s="1071">
        <f>'(F2) Shpenzimet sipas nenfunk.b'!C60</f>
        <v>24247564</v>
      </c>
      <c r="D60" s="1071">
        <f>'KB 19'!J112</f>
        <v>151900</v>
      </c>
      <c r="E60" s="1071">
        <f>'KB 19'!J119</f>
        <v>0</v>
      </c>
      <c r="F60" s="1071">
        <f t="shared" si="0"/>
        <v>24095664</v>
      </c>
      <c r="G60" s="1071">
        <f>'(F2) Shpenzimet sipas nenfunk.b'!D60</f>
        <v>10803448</v>
      </c>
      <c r="H60" s="1071">
        <f>'KB 19'!K112</f>
        <v>37500</v>
      </c>
      <c r="I60" s="1071">
        <f>'KB 19'!K119</f>
        <v>0</v>
      </c>
      <c r="J60" s="1071">
        <f t="shared" si="1"/>
        <v>10765948</v>
      </c>
      <c r="K60" s="1071">
        <f>'(F2) Shpenzimet sipas nenfunk.b'!E60</f>
        <v>20764388</v>
      </c>
      <c r="L60" s="1071">
        <f>'KB 19'!L112</f>
        <v>350000</v>
      </c>
      <c r="M60" s="1071">
        <f>'KB 19'!L119</f>
        <v>0</v>
      </c>
      <c r="N60" s="1071">
        <f t="shared" si="2"/>
        <v>20414388</v>
      </c>
      <c r="O60" s="1071">
        <f>'(F2) Shpenzimet sipas nenfunk.b'!I60</f>
        <v>15705000</v>
      </c>
      <c r="P60" s="1071">
        <f>'KB 19'!M112</f>
        <v>0</v>
      </c>
      <c r="Q60" s="1071">
        <f>'KB 19'!M119</f>
        <v>0</v>
      </c>
      <c r="R60" s="1071">
        <f t="shared" si="3"/>
        <v>15705000</v>
      </c>
      <c r="S60" s="1071">
        <f>'(F2) Shpenzimet sipas nenfunk.b'!M60</f>
        <v>16795000</v>
      </c>
      <c r="T60" s="1071">
        <f>'KB 19'!N112</f>
        <v>0</v>
      </c>
      <c r="U60" s="1071">
        <f>'KB 19'!N119</f>
        <v>0</v>
      </c>
      <c r="V60" s="1071">
        <f t="shared" si="4"/>
        <v>16795000</v>
      </c>
      <c r="W60" s="1071">
        <f>'(F2) Shpenzimet sipas nenfunk.b'!Q60</f>
        <v>17368600</v>
      </c>
      <c r="X60" s="1071">
        <f>'KB 19'!O112</f>
        <v>0</v>
      </c>
      <c r="Y60" s="1071">
        <f>'KB 19'!O119</f>
        <v>0</v>
      </c>
      <c r="Z60" s="1071">
        <f t="shared" si="5"/>
        <v>17368600</v>
      </c>
    </row>
    <row r="61" spans="1:26" s="1072" customFormat="1" ht="15" customHeight="1" x14ac:dyDescent="0.2">
      <c r="A61" s="1066" t="str">
        <f>'(F2) Shpenzimet sipas nenfunk.b'!A61</f>
        <v>Nënfunksioni 20</v>
      </c>
      <c r="B61" s="1067" t="str">
        <f>'(F2) Shpenzimet sipas nenfunk.b'!B61</f>
        <v>082 Shërbimet kulturore</v>
      </c>
      <c r="C61" s="1068">
        <f>'(F2) Shpenzimet sipas nenfunk.b'!C61</f>
        <v>1020083</v>
      </c>
      <c r="D61" s="1068">
        <f>'KB 20'!J$19</f>
        <v>258900</v>
      </c>
      <c r="E61" s="1068">
        <f>'KB 20'!J$27</f>
        <v>0</v>
      </c>
      <c r="F61" s="1068">
        <f t="shared" si="0"/>
        <v>761183</v>
      </c>
      <c r="G61" s="1068">
        <f>'(F2) Shpenzimet sipas nenfunk.b'!D61</f>
        <v>17381102</v>
      </c>
      <c r="H61" s="1068">
        <f>'KB 20'!K$19</f>
        <v>12000</v>
      </c>
      <c r="I61" s="1068">
        <f>'KB 20'!K$27</f>
        <v>0</v>
      </c>
      <c r="J61" s="1068">
        <f t="shared" si="1"/>
        <v>17369102</v>
      </c>
      <c r="K61" s="1068">
        <f>'(F2) Shpenzimet sipas nenfunk.b'!E61</f>
        <v>35846037</v>
      </c>
      <c r="L61" s="1068">
        <f>'KB 20'!L$19</f>
        <v>380000</v>
      </c>
      <c r="M61" s="1068">
        <f>'KB 20'!L$27</f>
        <v>0</v>
      </c>
      <c r="N61" s="1068">
        <f t="shared" si="2"/>
        <v>35466037</v>
      </c>
      <c r="O61" s="1068">
        <f>'(F2) Shpenzimet sipas nenfunk.b'!I61</f>
        <v>34798500</v>
      </c>
      <c r="P61" s="1068">
        <f>'KB 20'!M$19</f>
        <v>0</v>
      </c>
      <c r="Q61" s="1068">
        <f>'KB 20'!M$27</f>
        <v>0</v>
      </c>
      <c r="R61" s="1068">
        <f t="shared" si="3"/>
        <v>34798500</v>
      </c>
      <c r="S61" s="1068">
        <f>'(F2) Shpenzimet sipas nenfunk.b'!M61</f>
        <v>34848500</v>
      </c>
      <c r="T61" s="1068">
        <f>'KB 20'!N$19</f>
        <v>0</v>
      </c>
      <c r="U61" s="1068">
        <f>'KB 20'!N$27</f>
        <v>0</v>
      </c>
      <c r="V61" s="1068">
        <f t="shared" si="4"/>
        <v>34848500</v>
      </c>
      <c r="W61" s="1068">
        <f>'(F2) Shpenzimet sipas nenfunk.b'!Q61</f>
        <v>34858500</v>
      </c>
      <c r="X61" s="1068">
        <f>'KB 20'!O$19</f>
        <v>0</v>
      </c>
      <c r="Y61" s="1068">
        <f>'KB 20'!O$27</f>
        <v>0</v>
      </c>
      <c r="Z61" s="1068">
        <f t="shared" si="5"/>
        <v>34858500</v>
      </c>
    </row>
    <row r="62" spans="1:26" ht="15" customHeight="1" x14ac:dyDescent="0.2">
      <c r="A62" s="1069" t="str">
        <f>'(F2) Shpenzimet sipas nenfunk.b'!A62</f>
        <v>08220</v>
      </c>
      <c r="B62" s="1070" t="str">
        <f>'(F2) Shpenzimet sipas nenfunk.b'!B62</f>
        <v>Trashëgimia kulturore, eventet artistike dhe kulturore</v>
      </c>
      <c r="C62" s="1071">
        <f>'(F2) Shpenzimet sipas nenfunk.b'!C62</f>
        <v>1020083</v>
      </c>
      <c r="D62" s="1071">
        <f>'KB 20'!J$73</f>
        <v>258900</v>
      </c>
      <c r="E62" s="1071">
        <f>'KB 20'!J$80</f>
        <v>0</v>
      </c>
      <c r="F62" s="1071">
        <f t="shared" si="0"/>
        <v>761183</v>
      </c>
      <c r="G62" s="1071">
        <f>'(F2) Shpenzimet sipas nenfunk.b'!D62</f>
        <v>17381102</v>
      </c>
      <c r="H62" s="1071">
        <f>'KB 20'!K$73</f>
        <v>12000</v>
      </c>
      <c r="I62" s="1071">
        <f>'KB 20'!K$80</f>
        <v>0</v>
      </c>
      <c r="J62" s="1071">
        <f t="shared" si="1"/>
        <v>17369102</v>
      </c>
      <c r="K62" s="1071">
        <f>'(F2) Shpenzimet sipas nenfunk.b'!E62</f>
        <v>35846037</v>
      </c>
      <c r="L62" s="1071">
        <f>'KB 20'!L$73</f>
        <v>380000</v>
      </c>
      <c r="M62" s="1071">
        <f>'KB 20'!L$80</f>
        <v>0</v>
      </c>
      <c r="N62" s="1071">
        <f t="shared" si="2"/>
        <v>35466037</v>
      </c>
      <c r="O62" s="1071">
        <f>'(F2) Shpenzimet sipas nenfunk.b'!I62</f>
        <v>34798500</v>
      </c>
      <c r="P62" s="1071">
        <f>'KB 20'!M$73</f>
        <v>0</v>
      </c>
      <c r="Q62" s="1071">
        <f>'KB 20'!M$80</f>
        <v>0</v>
      </c>
      <c r="R62" s="1071">
        <f t="shared" si="3"/>
        <v>34798500</v>
      </c>
      <c r="S62" s="1071">
        <f>'(F2) Shpenzimet sipas nenfunk.b'!M62</f>
        <v>34848500</v>
      </c>
      <c r="T62" s="1071">
        <f>'KB 20'!N$73</f>
        <v>0</v>
      </c>
      <c r="U62" s="1071">
        <f>'KB 20'!N$80</f>
        <v>0</v>
      </c>
      <c r="V62" s="1071">
        <f t="shared" si="4"/>
        <v>34848500</v>
      </c>
      <c r="W62" s="1071">
        <f>'(F2) Shpenzimet sipas nenfunk.b'!Q62</f>
        <v>34858500</v>
      </c>
      <c r="X62" s="1071">
        <f>'KB 20'!O$73</f>
        <v>0</v>
      </c>
      <c r="Y62" s="1071">
        <f>'KB 20'!O$80</f>
        <v>0</v>
      </c>
      <c r="Z62" s="1071">
        <f t="shared" si="5"/>
        <v>34858500</v>
      </c>
    </row>
    <row r="63" spans="1:26" ht="15" hidden="1" customHeight="1" x14ac:dyDescent="0.2">
      <c r="A63" s="1069" t="str">
        <f>'(F2) Shpenzimet sipas nenfunk.b'!A63</f>
        <v>08230</v>
      </c>
      <c r="B63" s="1070" t="str">
        <f>'(F2) Shpenzimet sipas nenfunk.b'!B63</f>
        <v>Arti dhe kultura</v>
      </c>
      <c r="C63" s="1071">
        <f>'(F2) Shpenzimet sipas nenfunk.b'!C63</f>
        <v>0</v>
      </c>
      <c r="D63" s="1071">
        <f>'KB 20'!J$112</f>
        <v>0</v>
      </c>
      <c r="E63" s="1071">
        <f>'KB 20'!J$119</f>
        <v>0</v>
      </c>
      <c r="F63" s="1071">
        <f t="shared" si="0"/>
        <v>0</v>
      </c>
      <c r="G63" s="1071">
        <f>'(F2) Shpenzimet sipas nenfunk.b'!D63</f>
        <v>0</v>
      </c>
      <c r="H63" s="1071">
        <f>'KB 20'!K$112</f>
        <v>0</v>
      </c>
      <c r="I63" s="1071">
        <f>'KB 20'!K$119</f>
        <v>0</v>
      </c>
      <c r="J63" s="1071">
        <f t="shared" si="1"/>
        <v>0</v>
      </c>
      <c r="K63" s="1071">
        <f>'(F2) Shpenzimet sipas nenfunk.b'!E63</f>
        <v>0</v>
      </c>
      <c r="L63" s="1071">
        <f>'KB 20'!L$112</f>
        <v>0</v>
      </c>
      <c r="M63" s="1071">
        <f>'KB 20'!L$119</f>
        <v>0</v>
      </c>
      <c r="N63" s="1071">
        <f t="shared" si="2"/>
        <v>0</v>
      </c>
      <c r="O63" s="1071">
        <f>'(F2) Shpenzimet sipas nenfunk.b'!I63</f>
        <v>0</v>
      </c>
      <c r="P63" s="1071">
        <f>'KB 20'!M$112</f>
        <v>0</v>
      </c>
      <c r="Q63" s="1071">
        <f>'KB 20'!M$119</f>
        <v>0</v>
      </c>
      <c r="R63" s="1071">
        <f t="shared" si="3"/>
        <v>0</v>
      </c>
      <c r="S63" s="1071">
        <f>'(F2) Shpenzimet sipas nenfunk.b'!M63</f>
        <v>0</v>
      </c>
      <c r="T63" s="1071">
        <f>'KB 20'!N$112</f>
        <v>0</v>
      </c>
      <c r="U63" s="1071">
        <f>'KB 20'!N$119</f>
        <v>0</v>
      </c>
      <c r="V63" s="1071">
        <f t="shared" si="4"/>
        <v>0</v>
      </c>
      <c r="W63" s="1071">
        <f>'(F2) Shpenzimet sipas nenfunk.b'!Q63</f>
        <v>0</v>
      </c>
      <c r="X63" s="1071">
        <f>'KB 20'!O$112</f>
        <v>0</v>
      </c>
      <c r="Y63" s="1071">
        <f>'KB 20'!O$119</f>
        <v>0</v>
      </c>
      <c r="Z63" s="1071">
        <f t="shared" si="5"/>
        <v>0</v>
      </c>
    </row>
    <row r="64" spans="1:26" ht="15" hidden="1" customHeight="1" x14ac:dyDescent="0.2">
      <c r="A64" s="1069" t="str">
        <f>'(F2) Shpenzimet sipas nenfunk.b'!A64</f>
        <v>08280</v>
      </c>
      <c r="B64" s="1070" t="str">
        <f>'(F2) Shpenzimet sipas nenfunk.b'!B64</f>
        <v xml:space="preserve">Muzetë, teatrot dhe eventet kulturore </v>
      </c>
      <c r="C64" s="1071">
        <f>'(F2) Shpenzimet sipas nenfunk.b'!C64</f>
        <v>0</v>
      </c>
      <c r="D64" s="1071">
        <f>'KB 20'!J$151</f>
        <v>0</v>
      </c>
      <c r="E64" s="1071">
        <f>'KB 20'!J$158</f>
        <v>0</v>
      </c>
      <c r="F64" s="1071">
        <f t="shared" si="0"/>
        <v>0</v>
      </c>
      <c r="G64" s="1071">
        <f>'(F2) Shpenzimet sipas nenfunk.b'!D64</f>
        <v>0</v>
      </c>
      <c r="H64" s="1071">
        <f>'KB 20'!K$151</f>
        <v>0</v>
      </c>
      <c r="I64" s="1071">
        <f>'KB 20'!K$158</f>
        <v>0</v>
      </c>
      <c r="J64" s="1071">
        <f t="shared" si="1"/>
        <v>0</v>
      </c>
      <c r="K64" s="1071">
        <f>'(F2) Shpenzimet sipas nenfunk.b'!E64</f>
        <v>0</v>
      </c>
      <c r="L64" s="1071">
        <f>'KB 20'!L$151</f>
        <v>0</v>
      </c>
      <c r="M64" s="1071">
        <f>'KB 20'!L$158</f>
        <v>0</v>
      </c>
      <c r="N64" s="1071">
        <f t="shared" si="2"/>
        <v>0</v>
      </c>
      <c r="O64" s="1071">
        <f>'(F2) Shpenzimet sipas nenfunk.b'!I64</f>
        <v>0</v>
      </c>
      <c r="P64" s="1071">
        <f>'KB 20'!M$151</f>
        <v>0</v>
      </c>
      <c r="Q64" s="1071">
        <f>'KB 20'!M$158</f>
        <v>0</v>
      </c>
      <c r="R64" s="1071">
        <f t="shared" si="3"/>
        <v>0</v>
      </c>
      <c r="S64" s="1071">
        <f>'(F2) Shpenzimet sipas nenfunk.b'!M64</f>
        <v>0</v>
      </c>
      <c r="T64" s="1071">
        <f>'KB 20'!N$151</f>
        <v>0</v>
      </c>
      <c r="U64" s="1071">
        <f>'KB 20'!N$158</f>
        <v>0</v>
      </c>
      <c r="V64" s="1071">
        <f t="shared" si="4"/>
        <v>0</v>
      </c>
      <c r="W64" s="1071">
        <f>'(F2) Shpenzimet sipas nenfunk.b'!Q64</f>
        <v>0</v>
      </c>
      <c r="X64" s="1071">
        <f>'KB 20'!O$151</f>
        <v>0</v>
      </c>
      <c r="Y64" s="1071">
        <f>'KB 20'!O$158</f>
        <v>0</v>
      </c>
      <c r="Z64" s="1071">
        <f t="shared" si="5"/>
        <v>0</v>
      </c>
    </row>
    <row r="65" spans="1:26" s="1072" customFormat="1" ht="15" customHeight="1" x14ac:dyDescent="0.2">
      <c r="A65" s="1066" t="str">
        <f>'(F2) Shpenzimet sipas nenfunk.b'!A65</f>
        <v>Nënfunksioni 21</v>
      </c>
      <c r="B65" s="1067" t="str">
        <f>'(F2) Shpenzimet sipas nenfunk.b'!B65</f>
        <v>091 Arsimi bazë dhe parashkollor</v>
      </c>
      <c r="C65" s="1068">
        <f>'(F2) Shpenzimet sipas nenfunk.b'!C65</f>
        <v>162011189</v>
      </c>
      <c r="D65" s="1068">
        <f>'KB 21'!J$19</f>
        <v>663300</v>
      </c>
      <c r="E65" s="1068">
        <f>'KB 21'!J$27</f>
        <v>123593917</v>
      </c>
      <c r="F65" s="1068">
        <f t="shared" si="0"/>
        <v>37753972</v>
      </c>
      <c r="G65" s="1068">
        <f>'(F2) Shpenzimet sipas nenfunk.b'!D65</f>
        <v>171800051</v>
      </c>
      <c r="H65" s="1068">
        <f>'KB 21'!K$19</f>
        <v>1686425</v>
      </c>
      <c r="I65" s="1068">
        <f>'KB 21'!K$27</f>
        <v>134349163</v>
      </c>
      <c r="J65" s="1068">
        <f t="shared" si="1"/>
        <v>35764463</v>
      </c>
      <c r="K65" s="1068">
        <f>'(F2) Shpenzimet sipas nenfunk.b'!E65</f>
        <v>216831061</v>
      </c>
      <c r="L65" s="1068">
        <f>'KB 21'!L$19</f>
        <v>5544000</v>
      </c>
      <c r="M65" s="1068">
        <f>'KB 21'!L$27</f>
        <v>136930434</v>
      </c>
      <c r="N65" s="1068">
        <f t="shared" si="2"/>
        <v>74356627</v>
      </c>
      <c r="O65" s="1068">
        <f>'(F2) Shpenzimet sipas nenfunk.b'!I65</f>
        <v>211383000</v>
      </c>
      <c r="P65" s="1068">
        <f>'KB 21'!M$19</f>
        <v>0</v>
      </c>
      <c r="Q65" s="1068">
        <f>'KB 21'!M$27</f>
        <v>125724000</v>
      </c>
      <c r="R65" s="1068">
        <f t="shared" si="3"/>
        <v>85659000</v>
      </c>
      <c r="S65" s="1068">
        <f>'(F2) Shpenzimet sipas nenfunk.b'!M65</f>
        <v>217722000</v>
      </c>
      <c r="T65" s="1068">
        <f>'KB 21'!N$19</f>
        <v>0</v>
      </c>
      <c r="U65" s="1068">
        <f>'KB 21'!N$27</f>
        <v>125724000</v>
      </c>
      <c r="V65" s="1068">
        <f t="shared" si="4"/>
        <v>91998000</v>
      </c>
      <c r="W65" s="1068">
        <f>'(F2) Shpenzimet sipas nenfunk.b'!Q65</f>
        <v>224469000</v>
      </c>
      <c r="X65" s="1068">
        <f>'KB 21'!O$19</f>
        <v>0</v>
      </c>
      <c r="Y65" s="1068">
        <f>'KB 21'!O$27</f>
        <v>125724000</v>
      </c>
      <c r="Z65" s="1068">
        <f t="shared" si="5"/>
        <v>98745000</v>
      </c>
    </row>
    <row r="66" spans="1:26" ht="15" customHeight="1" x14ac:dyDescent="0.2">
      <c r="A66" s="1069" t="str">
        <f>'(F2) Shpenzimet sipas nenfunk.b'!A66</f>
        <v>09120</v>
      </c>
      <c r="B66" s="1070" t="str">
        <f>'(F2) Shpenzimet sipas nenfunk.b'!B66</f>
        <v>Arsimi bazë përfshirë arsimin parashkollor.</v>
      </c>
      <c r="C66" s="1071">
        <f>'(F2) Shpenzimet sipas nenfunk.b'!C66</f>
        <v>162011189</v>
      </c>
      <c r="D66" s="1071">
        <f>'KB 21'!J$73</f>
        <v>663300</v>
      </c>
      <c r="E66" s="1071">
        <f>'KB 21'!J$80</f>
        <v>123593917</v>
      </c>
      <c r="F66" s="1071">
        <f t="shared" si="0"/>
        <v>37753972</v>
      </c>
      <c r="G66" s="1071">
        <f>'(F2) Shpenzimet sipas nenfunk.b'!D66</f>
        <v>171800051</v>
      </c>
      <c r="H66" s="1071">
        <f>'KB 21'!K$73</f>
        <v>1686425</v>
      </c>
      <c r="I66" s="1071">
        <f>'KB 21'!K$80</f>
        <v>134349163</v>
      </c>
      <c r="J66" s="1071">
        <f t="shared" si="1"/>
        <v>35764463</v>
      </c>
      <c r="K66" s="1071">
        <f>'(F2) Shpenzimet sipas nenfunk.b'!E66</f>
        <v>216831061</v>
      </c>
      <c r="L66" s="1071">
        <f>'KB 21'!L$73</f>
        <v>5544000</v>
      </c>
      <c r="M66" s="1071">
        <f>'KB 21'!L$80</f>
        <v>136930434</v>
      </c>
      <c r="N66" s="1071">
        <f t="shared" si="2"/>
        <v>74356627</v>
      </c>
      <c r="O66" s="1071">
        <f>'(F2) Shpenzimet sipas nenfunk.b'!I66</f>
        <v>211383000</v>
      </c>
      <c r="P66" s="1071">
        <f>'KB 21'!M$73</f>
        <v>0</v>
      </c>
      <c r="Q66" s="1071">
        <f>'KB 21'!M$80</f>
        <v>125724000</v>
      </c>
      <c r="R66" s="1071">
        <f t="shared" si="3"/>
        <v>85659000</v>
      </c>
      <c r="S66" s="1071">
        <f>'(F2) Shpenzimet sipas nenfunk.b'!M66</f>
        <v>217722000</v>
      </c>
      <c r="T66" s="1071">
        <f>'KB 21'!N$73</f>
        <v>0</v>
      </c>
      <c r="U66" s="1071">
        <f>'KB 21'!N$80</f>
        <v>125724000</v>
      </c>
      <c r="V66" s="1071">
        <f t="shared" si="4"/>
        <v>91998000</v>
      </c>
      <c r="W66" s="1071">
        <f>'(F2) Shpenzimet sipas nenfunk.b'!Q66</f>
        <v>224469000</v>
      </c>
      <c r="X66" s="1071">
        <f>'KB 21'!O$73</f>
        <v>0</v>
      </c>
      <c r="Y66" s="1071">
        <f>'KB 21'!O$80</f>
        <v>125724000</v>
      </c>
      <c r="Z66" s="1071">
        <f t="shared" si="5"/>
        <v>98745000</v>
      </c>
    </row>
    <row r="67" spans="1:26" s="1072" customFormat="1" ht="15" customHeight="1" x14ac:dyDescent="0.2">
      <c r="A67" s="1066" t="str">
        <f>'(F2) Shpenzimet sipas nenfunk.b'!A67</f>
        <v>Nënfunksioni 22</v>
      </c>
      <c r="B67" s="1067" t="str">
        <f>'(F2) Shpenzimet sipas nenfunk.b'!B67</f>
        <v>092 Arsimi  parauniversitar</v>
      </c>
      <c r="C67" s="1068">
        <f>'(F2) Shpenzimet sipas nenfunk.b'!C67</f>
        <v>28558839</v>
      </c>
      <c r="D67" s="1068">
        <f>'KB 22'!J$19</f>
        <v>0</v>
      </c>
      <c r="E67" s="1068">
        <f>'KB 22'!J$27</f>
        <v>9838045</v>
      </c>
      <c r="F67" s="1068">
        <f t="shared" si="0"/>
        <v>18720794</v>
      </c>
      <c r="G67" s="1068">
        <f>'(F2) Shpenzimet sipas nenfunk.b'!D67</f>
        <v>41191090</v>
      </c>
      <c r="H67" s="1068">
        <f>'KB 22'!K$19</f>
        <v>0</v>
      </c>
      <c r="I67" s="1068">
        <f>'KB 22'!K$27</f>
        <v>10536439</v>
      </c>
      <c r="J67" s="1068">
        <f t="shared" si="1"/>
        <v>30654651</v>
      </c>
      <c r="K67" s="1068">
        <f>'(F2) Shpenzimet sipas nenfunk.b'!E67</f>
        <v>23292569</v>
      </c>
      <c r="L67" s="1068">
        <f>'KB 22'!L$19</f>
        <v>0</v>
      </c>
      <c r="M67" s="1068">
        <f>'KB 22'!L$27</f>
        <v>9548000</v>
      </c>
      <c r="N67" s="1068">
        <f t="shared" si="2"/>
        <v>13744569</v>
      </c>
      <c r="O67" s="1068">
        <f>'(F2) Shpenzimet sipas nenfunk.b'!I67</f>
        <v>9835000</v>
      </c>
      <c r="P67" s="1068">
        <f>'KB 22'!M$19</f>
        <v>0</v>
      </c>
      <c r="Q67" s="1068">
        <f>'KB 22'!M$27</f>
        <v>9548000</v>
      </c>
      <c r="R67" s="1068">
        <f t="shared" si="3"/>
        <v>287000</v>
      </c>
      <c r="S67" s="1068">
        <f>'(F2) Shpenzimet sipas nenfunk.b'!M67</f>
        <v>10130000</v>
      </c>
      <c r="T67" s="1068">
        <f>'KB 22'!N$19</f>
        <v>0</v>
      </c>
      <c r="U67" s="1068">
        <f>'KB 22'!N$27</f>
        <v>9548000</v>
      </c>
      <c r="V67" s="1068">
        <f t="shared" si="4"/>
        <v>582000</v>
      </c>
      <c r="W67" s="1068">
        <f>'(F2) Shpenzimet sipas nenfunk.b'!Q67</f>
        <v>10435000</v>
      </c>
      <c r="X67" s="1068">
        <f>'KB 22'!O$19</f>
        <v>0</v>
      </c>
      <c r="Y67" s="1068">
        <f>'KB 22'!O$27</f>
        <v>9548000</v>
      </c>
      <c r="Z67" s="1068">
        <f t="shared" si="5"/>
        <v>887000</v>
      </c>
    </row>
    <row r="68" spans="1:26" ht="15" customHeight="1" x14ac:dyDescent="0.2">
      <c r="A68" s="1069" t="str">
        <f>'(F2) Shpenzimet sipas nenfunk.b'!A68</f>
        <v>09230</v>
      </c>
      <c r="B68" s="1070" t="str">
        <f>'(F2) Shpenzimet sipas nenfunk.b'!B68</f>
        <v>Arsimi i mesëm i përgjithshëm</v>
      </c>
      <c r="C68" s="1071">
        <f>'(F2) Shpenzimet sipas nenfunk.b'!C68</f>
        <v>28558839</v>
      </c>
      <c r="D68" s="1071">
        <f>'KB 22'!J$73</f>
        <v>0</v>
      </c>
      <c r="E68" s="1071">
        <f>'KB 22'!J$80</f>
        <v>9838045</v>
      </c>
      <c r="F68" s="1071">
        <f t="shared" si="0"/>
        <v>18720794</v>
      </c>
      <c r="G68" s="1071">
        <f>'(F2) Shpenzimet sipas nenfunk.b'!D68</f>
        <v>41191090</v>
      </c>
      <c r="H68" s="1071">
        <f>'KB 22'!K$73</f>
        <v>0</v>
      </c>
      <c r="I68" s="1071">
        <f>'KB 22'!K$80</f>
        <v>10536439</v>
      </c>
      <c r="J68" s="1071">
        <f t="shared" si="1"/>
        <v>30654651</v>
      </c>
      <c r="K68" s="1071">
        <f>'(F2) Shpenzimet sipas nenfunk.b'!E68</f>
        <v>23292569</v>
      </c>
      <c r="L68" s="1071">
        <f>'KB 22'!L$73</f>
        <v>0</v>
      </c>
      <c r="M68" s="1071">
        <f>'KB 22'!L$80</f>
        <v>9548000</v>
      </c>
      <c r="N68" s="1071">
        <f t="shared" si="2"/>
        <v>13744569</v>
      </c>
      <c r="O68" s="1071">
        <f>'(F2) Shpenzimet sipas nenfunk.b'!I68</f>
        <v>9835000</v>
      </c>
      <c r="P68" s="1071">
        <f>'KB 22'!M$73</f>
        <v>0</v>
      </c>
      <c r="Q68" s="1071">
        <f>'KB 22'!M$80</f>
        <v>9548000</v>
      </c>
      <c r="R68" s="1071">
        <f t="shared" si="3"/>
        <v>287000</v>
      </c>
      <c r="S68" s="1071">
        <f>'(F2) Shpenzimet sipas nenfunk.b'!M68</f>
        <v>10130000</v>
      </c>
      <c r="T68" s="1071">
        <f>'KB 22'!N$73</f>
        <v>0</v>
      </c>
      <c r="U68" s="1071">
        <f>'KB 22'!N$80</f>
        <v>9548000</v>
      </c>
      <c r="V68" s="1071">
        <f t="shared" si="4"/>
        <v>582000</v>
      </c>
      <c r="W68" s="1071">
        <f>'(F2) Shpenzimet sipas nenfunk.b'!Q68</f>
        <v>10435000</v>
      </c>
      <c r="X68" s="1071">
        <f>'KB 22'!O$73</f>
        <v>0</v>
      </c>
      <c r="Y68" s="1071">
        <f>'KB 22'!O$80</f>
        <v>9548000</v>
      </c>
      <c r="Z68" s="1071">
        <f t="shared" si="5"/>
        <v>887000</v>
      </c>
    </row>
    <row r="69" spans="1:26" ht="15" hidden="1" customHeight="1" x14ac:dyDescent="0.2">
      <c r="A69" s="1069" t="str">
        <f>'(F2) Shpenzimet sipas nenfunk.b'!A69</f>
        <v>09232</v>
      </c>
      <c r="B69" s="1070" t="str">
        <f>'(F2) Shpenzimet sipas nenfunk.b'!B69</f>
        <v>Pagat e stafit mbështetës</v>
      </c>
      <c r="C69" s="1071">
        <f>'(F2) Shpenzimet sipas nenfunk.b'!C69</f>
        <v>0</v>
      </c>
      <c r="D69" s="1071">
        <f>'KB 22'!J$112</f>
        <v>0</v>
      </c>
      <c r="E69" s="1071">
        <f>'KB 22'!J$119</f>
        <v>0</v>
      </c>
      <c r="F69" s="1071">
        <f t="shared" si="0"/>
        <v>0</v>
      </c>
      <c r="G69" s="1071">
        <f>'(F2) Shpenzimet sipas nenfunk.b'!D69</f>
        <v>0</v>
      </c>
      <c r="H69" s="1071">
        <f>'KB 22'!K$112</f>
        <v>0</v>
      </c>
      <c r="I69" s="1071">
        <f>'KB 22'!K$119</f>
        <v>0</v>
      </c>
      <c r="J69" s="1071">
        <f t="shared" si="1"/>
        <v>0</v>
      </c>
      <c r="K69" s="1071">
        <f>'(F2) Shpenzimet sipas nenfunk.b'!E69</f>
        <v>0</v>
      </c>
      <c r="L69" s="1071">
        <f>'KB 22'!L$112</f>
        <v>0</v>
      </c>
      <c r="M69" s="1071">
        <f>'KB 22'!L$119</f>
        <v>0</v>
      </c>
      <c r="N69" s="1071">
        <f t="shared" si="2"/>
        <v>0</v>
      </c>
      <c r="O69" s="1071">
        <f>'(F2) Shpenzimet sipas nenfunk.b'!I69</f>
        <v>0</v>
      </c>
      <c r="P69" s="1071">
        <f>'KB 22'!M$112</f>
        <v>0</v>
      </c>
      <c r="Q69" s="1071">
        <f>'KB 22'!M$119</f>
        <v>0</v>
      </c>
      <c r="R69" s="1071">
        <f t="shared" si="3"/>
        <v>0</v>
      </c>
      <c r="S69" s="1071">
        <f>'(F2) Shpenzimet sipas nenfunk.b'!M69</f>
        <v>0</v>
      </c>
      <c r="T69" s="1071">
        <f>'KB 22'!N$112</f>
        <v>0</v>
      </c>
      <c r="U69" s="1071">
        <f>'KB 22'!N$119</f>
        <v>0</v>
      </c>
      <c r="V69" s="1071">
        <f t="shared" si="4"/>
        <v>0</v>
      </c>
      <c r="W69" s="1071">
        <f>'(F2) Shpenzimet sipas nenfunk.b'!Q69</f>
        <v>0</v>
      </c>
      <c r="X69" s="1071">
        <f>'KB 22'!O$112</f>
        <v>0</v>
      </c>
      <c r="Y69" s="1071">
        <f>'KB 22'!O$119</f>
        <v>0</v>
      </c>
      <c r="Z69" s="1071">
        <f t="shared" si="5"/>
        <v>0</v>
      </c>
    </row>
    <row r="70" spans="1:26" ht="15" customHeight="1" x14ac:dyDescent="0.2">
      <c r="A70" s="1069" t="str">
        <f>'(F2) Shpenzimet sipas nenfunk.b'!A70</f>
        <v>09240</v>
      </c>
      <c r="B70" s="1070" t="str">
        <f>'(F2) Shpenzimet sipas nenfunk.b'!B70</f>
        <v>Arsimi profesional</v>
      </c>
      <c r="C70" s="1071">
        <f>'(F2) Shpenzimet sipas nenfunk.b'!C70</f>
        <v>0</v>
      </c>
      <c r="D70" s="1071">
        <f>'KB 22'!J$151</f>
        <v>0</v>
      </c>
      <c r="E70" s="1071">
        <f>'KB 22'!J$158</f>
        <v>0</v>
      </c>
      <c r="F70" s="1071">
        <f t="shared" si="0"/>
        <v>0</v>
      </c>
      <c r="G70" s="1071">
        <f>'(F2) Shpenzimet sipas nenfunk.b'!D70</f>
        <v>0</v>
      </c>
      <c r="H70" s="1071">
        <f>'KB 22'!K$151</f>
        <v>0</v>
      </c>
      <c r="I70" s="1071">
        <f>'KB 22'!K$158</f>
        <v>0</v>
      </c>
      <c r="J70" s="1071">
        <f t="shared" si="1"/>
        <v>0</v>
      </c>
      <c r="K70" s="1071">
        <f>'(F2) Shpenzimet sipas nenfunk.b'!E70</f>
        <v>0</v>
      </c>
      <c r="L70" s="1071">
        <f>'KB 22'!L$151</f>
        <v>0</v>
      </c>
      <c r="M70" s="1071">
        <f>'KB 22'!L$158</f>
        <v>0</v>
      </c>
      <c r="N70" s="1071">
        <f t="shared" si="2"/>
        <v>0</v>
      </c>
      <c r="O70" s="1071">
        <f>'(F2) Shpenzimet sipas nenfunk.b'!I70</f>
        <v>0</v>
      </c>
      <c r="P70" s="1071">
        <f>'KB 22'!M$151</f>
        <v>0</v>
      </c>
      <c r="Q70" s="1071">
        <f>'KB 22'!M$158</f>
        <v>0</v>
      </c>
      <c r="R70" s="1071">
        <f t="shared" si="3"/>
        <v>0</v>
      </c>
      <c r="S70" s="1071">
        <f>'(F2) Shpenzimet sipas nenfunk.b'!M70</f>
        <v>0</v>
      </c>
      <c r="T70" s="1071">
        <f>'KB 22'!N$151</f>
        <v>0</v>
      </c>
      <c r="U70" s="1071">
        <f>'KB 22'!N$158</f>
        <v>0</v>
      </c>
      <c r="V70" s="1071">
        <f t="shared" si="4"/>
        <v>0</v>
      </c>
      <c r="W70" s="1071">
        <f>'(F2) Shpenzimet sipas nenfunk.b'!Q70</f>
        <v>0</v>
      </c>
      <c r="X70" s="1071">
        <f>'KB 22'!O$151</f>
        <v>0</v>
      </c>
      <c r="Y70" s="1071">
        <f>'KB 22'!O$158</f>
        <v>0</v>
      </c>
      <c r="Z70" s="1071">
        <f t="shared" si="5"/>
        <v>0</v>
      </c>
    </row>
    <row r="71" spans="1:26" s="1072" customFormat="1" ht="15" customHeight="1" x14ac:dyDescent="0.2">
      <c r="A71" s="1066" t="str">
        <f>'(F2) Shpenzimet sipas nenfunk.b'!A71</f>
        <v>Nënfunksioni 23</v>
      </c>
      <c r="B71" s="1067" t="str">
        <f>'(F2) Shpenzimet sipas nenfunk.b'!B71</f>
        <v>101 Sëmundje dhe paaftësi</v>
      </c>
      <c r="C71" s="1068">
        <f>'(F2) Shpenzimet sipas nenfunk.b'!C71</f>
        <v>0</v>
      </c>
      <c r="D71" s="1068">
        <f>'KB23'!J$19</f>
        <v>0</v>
      </c>
      <c r="E71" s="1068">
        <f>'KB23'!J$27</f>
        <v>0</v>
      </c>
      <c r="F71" s="1068">
        <f t="shared" si="0"/>
        <v>0</v>
      </c>
      <c r="G71" s="1068">
        <f>'(F2) Shpenzimet sipas nenfunk.b'!D71</f>
        <v>0</v>
      </c>
      <c r="H71" s="1068">
        <f>'KB23'!K$19</f>
        <v>0</v>
      </c>
      <c r="I71" s="1068">
        <f>'KB23'!K$27</f>
        <v>0</v>
      </c>
      <c r="J71" s="1068">
        <f t="shared" si="1"/>
        <v>0</v>
      </c>
      <c r="K71" s="1068">
        <f>'(F2) Shpenzimet sipas nenfunk.b'!E71</f>
        <v>0</v>
      </c>
      <c r="L71" s="1068">
        <f>'KB23'!L$19</f>
        <v>0</v>
      </c>
      <c r="M71" s="1068">
        <f>'KB23'!L$27</f>
        <v>0</v>
      </c>
      <c r="N71" s="1068">
        <f t="shared" si="2"/>
        <v>0</v>
      </c>
      <c r="O71" s="1068">
        <f>'(F2) Shpenzimet sipas nenfunk.b'!I71</f>
        <v>0</v>
      </c>
      <c r="P71" s="1068">
        <f>'KB23'!M$19</f>
        <v>0</v>
      </c>
      <c r="Q71" s="1068">
        <f>'KB23'!M$27</f>
        <v>0</v>
      </c>
      <c r="R71" s="1068">
        <f t="shared" si="3"/>
        <v>0</v>
      </c>
      <c r="S71" s="1068">
        <f>'(F2) Shpenzimet sipas nenfunk.b'!M71</f>
        <v>0</v>
      </c>
      <c r="T71" s="1068">
        <f>'KB23'!N$19</f>
        <v>0</v>
      </c>
      <c r="U71" s="1068">
        <f>'KB23'!N$27</f>
        <v>0</v>
      </c>
      <c r="V71" s="1068">
        <f t="shared" si="4"/>
        <v>0</v>
      </c>
      <c r="W71" s="1068">
        <f>'(F2) Shpenzimet sipas nenfunk.b'!Q71</f>
        <v>0</v>
      </c>
      <c r="X71" s="1068">
        <f>'KB23'!O$19</f>
        <v>0</v>
      </c>
      <c r="Y71" s="1068">
        <f>'KB23'!O$27</f>
        <v>0</v>
      </c>
      <c r="Z71" s="1068">
        <f t="shared" si="5"/>
        <v>0</v>
      </c>
    </row>
    <row r="72" spans="1:26" ht="15" customHeight="1" x14ac:dyDescent="0.2">
      <c r="A72" s="1069" t="str">
        <f>'(F2) Shpenzimet sipas nenfunk.b'!A72</f>
        <v>10140</v>
      </c>
      <c r="B72" s="1070" t="str">
        <f>'(F2) Shpenzimet sipas nenfunk.b'!B72</f>
        <v>Kujdesi social për personat e sëmurë dhe me aftësi të kufizuara</v>
      </c>
      <c r="C72" s="1071">
        <f>'(F2) Shpenzimet sipas nenfunk.b'!C72</f>
        <v>0</v>
      </c>
      <c r="D72" s="1071">
        <f>'KB23'!J$73</f>
        <v>0</v>
      </c>
      <c r="E72" s="1071">
        <f>'KB23'!J$80</f>
        <v>0</v>
      </c>
      <c r="F72" s="1071">
        <f t="shared" si="0"/>
        <v>0</v>
      </c>
      <c r="G72" s="1071">
        <f>'(F2) Shpenzimet sipas nenfunk.b'!D72</f>
        <v>0</v>
      </c>
      <c r="H72" s="1071">
        <f>'KB23'!K$73</f>
        <v>0</v>
      </c>
      <c r="I72" s="1071">
        <f>'KB23'!K$80</f>
        <v>0</v>
      </c>
      <c r="J72" s="1071">
        <f t="shared" si="1"/>
        <v>0</v>
      </c>
      <c r="K72" s="1071">
        <f>'(F2) Shpenzimet sipas nenfunk.b'!E72</f>
        <v>0</v>
      </c>
      <c r="L72" s="1071">
        <f>'KB23'!L$73</f>
        <v>0</v>
      </c>
      <c r="M72" s="1071">
        <f>'KB23'!L$80</f>
        <v>0</v>
      </c>
      <c r="N72" s="1071">
        <f t="shared" si="2"/>
        <v>0</v>
      </c>
      <c r="O72" s="1071">
        <f>'(F2) Shpenzimet sipas nenfunk.b'!I72</f>
        <v>0</v>
      </c>
      <c r="P72" s="1071">
        <f>'KB23'!M$73</f>
        <v>0</v>
      </c>
      <c r="Q72" s="1071">
        <f>'KB23'!M$80</f>
        <v>0</v>
      </c>
      <c r="R72" s="1071">
        <f t="shared" si="3"/>
        <v>0</v>
      </c>
      <c r="S72" s="1071">
        <f>'(F2) Shpenzimet sipas nenfunk.b'!M72</f>
        <v>0</v>
      </c>
      <c r="T72" s="1071">
        <f>'KB23'!N$73</f>
        <v>0</v>
      </c>
      <c r="U72" s="1071">
        <f>'KB23'!N$80</f>
        <v>0</v>
      </c>
      <c r="V72" s="1071">
        <f t="shared" si="4"/>
        <v>0</v>
      </c>
      <c r="W72" s="1071">
        <f>'(F2) Shpenzimet sipas nenfunk.b'!Q72</f>
        <v>0</v>
      </c>
      <c r="X72" s="1071">
        <f>'KB23'!O$73</f>
        <v>0</v>
      </c>
      <c r="Y72" s="1071">
        <f>'KB23'!O$80</f>
        <v>0</v>
      </c>
      <c r="Z72" s="1071">
        <f t="shared" si="5"/>
        <v>0</v>
      </c>
    </row>
    <row r="73" spans="1:26" s="1072" customFormat="1" ht="15" customHeight="1" x14ac:dyDescent="0.2">
      <c r="A73" s="1066" t="str">
        <f>'(F2) Shpenzimet sipas nenfunk.b'!A73</f>
        <v>Nënfunksioni 24</v>
      </c>
      <c r="B73" s="1067" t="str">
        <f>'(F2) Shpenzimet sipas nenfunk.b'!B73</f>
        <v>102 Të moshuarit</v>
      </c>
      <c r="C73" s="1068">
        <f>'(F2) Shpenzimet sipas nenfunk.b'!C73</f>
        <v>0</v>
      </c>
      <c r="D73" s="1068">
        <f>'KB24'!J$19</f>
        <v>0</v>
      </c>
      <c r="E73" s="1068">
        <f>'KB24'!J$27</f>
        <v>0</v>
      </c>
      <c r="F73" s="1068">
        <f t="shared" si="0"/>
        <v>0</v>
      </c>
      <c r="G73" s="1068">
        <f>'(F2) Shpenzimet sipas nenfunk.b'!D73</f>
        <v>0</v>
      </c>
      <c r="H73" s="1068">
        <f>'KB24'!K$19</f>
        <v>0</v>
      </c>
      <c r="I73" s="1068">
        <f>'KB24'!K$27</f>
        <v>0</v>
      </c>
      <c r="J73" s="1068">
        <f t="shared" si="1"/>
        <v>0</v>
      </c>
      <c r="K73" s="1068">
        <f>'(F2) Shpenzimet sipas nenfunk.b'!E73</f>
        <v>0</v>
      </c>
      <c r="L73" s="1068">
        <f>'KB24'!L$19</f>
        <v>0</v>
      </c>
      <c r="M73" s="1068">
        <f>'KB24'!L$27</f>
        <v>0</v>
      </c>
      <c r="N73" s="1068">
        <f t="shared" si="2"/>
        <v>0</v>
      </c>
      <c r="O73" s="1068">
        <f>'(F2) Shpenzimet sipas nenfunk.b'!I73</f>
        <v>0</v>
      </c>
      <c r="P73" s="1068">
        <f>'KB24'!M$19</f>
        <v>0</v>
      </c>
      <c r="Q73" s="1068">
        <f>'KB24'!M$27</f>
        <v>0</v>
      </c>
      <c r="R73" s="1068">
        <f t="shared" si="3"/>
        <v>0</v>
      </c>
      <c r="S73" s="1068">
        <f>'(F2) Shpenzimet sipas nenfunk.b'!M73</f>
        <v>0</v>
      </c>
      <c r="T73" s="1068">
        <f>'KB24'!N$19</f>
        <v>0</v>
      </c>
      <c r="U73" s="1068">
        <f>'KB24'!N$27</f>
        <v>0</v>
      </c>
      <c r="V73" s="1068">
        <f t="shared" si="4"/>
        <v>0</v>
      </c>
      <c r="W73" s="1068">
        <f>'(F2) Shpenzimet sipas nenfunk.b'!Q73</f>
        <v>0</v>
      </c>
      <c r="X73" s="1068">
        <f>'KB24'!O$19</f>
        <v>0</v>
      </c>
      <c r="Y73" s="1068">
        <f>'KB24'!O$27</f>
        <v>0</v>
      </c>
      <c r="Z73" s="1068">
        <f t="shared" si="5"/>
        <v>0</v>
      </c>
    </row>
    <row r="74" spans="1:26" ht="15" customHeight="1" x14ac:dyDescent="0.2">
      <c r="A74" s="1069" t="str">
        <f>'(F2) Shpenzimet sipas nenfunk.b'!A74</f>
        <v>10220</v>
      </c>
      <c r="B74" s="1070" t="str">
        <f>'(F2) Shpenzimet sipas nenfunk.b'!B74</f>
        <v>Sigurimi shoqëror</v>
      </c>
      <c r="C74" s="1071">
        <f>'(F2) Shpenzimet sipas nenfunk.b'!C74</f>
        <v>0</v>
      </c>
      <c r="D74" s="1071">
        <f>'KB24'!J$73</f>
        <v>0</v>
      </c>
      <c r="E74" s="1071">
        <f>'KB24'!J$80</f>
        <v>0</v>
      </c>
      <c r="F74" s="1071">
        <f t="shared" si="0"/>
        <v>0</v>
      </c>
      <c r="G74" s="1071">
        <f>'(F2) Shpenzimet sipas nenfunk.b'!D74</f>
        <v>0</v>
      </c>
      <c r="H74" s="1071">
        <f>'KB24'!K$73</f>
        <v>0</v>
      </c>
      <c r="I74" s="1071">
        <f>'KB24'!K$80</f>
        <v>0</v>
      </c>
      <c r="J74" s="1071">
        <f t="shared" si="1"/>
        <v>0</v>
      </c>
      <c r="K74" s="1071">
        <f>'(F2) Shpenzimet sipas nenfunk.b'!E74</f>
        <v>0</v>
      </c>
      <c r="L74" s="1071">
        <f>'KB24'!L$73</f>
        <v>0</v>
      </c>
      <c r="M74" s="1071">
        <f>'KB24'!L$80</f>
        <v>0</v>
      </c>
      <c r="N74" s="1071">
        <f t="shared" si="2"/>
        <v>0</v>
      </c>
      <c r="O74" s="1071">
        <f>'(F2) Shpenzimet sipas nenfunk.b'!I74</f>
        <v>0</v>
      </c>
      <c r="P74" s="1071">
        <f>'KB24'!M$73</f>
        <v>0</v>
      </c>
      <c r="Q74" s="1071">
        <f>'KB24'!M$80</f>
        <v>0</v>
      </c>
      <c r="R74" s="1071">
        <f t="shared" si="3"/>
        <v>0</v>
      </c>
      <c r="S74" s="1071">
        <f>'(F2) Shpenzimet sipas nenfunk.b'!M74</f>
        <v>0</v>
      </c>
      <c r="T74" s="1071">
        <f>'KB24'!N$73</f>
        <v>0</v>
      </c>
      <c r="U74" s="1071">
        <f>'KB24'!N$80</f>
        <v>0</v>
      </c>
      <c r="V74" s="1071">
        <f t="shared" si="4"/>
        <v>0</v>
      </c>
      <c r="W74" s="1071">
        <f>'(F2) Shpenzimet sipas nenfunk.b'!Q74</f>
        <v>0</v>
      </c>
      <c r="X74" s="1071">
        <f>'KB24'!O$73</f>
        <v>0</v>
      </c>
      <c r="Y74" s="1071">
        <f>'KB24'!O$80</f>
        <v>0</v>
      </c>
      <c r="Z74" s="1071">
        <f t="shared" si="5"/>
        <v>0</v>
      </c>
    </row>
    <row r="75" spans="1:26" s="1072" customFormat="1" ht="15" customHeight="1" x14ac:dyDescent="0.2">
      <c r="A75" s="1066" t="str">
        <f>'(F2) Shpenzimet sipas nenfunk.b'!A75</f>
        <v>Nënfunksioni 25</v>
      </c>
      <c r="B75" s="1067" t="str">
        <f>'(F2) Shpenzimet sipas nenfunk.b'!B75</f>
        <v>104 Familje dhe fëmijë</v>
      </c>
      <c r="C75" s="1068">
        <f>'(F2) Shpenzimet sipas nenfunk.b'!C75</f>
        <v>754931278</v>
      </c>
      <c r="D75" s="1068">
        <f>'KB25'!J$19</f>
        <v>1366276</v>
      </c>
      <c r="E75" s="1068">
        <f>'KB25'!J$27</f>
        <v>750300000</v>
      </c>
      <c r="F75" s="1068">
        <f t="shared" si="0"/>
        <v>3265002</v>
      </c>
      <c r="G75" s="1068">
        <f>'(F2) Shpenzimet sipas nenfunk.b'!D75</f>
        <v>937920190</v>
      </c>
      <c r="H75" s="1068">
        <f>'KB25'!K$19</f>
        <v>0</v>
      </c>
      <c r="I75" s="1068">
        <f>'KB25'!K$27</f>
        <v>931944018</v>
      </c>
      <c r="J75" s="1068">
        <f t="shared" si="1"/>
        <v>5976172</v>
      </c>
      <c r="K75" s="1068">
        <f>'(F2) Shpenzimet sipas nenfunk.b'!E75</f>
        <v>940463352</v>
      </c>
      <c r="L75" s="1068">
        <f>'KB25'!L$19</f>
        <v>0</v>
      </c>
      <c r="M75" s="1068">
        <f>'KB25'!L$27</f>
        <v>934462425</v>
      </c>
      <c r="N75" s="1068">
        <f t="shared" si="2"/>
        <v>6000927</v>
      </c>
      <c r="O75" s="1068">
        <f>'(F2) Shpenzimet sipas nenfunk.b'!I75</f>
        <v>957789000</v>
      </c>
      <c r="P75" s="1068">
        <f>'KB25'!M$19</f>
        <v>0</v>
      </c>
      <c r="Q75" s="1068">
        <f>'KB25'!M$27</f>
        <v>944008000</v>
      </c>
      <c r="R75" s="1068">
        <f t="shared" si="3"/>
        <v>13781000</v>
      </c>
      <c r="S75" s="1068">
        <f>'(F2) Shpenzimet sipas nenfunk.b'!M75</f>
        <v>957789000</v>
      </c>
      <c r="T75" s="1068">
        <f>'KB25'!N$19</f>
        <v>0</v>
      </c>
      <c r="U75" s="1068">
        <f>'KB25'!N$27</f>
        <v>944008000</v>
      </c>
      <c r="V75" s="1068">
        <f t="shared" si="4"/>
        <v>13781000</v>
      </c>
      <c r="W75" s="1068">
        <f>'(F2) Shpenzimet sipas nenfunk.b'!Q75</f>
        <v>957789000</v>
      </c>
      <c r="X75" s="1068">
        <f>'KB25'!O$19</f>
        <v>0</v>
      </c>
      <c r="Y75" s="1068">
        <f>'KB25'!O$27</f>
        <v>944008000</v>
      </c>
      <c r="Z75" s="1068">
        <f t="shared" si="5"/>
        <v>13781000</v>
      </c>
    </row>
    <row r="76" spans="1:26" ht="15" customHeight="1" x14ac:dyDescent="0.2">
      <c r="A76" s="1069" t="str">
        <f>'(F2) Shpenzimet sipas nenfunk.b'!A76</f>
        <v>10430</v>
      </c>
      <c r="B76" s="1070" t="str">
        <f>'(F2) Shpenzimet sipas nenfunk.b'!B76</f>
        <v>Kujdesi social për familjet dhe fëmijët</v>
      </c>
      <c r="C76" s="1071">
        <f>'(F2) Shpenzimet sipas nenfunk.b'!C76</f>
        <v>754931278</v>
      </c>
      <c r="D76" s="1071">
        <f>'KB25'!J$73</f>
        <v>1366276</v>
      </c>
      <c r="E76" s="1071">
        <f>'KB25'!J$80</f>
        <v>750300000</v>
      </c>
      <c r="F76" s="1071">
        <f t="shared" si="0"/>
        <v>3265002</v>
      </c>
      <c r="G76" s="1071">
        <f>'(F2) Shpenzimet sipas nenfunk.b'!D76</f>
        <v>937920190</v>
      </c>
      <c r="H76" s="1071">
        <f>'KB25'!K$73</f>
        <v>0</v>
      </c>
      <c r="I76" s="1071">
        <f>'KB25'!K$80</f>
        <v>931944018</v>
      </c>
      <c r="J76" s="1071">
        <f t="shared" si="1"/>
        <v>5976172</v>
      </c>
      <c r="K76" s="1071">
        <f>'(F2) Shpenzimet sipas nenfunk.b'!E76</f>
        <v>940463352</v>
      </c>
      <c r="L76" s="1071">
        <f>'KB25'!L$73</f>
        <v>0</v>
      </c>
      <c r="M76" s="1071">
        <f>'KB25'!L$80</f>
        <v>934462425</v>
      </c>
      <c r="N76" s="1071">
        <f t="shared" si="2"/>
        <v>6000927</v>
      </c>
      <c r="O76" s="1071">
        <f>'(F2) Shpenzimet sipas nenfunk.b'!I76</f>
        <v>957789000</v>
      </c>
      <c r="P76" s="1071">
        <f>'KB25'!M$73</f>
        <v>0</v>
      </c>
      <c r="Q76" s="1071">
        <f>'KB25'!M$80</f>
        <v>944008000</v>
      </c>
      <c r="R76" s="1071">
        <f t="shared" si="3"/>
        <v>13781000</v>
      </c>
      <c r="S76" s="1071">
        <f>'(F2) Shpenzimet sipas nenfunk.b'!M76</f>
        <v>957789000</v>
      </c>
      <c r="T76" s="1071">
        <f>'KB25'!N$73</f>
        <v>0</v>
      </c>
      <c r="U76" s="1071">
        <f>'KB25'!N$80</f>
        <v>944008000</v>
      </c>
      <c r="V76" s="1071">
        <f t="shared" si="4"/>
        <v>13781000</v>
      </c>
      <c r="W76" s="1071">
        <f>'(F2) Shpenzimet sipas nenfunk.b'!Q76</f>
        <v>957789000</v>
      </c>
      <c r="X76" s="1071">
        <f>'KB25'!O$73</f>
        <v>0</v>
      </c>
      <c r="Y76" s="1071">
        <f>'KB25'!O$80</f>
        <v>944008000</v>
      </c>
      <c r="Z76" s="1071">
        <f t="shared" si="5"/>
        <v>13781000</v>
      </c>
    </row>
    <row r="77" spans="1:26" ht="15" hidden="1" customHeight="1" x14ac:dyDescent="0.2">
      <c r="A77" s="1069" t="str">
        <f>'(F2) Shpenzimet sipas nenfunk.b'!A77</f>
        <v>10460</v>
      </c>
      <c r="B77" s="1070" t="str">
        <f>'(F2) Shpenzimet sipas nenfunk.b'!B77</f>
        <v>Përfshirja sociale</v>
      </c>
      <c r="C77" s="1071">
        <f>'(F2) Shpenzimet sipas nenfunk.b'!C77</f>
        <v>0</v>
      </c>
      <c r="D77" s="1071">
        <f>'KB25'!J$112</f>
        <v>0</v>
      </c>
      <c r="E77" s="1071">
        <f>'KB25'!J$119</f>
        <v>0</v>
      </c>
      <c r="F77" s="1071">
        <f t="shared" si="0"/>
        <v>0</v>
      </c>
      <c r="G77" s="1071">
        <f>'(F2) Shpenzimet sipas nenfunk.b'!D77</f>
        <v>0</v>
      </c>
      <c r="H77" s="1071">
        <f>'KB25'!K$112</f>
        <v>0</v>
      </c>
      <c r="I77" s="1071">
        <f>'KB25'!K$119</f>
        <v>0</v>
      </c>
      <c r="J77" s="1071">
        <f t="shared" si="1"/>
        <v>0</v>
      </c>
      <c r="K77" s="1071">
        <f>'(F2) Shpenzimet sipas nenfunk.b'!E77</f>
        <v>0</v>
      </c>
      <c r="L77" s="1071">
        <f>'KB25'!L$112</f>
        <v>0</v>
      </c>
      <c r="M77" s="1071">
        <f>'KB25'!L$119</f>
        <v>0</v>
      </c>
      <c r="N77" s="1071">
        <f t="shared" si="2"/>
        <v>0</v>
      </c>
      <c r="O77" s="1071">
        <f>'(F2) Shpenzimet sipas nenfunk.b'!I77</f>
        <v>0</v>
      </c>
      <c r="P77" s="1071">
        <f>'KB25'!M$112</f>
        <v>0</v>
      </c>
      <c r="Q77" s="1071">
        <f>'KB25'!M$119</f>
        <v>0</v>
      </c>
      <c r="R77" s="1071">
        <f t="shared" si="3"/>
        <v>0</v>
      </c>
      <c r="S77" s="1071">
        <f>'(F2) Shpenzimet sipas nenfunk.b'!M77</f>
        <v>0</v>
      </c>
      <c r="T77" s="1071">
        <f>'KB25'!N$112</f>
        <v>0</v>
      </c>
      <c r="U77" s="1071">
        <f>'KB25'!N$119</f>
        <v>0</v>
      </c>
      <c r="V77" s="1071">
        <f t="shared" si="4"/>
        <v>0</v>
      </c>
      <c r="W77" s="1071">
        <f>'(F2) Shpenzimet sipas nenfunk.b'!Q77</f>
        <v>0</v>
      </c>
      <c r="X77" s="1071">
        <f>'KB25'!O$112</f>
        <v>0</v>
      </c>
      <c r="Y77" s="1071">
        <f>'KB25'!O$119</f>
        <v>0</v>
      </c>
      <c r="Z77" s="1071">
        <f t="shared" si="5"/>
        <v>0</v>
      </c>
    </row>
    <row r="78" spans="1:26" s="1072" customFormat="1" ht="15" customHeight="1" x14ac:dyDescent="0.2">
      <c r="A78" s="1066" t="str">
        <f>'(F2) Shpenzimet sipas nenfunk.b'!A78</f>
        <v>Nënfunksioni 26</v>
      </c>
      <c r="B78" s="1067" t="str">
        <f>'(F2) Shpenzimet sipas nenfunk.b'!B78</f>
        <v>105 Papunësia</v>
      </c>
      <c r="C78" s="1068">
        <f>'(F2) Shpenzimet sipas nenfunk.b'!C78</f>
        <v>0</v>
      </c>
      <c r="D78" s="1068">
        <f>'KB26'!J$19</f>
        <v>0</v>
      </c>
      <c r="E78" s="1068">
        <f>'KB26'!J$27</f>
        <v>0</v>
      </c>
      <c r="F78" s="1068">
        <f t="shared" si="0"/>
        <v>0</v>
      </c>
      <c r="G78" s="1068">
        <f>'(F2) Shpenzimet sipas nenfunk.b'!D78</f>
        <v>0</v>
      </c>
      <c r="H78" s="1068">
        <f>'KB26'!K$19</f>
        <v>0</v>
      </c>
      <c r="I78" s="1068">
        <f>'KB26'!K$27</f>
        <v>0</v>
      </c>
      <c r="J78" s="1068">
        <f t="shared" si="1"/>
        <v>0</v>
      </c>
      <c r="K78" s="1068">
        <f>'(F2) Shpenzimet sipas nenfunk.b'!E78</f>
        <v>0</v>
      </c>
      <c r="L78" s="1068">
        <f>'KB26'!L$19</f>
        <v>0</v>
      </c>
      <c r="M78" s="1068">
        <f>'KB26'!L$27</f>
        <v>0</v>
      </c>
      <c r="N78" s="1068">
        <f t="shared" si="2"/>
        <v>0</v>
      </c>
      <c r="O78" s="1068">
        <f>'(F2) Shpenzimet sipas nenfunk.b'!I78</f>
        <v>0</v>
      </c>
      <c r="P78" s="1068">
        <f>'KB26'!M$19</f>
        <v>0</v>
      </c>
      <c r="Q78" s="1068">
        <f>'KB26'!M$27</f>
        <v>0</v>
      </c>
      <c r="R78" s="1068">
        <f t="shared" si="3"/>
        <v>0</v>
      </c>
      <c r="S78" s="1068">
        <f>'(F2) Shpenzimet sipas nenfunk.b'!M78</f>
        <v>0</v>
      </c>
      <c r="T78" s="1068">
        <f>'KB26'!N$19</f>
        <v>0</v>
      </c>
      <c r="U78" s="1068">
        <f>'KB26'!N$27</f>
        <v>0</v>
      </c>
      <c r="V78" s="1068">
        <f t="shared" si="4"/>
        <v>0</v>
      </c>
      <c r="W78" s="1068">
        <f>'(F2) Shpenzimet sipas nenfunk.b'!Q78</f>
        <v>0</v>
      </c>
      <c r="X78" s="1068">
        <f>'KB26'!O$19</f>
        <v>0</v>
      </c>
      <c r="Y78" s="1068">
        <f>'KB26'!O$27</f>
        <v>0</v>
      </c>
      <c r="Z78" s="1068">
        <f t="shared" si="5"/>
        <v>0</v>
      </c>
    </row>
    <row r="79" spans="1:26" ht="15" customHeight="1" x14ac:dyDescent="0.2">
      <c r="A79" s="1069" t="str">
        <f>'(F2) Shpenzimet sipas nenfunk.b'!A79</f>
        <v>10550</v>
      </c>
      <c r="B79" s="1070" t="str">
        <f>'(F2) Shpenzimet sipas nenfunk.b'!B79</f>
        <v>Papunësia, arsim dhe aftësim</v>
      </c>
      <c r="C79" s="1071">
        <f>'(F2) Shpenzimet sipas nenfunk.b'!C79</f>
        <v>0</v>
      </c>
      <c r="D79" s="1071">
        <f>'KB26'!J$73</f>
        <v>0</v>
      </c>
      <c r="E79" s="1071">
        <f>'KB26'!J$80</f>
        <v>0</v>
      </c>
      <c r="F79" s="1071">
        <f t="shared" si="0"/>
        <v>0</v>
      </c>
      <c r="G79" s="1071">
        <f>'(F2) Shpenzimet sipas nenfunk.b'!D79</f>
        <v>0</v>
      </c>
      <c r="H79" s="1071">
        <f>'KB26'!K$73</f>
        <v>0</v>
      </c>
      <c r="I79" s="1071">
        <f>'KB26'!K$80</f>
        <v>0</v>
      </c>
      <c r="J79" s="1071">
        <f t="shared" si="1"/>
        <v>0</v>
      </c>
      <c r="K79" s="1071">
        <f>'(F2) Shpenzimet sipas nenfunk.b'!E79</f>
        <v>0</v>
      </c>
      <c r="L79" s="1071">
        <f>'KB26'!L$73</f>
        <v>0</v>
      </c>
      <c r="M79" s="1071">
        <f>'KB26'!L$80</f>
        <v>0</v>
      </c>
      <c r="N79" s="1071">
        <f t="shared" si="2"/>
        <v>0</v>
      </c>
      <c r="O79" s="1071">
        <f>'(F2) Shpenzimet sipas nenfunk.b'!I79</f>
        <v>0</v>
      </c>
      <c r="P79" s="1071">
        <f>'KB26'!M$73</f>
        <v>0</v>
      </c>
      <c r="Q79" s="1071">
        <f>'KB26'!M$80</f>
        <v>0</v>
      </c>
      <c r="R79" s="1071">
        <f t="shared" si="3"/>
        <v>0</v>
      </c>
      <c r="S79" s="1071">
        <f>'(F2) Shpenzimet sipas nenfunk.b'!M79</f>
        <v>0</v>
      </c>
      <c r="T79" s="1071">
        <f>'KB26'!N$73</f>
        <v>0</v>
      </c>
      <c r="U79" s="1071">
        <f>'KB26'!N$80</f>
        <v>0</v>
      </c>
      <c r="V79" s="1071">
        <f t="shared" si="4"/>
        <v>0</v>
      </c>
      <c r="W79" s="1071">
        <f>'(F2) Shpenzimet sipas nenfunk.b'!Q79</f>
        <v>0</v>
      </c>
      <c r="X79" s="1071">
        <f>'KB26'!O$73</f>
        <v>0</v>
      </c>
      <c r="Y79" s="1071">
        <f>'KB26'!O$80</f>
        <v>0</v>
      </c>
      <c r="Z79" s="1071">
        <f t="shared" si="5"/>
        <v>0</v>
      </c>
    </row>
    <row r="80" spans="1:26" s="1072" customFormat="1" ht="15" customHeight="1" x14ac:dyDescent="0.2">
      <c r="A80" s="1066" t="str">
        <f>'(F2) Shpenzimet sipas nenfunk.b'!A80</f>
        <v>Nënfunksioni 27</v>
      </c>
      <c r="B80" s="1067" t="str">
        <f>'(F2) Shpenzimet sipas nenfunk.b'!B80</f>
        <v>106 Strehimi social</v>
      </c>
      <c r="C80" s="1068">
        <f>'(F2) Shpenzimet sipas nenfunk.b'!C80</f>
        <v>0</v>
      </c>
      <c r="D80" s="1068">
        <f>'KB27'!J$19</f>
        <v>0</v>
      </c>
      <c r="E80" s="1068">
        <f>'KB27'!J$27</f>
        <v>0</v>
      </c>
      <c r="F80" s="1068">
        <f t="shared" si="0"/>
        <v>0</v>
      </c>
      <c r="G80" s="1068">
        <f>'(F2) Shpenzimet sipas nenfunk.b'!D80</f>
        <v>0</v>
      </c>
      <c r="H80" s="1068">
        <f>'KB27'!K$19</f>
        <v>0</v>
      </c>
      <c r="I80" s="1068">
        <f>'KB27'!K$27</f>
        <v>0</v>
      </c>
      <c r="J80" s="1068">
        <f t="shared" si="1"/>
        <v>0</v>
      </c>
      <c r="K80" s="1068">
        <f>'(F2) Shpenzimet sipas nenfunk.b'!E80</f>
        <v>0</v>
      </c>
      <c r="L80" s="1068">
        <f>'KB27'!L$19</f>
        <v>0</v>
      </c>
      <c r="M80" s="1068">
        <f>'KB27'!L$27</f>
        <v>0</v>
      </c>
      <c r="N80" s="1068">
        <f t="shared" si="2"/>
        <v>0</v>
      </c>
      <c r="O80" s="1068">
        <f>'(F2) Shpenzimet sipas nenfunk.b'!I80</f>
        <v>0</v>
      </c>
      <c r="P80" s="1068">
        <f>'KB27'!M$19</f>
        <v>0</v>
      </c>
      <c r="Q80" s="1068">
        <f>'KB27'!M$27</f>
        <v>0</v>
      </c>
      <c r="R80" s="1068">
        <f t="shared" si="3"/>
        <v>0</v>
      </c>
      <c r="S80" s="1068">
        <f>'(F2) Shpenzimet sipas nenfunk.b'!M80</f>
        <v>0</v>
      </c>
      <c r="T80" s="1068">
        <f>'KB27'!N$19</f>
        <v>0</v>
      </c>
      <c r="U80" s="1068">
        <f>'KB27'!N$27</f>
        <v>0</v>
      </c>
      <c r="V80" s="1068">
        <f t="shared" si="4"/>
        <v>0</v>
      </c>
      <c r="W80" s="1068">
        <f>'(F2) Shpenzimet sipas nenfunk.b'!Q80</f>
        <v>0</v>
      </c>
      <c r="X80" s="1068">
        <f>'KB27'!O$19</f>
        <v>0</v>
      </c>
      <c r="Y80" s="1068">
        <f>'KB27'!O$27</f>
        <v>0</v>
      </c>
      <c r="Z80" s="1068">
        <f t="shared" si="5"/>
        <v>0</v>
      </c>
    </row>
    <row r="81" spans="1:26" ht="15" customHeight="1" thickBot="1" x14ac:dyDescent="0.25">
      <c r="A81" s="1069" t="str">
        <f>'(F2) Shpenzimet sipas nenfunk.b'!A81</f>
        <v>10661</v>
      </c>
      <c r="B81" s="1070" t="str">
        <f>'(F2) Shpenzimet sipas nenfunk.b'!B81</f>
        <v>Strehimi social</v>
      </c>
      <c r="C81" s="1071">
        <f>'(F2) Shpenzimet sipas nenfunk.b'!C81</f>
        <v>0</v>
      </c>
      <c r="D81" s="1071">
        <f>'KB27'!J$73</f>
        <v>0</v>
      </c>
      <c r="E81" s="1071">
        <f>'KB27'!J$80</f>
        <v>0</v>
      </c>
      <c r="F81" s="1071">
        <f t="shared" si="0"/>
        <v>0</v>
      </c>
      <c r="G81" s="1071">
        <f>'(F2) Shpenzimet sipas nenfunk.b'!D81</f>
        <v>0</v>
      </c>
      <c r="H81" s="1071">
        <f>'KB27'!K$73</f>
        <v>0</v>
      </c>
      <c r="I81" s="1071">
        <f>'KB27'!K$80</f>
        <v>0</v>
      </c>
      <c r="J81" s="1071">
        <f t="shared" si="1"/>
        <v>0</v>
      </c>
      <c r="K81" s="1071">
        <f>'(F2) Shpenzimet sipas nenfunk.b'!E81</f>
        <v>0</v>
      </c>
      <c r="L81" s="1071">
        <f>'KB27'!L$73</f>
        <v>0</v>
      </c>
      <c r="M81" s="1071">
        <f>'KB27'!L$80</f>
        <v>0</v>
      </c>
      <c r="N81" s="1071">
        <f t="shared" si="2"/>
        <v>0</v>
      </c>
      <c r="O81" s="1071">
        <f>'(F2) Shpenzimet sipas nenfunk.b'!I81</f>
        <v>0</v>
      </c>
      <c r="P81" s="1071">
        <f>'KB27'!M$73</f>
        <v>0</v>
      </c>
      <c r="Q81" s="1071">
        <f>'KB27'!M$80</f>
        <v>0</v>
      </c>
      <c r="R81" s="1071">
        <f t="shared" si="3"/>
        <v>0</v>
      </c>
      <c r="S81" s="1071">
        <f>'(F2) Shpenzimet sipas nenfunk.b'!M81</f>
        <v>0</v>
      </c>
      <c r="T81" s="1071">
        <f>'KB27'!N$73</f>
        <v>0</v>
      </c>
      <c r="U81" s="1071">
        <f>'KB27'!N$80</f>
        <v>0</v>
      </c>
      <c r="V81" s="1071">
        <f t="shared" si="4"/>
        <v>0</v>
      </c>
      <c r="W81" s="1071">
        <f>'(F2) Shpenzimet sipas nenfunk.b'!Q81</f>
        <v>0</v>
      </c>
      <c r="X81" s="1071">
        <f>'KB27'!O$73</f>
        <v>0</v>
      </c>
      <c r="Y81" s="1071">
        <f>'KB27'!O$80</f>
        <v>0</v>
      </c>
      <c r="Z81" s="1071">
        <f t="shared" si="5"/>
        <v>0</v>
      </c>
    </row>
    <row r="82" spans="1:26" ht="18.75" customHeight="1" thickTop="1" thickBot="1" x14ac:dyDescent="0.25">
      <c r="A82" s="1442" t="str">
        <f>'(G1) Fjalori'!A426</f>
        <v>Totali</v>
      </c>
      <c r="B82" s="1443"/>
      <c r="C82" s="1073">
        <f>C6+C10+C14+C16+C18+C20+C25+C30+C34+C37+C39+C41+C43+C46+C49+C52+C54+C56+C58+C61+C65+C67+C71+C73+C75+C78+C80</f>
        <v>1519965155</v>
      </c>
      <c r="D82" s="1073">
        <f t="shared" ref="D82:Z82" si="6">D6+D10+D14+D16+D18+D20+D25+D30+D34+D37+D39+D41+D43+D46+D49+D52+D54+D56+D58+D61+D65+D67+D71+D73+D75+D78+D80</f>
        <v>290939361</v>
      </c>
      <c r="E82" s="1073">
        <f t="shared" si="6"/>
        <v>964665757</v>
      </c>
      <c r="F82" s="1073">
        <f t="shared" si="6"/>
        <v>264360037</v>
      </c>
      <c r="G82" s="1073">
        <f t="shared" si="6"/>
        <v>1822305984</v>
      </c>
      <c r="H82" s="1073">
        <f t="shared" si="6"/>
        <v>150636046</v>
      </c>
      <c r="I82" s="1073">
        <f t="shared" si="6"/>
        <v>1196338455</v>
      </c>
      <c r="J82" s="1073">
        <f t="shared" si="6"/>
        <v>475331483</v>
      </c>
      <c r="K82" s="1073">
        <f t="shared" si="6"/>
        <v>2351787988</v>
      </c>
      <c r="L82" s="1073">
        <f t="shared" si="6"/>
        <v>589036721</v>
      </c>
      <c r="M82" s="1073">
        <f t="shared" si="6"/>
        <v>1208920079</v>
      </c>
      <c r="N82" s="1073">
        <f t="shared" si="6"/>
        <v>553831188</v>
      </c>
      <c r="O82" s="1073">
        <f t="shared" si="6"/>
        <v>2161408648</v>
      </c>
      <c r="P82" s="1073">
        <f t="shared" si="6"/>
        <v>223521899</v>
      </c>
      <c r="Q82" s="1073">
        <f t="shared" si="6"/>
        <v>1146817000</v>
      </c>
      <c r="R82" s="1073">
        <f t="shared" si="6"/>
        <v>791069749</v>
      </c>
      <c r="S82" s="1073">
        <f t="shared" si="6"/>
        <v>2119789470</v>
      </c>
      <c r="T82" s="1073">
        <f t="shared" si="6"/>
        <v>226810781</v>
      </c>
      <c r="U82" s="1073">
        <f t="shared" si="6"/>
        <v>1146832000</v>
      </c>
      <c r="V82" s="1073">
        <f t="shared" si="6"/>
        <v>746146689</v>
      </c>
      <c r="W82" s="1073">
        <f t="shared" si="6"/>
        <v>2149440473</v>
      </c>
      <c r="X82" s="1073">
        <f t="shared" si="6"/>
        <v>230212944</v>
      </c>
      <c r="Y82" s="1073">
        <f t="shared" si="6"/>
        <v>1146877000</v>
      </c>
      <c r="Z82" s="1073">
        <f t="shared" si="6"/>
        <v>772350529</v>
      </c>
    </row>
    <row r="83" spans="1:26" ht="13.5" thickTop="1" x14ac:dyDescent="0.2"/>
  </sheetData>
  <sheetProtection selectLockedCells="1"/>
  <mergeCells count="11">
    <mergeCell ref="G4:J4"/>
    <mergeCell ref="A82:B82"/>
    <mergeCell ref="A1:Z1"/>
    <mergeCell ref="O3:R4"/>
    <mergeCell ref="S3:V4"/>
    <mergeCell ref="W3:Z4"/>
    <mergeCell ref="K4:N4"/>
    <mergeCell ref="G3:J3"/>
    <mergeCell ref="K3:N3"/>
    <mergeCell ref="C3:F3"/>
    <mergeCell ref="C4:F4"/>
  </mergeCells>
  <pageMargins left="0.25" right="0.25" top="0.75" bottom="0.75" header="0.3" footer="0.3"/>
  <pageSetup paperSize="9" scale="38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1" manualBreakCount="1">
    <brk id="159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tabColor rgb="FF92D050"/>
  </sheetPr>
  <dimension ref="A1:J31"/>
  <sheetViews>
    <sheetView showGridLines="0" workbookViewId="0">
      <selection activeCell="M7" sqref="M7"/>
    </sheetView>
  </sheetViews>
  <sheetFormatPr defaultColWidth="4.140625" defaultRowHeight="12.75" x14ac:dyDescent="0.2"/>
  <cols>
    <col min="1" max="1" width="4.140625" style="101"/>
    <col min="2" max="2" width="5.7109375" style="101" bestFit="1" customWidth="1"/>
    <col min="3" max="3" width="24.28515625" style="101" customWidth="1"/>
    <col min="4" max="4" width="60.140625" style="101" customWidth="1"/>
    <col min="5" max="6" width="7.85546875" style="101" customWidth="1"/>
    <col min="7" max="9" width="8" style="101" customWidth="1"/>
    <col min="10" max="10" width="8.42578125" style="101" customWidth="1"/>
    <col min="11" max="202" width="11.5703125" style="101" customWidth="1"/>
    <col min="203" max="203" width="3.85546875" style="101" customWidth="1"/>
    <col min="204" max="204" width="22" style="101" customWidth="1"/>
    <col min="205" max="207" width="4.140625" style="101" customWidth="1"/>
    <col min="208" max="208" width="5.85546875" style="101" customWidth="1"/>
    <col min="209" max="209" width="4.140625" style="101" customWidth="1"/>
    <col min="210" max="210" width="0.85546875" style="101" customWidth="1"/>
    <col min="211" max="211" width="5.85546875" style="101" customWidth="1"/>
    <col min="212" max="212" width="4.140625" style="101" customWidth="1"/>
    <col min="213" max="213" width="0.85546875" style="101" customWidth="1"/>
    <col min="214" max="214" width="5.85546875" style="101" customWidth="1"/>
    <col min="215" max="215" width="4.140625" style="101" customWidth="1"/>
    <col min="216" max="216" width="0.85546875" style="101" customWidth="1"/>
    <col min="217" max="217" width="5.85546875" style="101" customWidth="1"/>
    <col min="218" max="16384" width="4.140625" style="101"/>
  </cols>
  <sheetData>
    <row r="1" spans="1:10" s="212" customFormat="1" ht="21" x14ac:dyDescent="0.25">
      <c r="A1" s="1127" t="str">
        <f>'(G1) Fjalori'!A428</f>
        <v>(F5) GRAFIKU I SHPENZIMEVE SIPAS NËNFUNKSIONIT - VLERA NETO</v>
      </c>
      <c r="B1" s="1128"/>
      <c r="C1" s="1128"/>
      <c r="D1" s="1128"/>
      <c r="E1" s="1128"/>
      <c r="F1" s="1128"/>
      <c r="G1" s="1128"/>
      <c r="H1" s="1128"/>
      <c r="I1" s="1128"/>
      <c r="J1" s="1129"/>
    </row>
    <row r="2" spans="1:10" s="95" customFormat="1" ht="12.75" customHeight="1" thickBot="1" x14ac:dyDescent="0.25">
      <c r="I2" s="96"/>
    </row>
    <row r="3" spans="1:10" ht="15" customHeight="1" thickBot="1" x14ac:dyDescent="0.25">
      <c r="D3" s="226">
        <f>'(A1) Titulli'!B39</f>
        <v>2019</v>
      </c>
      <c r="E3" s="226">
        <f>'(A1) Titulli'!B40</f>
        <v>2020</v>
      </c>
      <c r="F3" s="226">
        <f>'(A1) Titulli'!B41</f>
        <v>2021</v>
      </c>
      <c r="G3" s="227">
        <f>'(A1) Titulli'!B42</f>
        <v>2022</v>
      </c>
      <c r="H3" s="227">
        <f>'(A1) Titulli'!B43</f>
        <v>2023</v>
      </c>
      <c r="I3" s="227">
        <f>'(A1) Titulli'!B44</f>
        <v>2024</v>
      </c>
    </row>
    <row r="4" spans="1:10" ht="15" customHeight="1" thickBot="1" x14ac:dyDescent="0.25">
      <c r="B4" s="151" t="s">
        <v>63</v>
      </c>
      <c r="C4" s="151" t="str">
        <f>' (F4)Shpenzimet sipas nenf.neto'!B6</f>
        <v>011 Organet ekzekutive dhe legjislative, për çështjet financiare dhe fiskale, çështjet e brendshme</v>
      </c>
      <c r="D4" s="149">
        <f>' (F4)Shpenzimet sipas nenf.neto'!F6</f>
        <v>61712979</v>
      </c>
      <c r="E4" s="149">
        <f>' (F4)Shpenzimet sipas nenf.neto'!J6</f>
        <v>290303420</v>
      </c>
      <c r="F4" s="150">
        <f>' (F4)Shpenzimet sipas nenf.neto'!N6</f>
        <v>79327198</v>
      </c>
      <c r="G4" s="149">
        <f>' (F4)Shpenzimet sipas nenf.neto'!R6</f>
        <v>370728688</v>
      </c>
      <c r="H4" s="149">
        <f>' (F4)Shpenzimet sipas nenf.neto'!V6</f>
        <v>312184860</v>
      </c>
      <c r="I4" s="149">
        <f>' (F4)Shpenzimet sipas nenf.neto'!Z6</f>
        <v>311545283</v>
      </c>
    </row>
    <row r="5" spans="1:10" ht="11.25" customHeight="1" thickBot="1" x14ac:dyDescent="0.25">
      <c r="B5" s="151" t="s">
        <v>64</v>
      </c>
      <c r="C5" s="151" t="str">
        <f>' (F4)Shpenzimet sipas nenf.neto'!B10</f>
        <v>017 Shërbime të  huamarrjes vendore</v>
      </c>
      <c r="D5" s="149">
        <f>' (F4)Shpenzimet sipas nenf.neto'!F10</f>
        <v>4415703</v>
      </c>
      <c r="E5" s="149">
        <f>' (F4)Shpenzimet sipas nenf.neto'!J10</f>
        <v>5108041</v>
      </c>
      <c r="F5" s="150">
        <f>' (F4)Shpenzimet sipas nenf.neto'!N10</f>
        <v>900000</v>
      </c>
      <c r="G5" s="149">
        <f>' (F4)Shpenzimet sipas nenf.neto'!R10</f>
        <v>0</v>
      </c>
      <c r="H5" s="149">
        <f>' (F4)Shpenzimet sipas nenf.neto'!V10</f>
        <v>0</v>
      </c>
      <c r="I5" s="149">
        <f>' (F4)Shpenzimet sipas nenf.neto'!Z10</f>
        <v>0</v>
      </c>
    </row>
    <row r="6" spans="1:10" ht="11.25" customHeight="1" thickBot="1" x14ac:dyDescent="0.25">
      <c r="B6" s="151" t="s">
        <v>65</v>
      </c>
      <c r="C6" s="151" t="str">
        <f>' (F4)Shpenzimet sipas nenf.neto'!B14</f>
        <v>031 Shërbimet Policore</v>
      </c>
      <c r="D6" s="149">
        <f>' (F4)Shpenzimet sipas nenf.neto'!F14</f>
        <v>0</v>
      </c>
      <c r="E6" s="149">
        <f>' (F4)Shpenzimet sipas nenf.neto'!J14</f>
        <v>0</v>
      </c>
      <c r="F6" s="150">
        <f>' (F4)Shpenzimet sipas nenf.neto'!N14</f>
        <v>0</v>
      </c>
      <c r="G6" s="149">
        <f>' (F4)Shpenzimet sipas nenf.neto'!R14</f>
        <v>0</v>
      </c>
      <c r="H6" s="149">
        <f>' (F4)Shpenzimet sipas nenf.neto'!V14</f>
        <v>0</v>
      </c>
      <c r="I6" s="149">
        <f>' (F4)Shpenzimet sipas nenf.neto'!Z14</f>
        <v>0</v>
      </c>
    </row>
    <row r="7" spans="1:10" ht="11.25" customHeight="1" thickBot="1" x14ac:dyDescent="0.25">
      <c r="B7" s="151" t="s">
        <v>221</v>
      </c>
      <c r="C7" s="151" t="str">
        <f>' (F4)Shpenzimet sipas nenf.neto'!B16</f>
        <v>032 Shërbimet e mbrojtjes ndaj zjarrit</v>
      </c>
      <c r="D7" s="149">
        <f>' (F4)Shpenzimet sipas nenf.neto'!F16</f>
        <v>-6478126</v>
      </c>
      <c r="E7" s="149">
        <f>' (F4)Shpenzimet sipas nenf.neto'!J16</f>
        <v>-6763802</v>
      </c>
      <c r="F7" s="150">
        <f>' (F4)Shpenzimet sipas nenf.neto'!N16</f>
        <v>6314534</v>
      </c>
      <c r="G7" s="149">
        <f>' (F4)Shpenzimet sipas nenf.neto'!R16</f>
        <v>3347650</v>
      </c>
      <c r="H7" s="149">
        <f>' (F4)Shpenzimet sipas nenf.neto'!V16</f>
        <v>3347650</v>
      </c>
      <c r="I7" s="149">
        <f>' (F4)Shpenzimet sipas nenf.neto'!Z16</f>
        <v>3347650</v>
      </c>
    </row>
    <row r="8" spans="1:10" ht="11.25" customHeight="1" thickBot="1" x14ac:dyDescent="0.25">
      <c r="B8" s="151" t="s">
        <v>66</v>
      </c>
      <c r="C8" s="151" t="str">
        <f>' (F4)Shpenzimet sipas nenf.neto'!B18</f>
        <v>036 Marrdheniet me komunitetin</v>
      </c>
      <c r="D8" s="149">
        <f>' (F4)Shpenzimet sipas nenf.neto'!F18</f>
        <v>0</v>
      </c>
      <c r="E8" s="149">
        <f>' (F4)Shpenzimet sipas nenf.neto'!J18</f>
        <v>0</v>
      </c>
      <c r="F8" s="150">
        <f>' (F4)Shpenzimet sipas nenf.neto'!N18</f>
        <v>0</v>
      </c>
      <c r="G8" s="149">
        <f>' (F4)Shpenzimet sipas nenf.neto'!R18</f>
        <v>0</v>
      </c>
      <c r="H8" s="149">
        <f>' (F4)Shpenzimet sipas nenf.neto'!V18</f>
        <v>0</v>
      </c>
      <c r="I8" s="149">
        <f>' (F4)Shpenzimet sipas nenf.neto'!Z18</f>
        <v>0</v>
      </c>
    </row>
    <row r="9" spans="1:10" ht="11.25" customHeight="1" thickBot="1" x14ac:dyDescent="0.25">
      <c r="B9" s="151" t="s">
        <v>67</v>
      </c>
      <c r="C9" s="151" t="str">
        <f>' (F4)Shpenzimet sipas nenf.neto'!B20</f>
        <v>041 Çështjet e përgjithshme ekonomike, tregtare dhe të punës</v>
      </c>
      <c r="D9" s="149">
        <f>' (F4)Shpenzimet sipas nenf.neto'!F20</f>
        <v>-82041</v>
      </c>
      <c r="E9" s="149">
        <f>' (F4)Shpenzimet sipas nenf.neto'!J20</f>
        <v>-71640</v>
      </c>
      <c r="F9" s="150">
        <f>' (F4)Shpenzimet sipas nenf.neto'!N20</f>
        <v>0</v>
      </c>
      <c r="G9" s="149">
        <f>' (F4)Shpenzimet sipas nenf.neto'!R20</f>
        <v>0</v>
      </c>
      <c r="H9" s="149">
        <f>' (F4)Shpenzimet sipas nenf.neto'!V20</f>
        <v>0</v>
      </c>
      <c r="I9" s="149">
        <f>' (F4)Shpenzimet sipas nenf.neto'!Z20</f>
        <v>0</v>
      </c>
    </row>
    <row r="10" spans="1:10" ht="11.25" customHeight="1" thickBot="1" x14ac:dyDescent="0.25">
      <c r="B10" s="151" t="s">
        <v>68</v>
      </c>
      <c r="C10" s="151" t="str">
        <f>' (F4)Shpenzimet sipas nenf.neto'!B25</f>
        <v>042 Bujqësia, pyjet, peshkimi dhe gjuetia</v>
      </c>
      <c r="D10" s="149">
        <f>' (F4)Shpenzimet sipas nenf.neto'!F25</f>
        <v>-17252704</v>
      </c>
      <c r="E10" s="149">
        <f>' (F4)Shpenzimet sipas nenf.neto'!J25</f>
        <v>4318678</v>
      </c>
      <c r="F10" s="150">
        <f>' (F4)Shpenzimet sipas nenf.neto'!N25</f>
        <v>24912489</v>
      </c>
      <c r="G10" s="149">
        <f>' (F4)Shpenzimet sipas nenf.neto'!R25</f>
        <v>18906600</v>
      </c>
      <c r="H10" s="149">
        <f>' (F4)Shpenzimet sipas nenf.neto'!V25</f>
        <v>20738460</v>
      </c>
      <c r="I10" s="149">
        <f>' (F4)Shpenzimet sipas nenf.neto'!Z25</f>
        <v>22611240</v>
      </c>
    </row>
    <row r="11" spans="1:10" ht="11.25" customHeight="1" thickBot="1" x14ac:dyDescent="0.25">
      <c r="B11" s="151" t="s">
        <v>69</v>
      </c>
      <c r="C11" s="151" t="str">
        <f>' (F4)Shpenzimet sipas nenf.neto'!B30</f>
        <v>045 Trasporti</v>
      </c>
      <c r="D11" s="149">
        <f>' (F4)Shpenzimet sipas nenf.neto'!F30</f>
        <v>183207764</v>
      </c>
      <c r="E11" s="149">
        <f>' (F4)Shpenzimet sipas nenf.neto'!J30</f>
        <v>20657767</v>
      </c>
      <c r="F11" s="150">
        <f>' (F4)Shpenzimet sipas nenf.neto'!N30</f>
        <v>150619899</v>
      </c>
      <c r="G11" s="149">
        <f>' (F4)Shpenzimet sipas nenf.neto'!R30</f>
        <v>185242310</v>
      </c>
      <c r="H11" s="149">
        <f>' (F4)Shpenzimet sipas nenf.neto'!V30</f>
        <v>188159000</v>
      </c>
      <c r="I11" s="149">
        <f>' (F4)Shpenzimet sipas nenf.neto'!Z30</f>
        <v>194151600</v>
      </c>
    </row>
    <row r="12" spans="1:10" ht="11.25" customHeight="1" thickBot="1" x14ac:dyDescent="0.25">
      <c r="B12" s="151" t="s">
        <v>70</v>
      </c>
      <c r="C12" s="151" t="str">
        <f>' (F4)Shpenzimet sipas nenf.neto'!B34</f>
        <v>047 Industri të tjera</v>
      </c>
      <c r="D12" s="149">
        <f>' (F4)Shpenzimet sipas nenf.neto'!F34</f>
        <v>0</v>
      </c>
      <c r="E12" s="149">
        <f>' (F4)Shpenzimet sipas nenf.neto'!J34</f>
        <v>0</v>
      </c>
      <c r="F12" s="150">
        <f>' (F4)Shpenzimet sipas nenf.neto'!N34</f>
        <v>0</v>
      </c>
      <c r="G12" s="149">
        <f>' (F4)Shpenzimet sipas nenf.neto'!R34</f>
        <v>0</v>
      </c>
      <c r="H12" s="149">
        <f>' (F4)Shpenzimet sipas nenf.neto'!V34</f>
        <v>0</v>
      </c>
      <c r="I12" s="149">
        <f>' (F4)Shpenzimet sipas nenf.neto'!Z34</f>
        <v>0</v>
      </c>
    </row>
    <row r="13" spans="1:10" ht="11.25" customHeight="1" thickBot="1" x14ac:dyDescent="0.25">
      <c r="B13" s="151" t="s">
        <v>71</v>
      </c>
      <c r="C13" s="151" t="str">
        <f>' (F4)Shpenzimet sipas nenf.neto'!B37</f>
        <v>062 Menaxhimi i i mbetjeve</v>
      </c>
      <c r="D13" s="149">
        <f>' (F4)Shpenzimet sipas nenf.neto'!F37</f>
        <v>-37298791</v>
      </c>
      <c r="E13" s="149">
        <f>' (F4)Shpenzimet sipas nenf.neto'!J37</f>
        <v>28151146</v>
      </c>
      <c r="F13" s="150">
        <f>' (F4)Shpenzimet sipas nenf.neto'!N37</f>
        <v>17288286</v>
      </c>
      <c r="G13" s="149">
        <f>' (F4)Shpenzimet sipas nenf.neto'!R37</f>
        <v>27653625</v>
      </c>
      <c r="H13" s="149">
        <f>' (F4)Shpenzimet sipas nenf.neto'!V37</f>
        <v>25818430</v>
      </c>
      <c r="I13" s="149">
        <f>' (F4)Shpenzimet sipas nenf.neto'!Z37</f>
        <v>23955706</v>
      </c>
    </row>
    <row r="14" spans="1:10" ht="11.25" customHeight="1" thickBot="1" x14ac:dyDescent="0.25">
      <c r="B14" s="151" t="s">
        <v>72</v>
      </c>
      <c r="C14" s="151" t="str">
        <f>' (F4)Shpenzimet sipas nenf.neto'!B39</f>
        <v>052 Menaxhimi i ujrave të zeza</v>
      </c>
      <c r="D14" s="149">
        <f>' (F4)Shpenzimet sipas nenf.neto'!F39</f>
        <v>0</v>
      </c>
      <c r="E14" s="149">
        <f>' (F4)Shpenzimet sipas nenf.neto'!J39</f>
        <v>0</v>
      </c>
      <c r="F14" s="150">
        <f>' (F4)Shpenzimet sipas nenf.neto'!N39</f>
        <v>0</v>
      </c>
      <c r="G14" s="149">
        <f>' (F4)Shpenzimet sipas nenf.neto'!R39</f>
        <v>0</v>
      </c>
      <c r="H14" s="149">
        <f>' (F4)Shpenzimet sipas nenf.neto'!V39</f>
        <v>0</v>
      </c>
      <c r="I14" s="149">
        <f>' (F4)Shpenzimet sipas nenf.neto'!Z39</f>
        <v>0</v>
      </c>
    </row>
    <row r="15" spans="1:10" ht="11.25" customHeight="1" thickBot="1" x14ac:dyDescent="0.25">
      <c r="B15" s="151" t="s">
        <v>73</v>
      </c>
      <c r="C15" s="151" t="str">
        <f>' (F4)Shpenzimet sipas nenf.neto'!B41</f>
        <v>053 Reduktimi i ndotjes</v>
      </c>
      <c r="D15" s="149">
        <f>' (F4)Shpenzimet sipas nenf.neto'!F41</f>
        <v>0</v>
      </c>
      <c r="E15" s="149">
        <f>' (F4)Shpenzimet sipas nenf.neto'!J41</f>
        <v>0</v>
      </c>
      <c r="F15" s="150">
        <f>' (F4)Shpenzimet sipas nenf.neto'!N41</f>
        <v>0</v>
      </c>
      <c r="G15" s="149">
        <f>' (F4)Shpenzimet sipas nenf.neto'!R41</f>
        <v>0</v>
      </c>
      <c r="H15" s="149">
        <f>' (F4)Shpenzimet sipas nenf.neto'!V41</f>
        <v>0</v>
      </c>
      <c r="I15" s="149">
        <f>' (F4)Shpenzimet sipas nenf.neto'!Z41</f>
        <v>0</v>
      </c>
    </row>
    <row r="16" spans="1:10" ht="11.25" customHeight="1" thickBot="1" x14ac:dyDescent="0.25">
      <c r="B16" s="151" t="s">
        <v>74</v>
      </c>
      <c r="C16" s="151" t="str">
        <f>' (F4)Shpenzimet sipas nenf.neto'!B43</f>
        <v>056 Mbrojtja e mjedisit</v>
      </c>
      <c r="D16" s="149">
        <f>' (F4)Shpenzimet sipas nenf.neto'!F43</f>
        <v>0</v>
      </c>
      <c r="E16" s="149">
        <f>' (F4)Shpenzimet sipas nenf.neto'!J43</f>
        <v>0</v>
      </c>
      <c r="F16" s="150">
        <f>' (F4)Shpenzimet sipas nenf.neto'!N43</f>
        <v>0</v>
      </c>
      <c r="G16" s="149">
        <f>' (F4)Shpenzimet sipas nenf.neto'!R43</f>
        <v>0</v>
      </c>
      <c r="H16" s="149">
        <f>' (F4)Shpenzimet sipas nenf.neto'!V43</f>
        <v>0</v>
      </c>
      <c r="I16" s="149">
        <f>' (F4)Shpenzimet sipas nenf.neto'!Z43</f>
        <v>0</v>
      </c>
    </row>
    <row r="17" spans="2:9" ht="15" customHeight="1" thickBot="1" x14ac:dyDescent="0.25">
      <c r="B17" s="151" t="s">
        <v>75</v>
      </c>
      <c r="C17" s="151" t="str">
        <f>' (F4)Shpenzimet sipas nenf.neto'!B46</f>
        <v>061 Urbanistika</v>
      </c>
      <c r="D17" s="149">
        <f>' (F4)Shpenzimet sipas nenf.neto'!F46</f>
        <v>-26349394</v>
      </c>
      <c r="E17" s="149">
        <f>' (F4)Shpenzimet sipas nenf.neto'!J46</f>
        <v>1379258</v>
      </c>
      <c r="F17" s="150">
        <f>' (F4)Shpenzimet sipas nenf.neto'!N46</f>
        <v>-50512445</v>
      </c>
      <c r="G17" s="149">
        <f>' (F4)Shpenzimet sipas nenf.neto'!R46</f>
        <v>0</v>
      </c>
      <c r="H17" s="149">
        <f>' (F4)Shpenzimet sipas nenf.neto'!V46</f>
        <v>0</v>
      </c>
      <c r="I17" s="149">
        <f>' (F4)Shpenzimet sipas nenf.neto'!Z46</f>
        <v>0</v>
      </c>
    </row>
    <row r="18" spans="2:9" ht="15" customHeight="1" thickBot="1" x14ac:dyDescent="0.25">
      <c r="B18" s="151" t="s">
        <v>76</v>
      </c>
      <c r="C18" s="151" t="str">
        <f>' (F4)Shpenzimet sipas nenf.neto'!B49</f>
        <v>062 Zhvillimi i komunitetit</v>
      </c>
      <c r="D18" s="149">
        <f>' (F4)Shpenzimet sipas nenf.neto'!F49</f>
        <v>6568834</v>
      </c>
      <c r="E18" s="149">
        <f>' (F4)Shpenzimet sipas nenf.neto'!J49</f>
        <v>29138856</v>
      </c>
      <c r="F18" s="150">
        <f>' (F4)Shpenzimet sipas nenf.neto'!N49</f>
        <v>118698859</v>
      </c>
      <c r="G18" s="149">
        <f>' (F4)Shpenzimet sipas nenf.neto'!R49</f>
        <v>26640261</v>
      </c>
      <c r="H18" s="149">
        <f>' (F4)Shpenzimet sipas nenf.neto'!V49</f>
        <v>29100872</v>
      </c>
      <c r="I18" s="149">
        <f>' (F4)Shpenzimet sipas nenf.neto'!Z49</f>
        <v>31839640</v>
      </c>
    </row>
    <row r="19" spans="2:9" ht="15" customHeight="1" thickBot="1" x14ac:dyDescent="0.25">
      <c r="B19" s="151" t="s">
        <v>222</v>
      </c>
      <c r="C19" s="151" t="str">
        <f>' (F4)Shpenzimet sipas nenf.neto'!B52</f>
        <v>063 Furnizimi me ujë</v>
      </c>
      <c r="D19" s="149">
        <f>' (F4)Shpenzimet sipas nenf.neto'!F52</f>
        <v>11999999</v>
      </c>
      <c r="E19" s="149">
        <f>' (F4)Shpenzimet sipas nenf.neto'!J52</f>
        <v>272714</v>
      </c>
      <c r="F19" s="150">
        <f>' (F4)Shpenzimet sipas nenf.neto'!N52</f>
        <v>59359820</v>
      </c>
      <c r="G19" s="149">
        <f>' (F4)Shpenzimet sipas nenf.neto'!R52</f>
        <v>0</v>
      </c>
      <c r="H19" s="149">
        <f>' (F4)Shpenzimet sipas nenf.neto'!V52</f>
        <v>0</v>
      </c>
      <c r="I19" s="149">
        <f>' (F4)Shpenzimet sipas nenf.neto'!Z52</f>
        <v>0</v>
      </c>
    </row>
    <row r="20" spans="2:9" ht="15" customHeight="1" thickBot="1" x14ac:dyDescent="0.25">
      <c r="B20" s="151" t="s">
        <v>345</v>
      </c>
      <c r="C20" s="151" t="str">
        <f>' (F4)Shpenzimet sipas nenf.neto'!B54</f>
        <v>064 Ndriçimi i rrugëve</v>
      </c>
      <c r="D20" s="149">
        <f>' (F4)Shpenzimet sipas nenf.neto'!F54</f>
        <v>-680801</v>
      </c>
      <c r="E20" s="149">
        <f>' (F4)Shpenzimet sipas nenf.neto'!J54</f>
        <v>2306709</v>
      </c>
      <c r="F20" s="150">
        <f>' (F4)Shpenzimet sipas nenf.neto'!N54</f>
        <v>-3060000</v>
      </c>
      <c r="G20" s="149">
        <f>' (F4)Shpenzimet sipas nenf.neto'!R54</f>
        <v>8320115</v>
      </c>
      <c r="H20" s="149">
        <f>' (F4)Shpenzimet sipas nenf.neto'!V54</f>
        <v>8792917</v>
      </c>
      <c r="I20" s="149">
        <f>' (F4)Shpenzimet sipas nenf.neto'!Z54</f>
        <v>19259310</v>
      </c>
    </row>
    <row r="21" spans="2:9" ht="15" customHeight="1" thickBot="1" x14ac:dyDescent="0.25">
      <c r="B21" s="151" t="s">
        <v>346</v>
      </c>
      <c r="C21" s="151" t="str">
        <f>' (F4)Shpenzimet sipas nenf.neto'!B56</f>
        <v xml:space="preserve">072 Shërbimet e kujdesit parësor </v>
      </c>
      <c r="D21" s="149">
        <f>' (F4)Shpenzimet sipas nenf.neto'!F56</f>
        <v>0</v>
      </c>
      <c r="E21" s="149">
        <f>' (F4)Shpenzimet sipas nenf.neto'!J56</f>
        <v>0</v>
      </c>
      <c r="F21" s="150">
        <f>' (F4)Shpenzimet sipas nenf.neto'!N56</f>
        <v>0</v>
      </c>
      <c r="G21" s="149">
        <f>' (F4)Shpenzimet sipas nenf.neto'!R56</f>
        <v>0</v>
      </c>
      <c r="H21" s="149">
        <f>' (F4)Shpenzimet sipas nenf.neto'!V56</f>
        <v>0</v>
      </c>
      <c r="I21" s="149">
        <f>' (F4)Shpenzimet sipas nenf.neto'!Z56</f>
        <v>0</v>
      </c>
    </row>
    <row r="22" spans="2:9" ht="15" customHeight="1" thickBot="1" x14ac:dyDescent="0.25">
      <c r="B22" s="151" t="s">
        <v>347</v>
      </c>
      <c r="C22" s="151" t="str">
        <f>' (F4)Shpenzimet sipas nenf.neto'!B58</f>
        <v>081 Shërbimet rekreative dhe sportive</v>
      </c>
      <c r="D22" s="149">
        <f>' (F4)Shpenzimet sipas nenf.neto'!F58</f>
        <v>24095664</v>
      </c>
      <c r="E22" s="149">
        <f>' (F4)Shpenzimet sipas nenf.neto'!J58</f>
        <v>10765948</v>
      </c>
      <c r="F22" s="150">
        <f>' (F4)Shpenzimet sipas nenf.neto'!N58</f>
        <v>20414388</v>
      </c>
      <c r="G22" s="149">
        <f>' (F4)Shpenzimet sipas nenf.neto'!R58</f>
        <v>15705000</v>
      </c>
      <c r="H22" s="149">
        <f>' (F4)Shpenzimet sipas nenf.neto'!V58</f>
        <v>16795000</v>
      </c>
      <c r="I22" s="149">
        <f>' (F4)Shpenzimet sipas nenf.neto'!Z58</f>
        <v>17368600</v>
      </c>
    </row>
    <row r="23" spans="2:9" ht="15" customHeight="1" thickBot="1" x14ac:dyDescent="0.25">
      <c r="B23" s="151" t="s">
        <v>348</v>
      </c>
      <c r="C23" s="151" t="str">
        <f>' (F4)Shpenzimet sipas nenf.neto'!B61</f>
        <v>082 Shërbimet kulturore</v>
      </c>
      <c r="D23" s="149">
        <f>' (F4)Shpenzimet sipas nenf.neto'!F61</f>
        <v>761183</v>
      </c>
      <c r="E23" s="149">
        <f>' (F4)Shpenzimet sipas nenf.neto'!J61</f>
        <v>17369102</v>
      </c>
      <c r="F23" s="150">
        <f>' (F4)Shpenzimet sipas nenf.neto'!N61</f>
        <v>35466037</v>
      </c>
      <c r="G23" s="149">
        <f>' (F4)Shpenzimet sipas nenf.neto'!R61</f>
        <v>34798500</v>
      </c>
      <c r="H23" s="149">
        <f>' (F4)Shpenzimet sipas nenf.neto'!V61</f>
        <v>34848500</v>
      </c>
      <c r="I23" s="149">
        <f>' (F4)Shpenzimet sipas nenf.neto'!Z61</f>
        <v>34858500</v>
      </c>
    </row>
    <row r="24" spans="2:9" ht="15" customHeight="1" thickBot="1" x14ac:dyDescent="0.25">
      <c r="B24" s="151" t="s">
        <v>349</v>
      </c>
      <c r="C24" s="151" t="str">
        <f>' (F4)Shpenzimet sipas nenf.neto'!B65</f>
        <v>091 Arsimi bazë dhe parashkollor</v>
      </c>
      <c r="D24" s="149">
        <f>' (F4)Shpenzimet sipas nenf.neto'!F65</f>
        <v>37753972</v>
      </c>
      <c r="E24" s="149">
        <f>' (F4)Shpenzimet sipas nenf.neto'!J65</f>
        <v>35764463</v>
      </c>
      <c r="F24" s="150">
        <f>' (F4)Shpenzimet sipas nenf.neto'!N65</f>
        <v>74356627</v>
      </c>
      <c r="G24" s="149">
        <f>' (F4)Shpenzimet sipas nenf.neto'!R65</f>
        <v>85659000</v>
      </c>
      <c r="H24" s="149">
        <f>' (F4)Shpenzimet sipas nenf.neto'!V65</f>
        <v>91998000</v>
      </c>
      <c r="I24" s="149">
        <f>' (F4)Shpenzimet sipas nenf.neto'!Z65</f>
        <v>98745000</v>
      </c>
    </row>
    <row r="25" spans="2:9" ht="15" customHeight="1" thickBot="1" x14ac:dyDescent="0.25">
      <c r="B25" s="151" t="s">
        <v>350</v>
      </c>
      <c r="C25" s="151" t="str">
        <f>' (F4)Shpenzimet sipas nenf.neto'!B67</f>
        <v>092 Arsimi  parauniversitar</v>
      </c>
      <c r="D25" s="149">
        <f>' (F4)Shpenzimet sipas nenf.neto'!F67</f>
        <v>18720794</v>
      </c>
      <c r="E25" s="149">
        <f>' (F4)Shpenzimet sipas nenf.neto'!J67</f>
        <v>30654651</v>
      </c>
      <c r="F25" s="150">
        <f>' (F4)Shpenzimet sipas nenf.neto'!N67</f>
        <v>13744569</v>
      </c>
      <c r="G25" s="149">
        <f>' (F4)Shpenzimet sipas nenf.neto'!R67</f>
        <v>287000</v>
      </c>
      <c r="H25" s="149">
        <f>' (F4)Shpenzimet sipas nenf.neto'!V67</f>
        <v>582000</v>
      </c>
      <c r="I25" s="149">
        <f>' (F4)Shpenzimet sipas nenf.neto'!Z67</f>
        <v>887000</v>
      </c>
    </row>
    <row r="26" spans="2:9" ht="15" customHeight="1" thickBot="1" x14ac:dyDescent="0.25">
      <c r="B26" s="151" t="s">
        <v>351</v>
      </c>
      <c r="C26" s="151" t="str">
        <f>' (F4)Shpenzimet sipas nenf.neto'!B71</f>
        <v>101 Sëmundje dhe paaftësi</v>
      </c>
      <c r="D26" s="149">
        <f>' (F4)Shpenzimet sipas nenf.neto'!F71</f>
        <v>0</v>
      </c>
      <c r="E26" s="149">
        <f>' (F4)Shpenzimet sipas nenf.neto'!J71</f>
        <v>0</v>
      </c>
      <c r="F26" s="150">
        <f>' (F4)Shpenzimet sipas nenf.neto'!N71</f>
        <v>0</v>
      </c>
      <c r="G26" s="149">
        <f>' (F4)Shpenzimet sipas nenf.neto'!R71</f>
        <v>0</v>
      </c>
      <c r="H26" s="149">
        <f>' (F4)Shpenzimet sipas nenf.neto'!V71</f>
        <v>0</v>
      </c>
      <c r="I26" s="149">
        <f>' (F4)Shpenzimet sipas nenf.neto'!Z71</f>
        <v>0</v>
      </c>
    </row>
    <row r="27" spans="2:9" ht="15" customHeight="1" thickBot="1" x14ac:dyDescent="0.25">
      <c r="B27" s="151" t="s">
        <v>352</v>
      </c>
      <c r="C27" s="151" t="str">
        <f>' (F4)Shpenzimet sipas nenf.neto'!B73</f>
        <v>102 Të moshuarit</v>
      </c>
      <c r="D27" s="149">
        <f>' (F4)Shpenzimet sipas nenf.neto'!F73</f>
        <v>0</v>
      </c>
      <c r="E27" s="149">
        <f>' (F4)Shpenzimet sipas nenf.neto'!J73</f>
        <v>0</v>
      </c>
      <c r="F27" s="150">
        <f>' (F4)Shpenzimet sipas nenf.neto'!N73</f>
        <v>0</v>
      </c>
      <c r="G27" s="149">
        <f>' (F4)Shpenzimet sipas nenf.neto'!R73</f>
        <v>0</v>
      </c>
      <c r="H27" s="149">
        <f>' (F4)Shpenzimet sipas nenf.neto'!V73</f>
        <v>0</v>
      </c>
      <c r="I27" s="149">
        <f>' (F4)Shpenzimet sipas nenf.neto'!Z73</f>
        <v>0</v>
      </c>
    </row>
    <row r="28" spans="2:9" ht="15" customHeight="1" thickBot="1" x14ac:dyDescent="0.25">
      <c r="B28" s="151" t="s">
        <v>353</v>
      </c>
      <c r="C28" s="151" t="str">
        <f>' (F4)Shpenzimet sipas nenf.neto'!B75</f>
        <v>104 Familje dhe fëmijë</v>
      </c>
      <c r="D28" s="149">
        <f>' (F4)Shpenzimet sipas nenf.neto'!F75</f>
        <v>3265002</v>
      </c>
      <c r="E28" s="149">
        <f>' (F4)Shpenzimet sipas nenf.neto'!J75</f>
        <v>5976172</v>
      </c>
      <c r="F28" s="150">
        <f>' (F4)Shpenzimet sipas nenf.neto'!N75</f>
        <v>6000927</v>
      </c>
      <c r="G28" s="149">
        <f>' (F4)Shpenzimet sipas nenf.neto'!R75</f>
        <v>13781000</v>
      </c>
      <c r="H28" s="149">
        <f>' (F4)Shpenzimet sipas nenf.neto'!V75</f>
        <v>13781000</v>
      </c>
      <c r="I28" s="149">
        <f>' (F4)Shpenzimet sipas nenf.neto'!Z75</f>
        <v>13781000</v>
      </c>
    </row>
    <row r="29" spans="2:9" ht="15" customHeight="1" thickBot="1" x14ac:dyDescent="0.25">
      <c r="B29" s="151" t="s">
        <v>354</v>
      </c>
      <c r="C29" s="151" t="str">
        <f>' (F4)Shpenzimet sipas nenf.neto'!B78</f>
        <v>105 Papunësia</v>
      </c>
      <c r="D29" s="149">
        <f>' (F4)Shpenzimet sipas nenf.neto'!F78</f>
        <v>0</v>
      </c>
      <c r="E29" s="149">
        <f>' (F4)Shpenzimet sipas nenf.neto'!J78</f>
        <v>0</v>
      </c>
      <c r="F29" s="150">
        <f>' (F4)Shpenzimet sipas nenf.neto'!N78</f>
        <v>0</v>
      </c>
      <c r="G29" s="149">
        <f>' (F4)Shpenzimet sipas nenf.neto'!R78</f>
        <v>0</v>
      </c>
      <c r="H29" s="149">
        <f>' (F4)Shpenzimet sipas nenf.neto'!V78</f>
        <v>0</v>
      </c>
      <c r="I29" s="149">
        <f>' (F4)Shpenzimet sipas nenf.neto'!Z78</f>
        <v>0</v>
      </c>
    </row>
    <row r="30" spans="2:9" ht="15" customHeight="1" thickBot="1" x14ac:dyDescent="0.25">
      <c r="B30" s="151" t="s">
        <v>355</v>
      </c>
      <c r="C30" s="151" t="str">
        <f>' (F4)Shpenzimet sipas nenf.neto'!B80</f>
        <v>106 Strehimi social</v>
      </c>
      <c r="D30" s="149">
        <f>' (F4)Shpenzimet sipas nenf.neto'!F80</f>
        <v>0</v>
      </c>
      <c r="E30" s="149">
        <f>' (F4)Shpenzimet sipas nenf.neto'!J80</f>
        <v>0</v>
      </c>
      <c r="F30" s="150">
        <f>' (F4)Shpenzimet sipas nenf.neto'!N80</f>
        <v>0</v>
      </c>
      <c r="G30" s="149">
        <f>' (F4)Shpenzimet sipas nenf.neto'!R80</f>
        <v>0</v>
      </c>
      <c r="H30" s="149">
        <f>' (F4)Shpenzimet sipas nenf.neto'!V80</f>
        <v>0</v>
      </c>
      <c r="I30" s="149">
        <f>' (F4)Shpenzimet sipas nenf.neto'!Z80</f>
        <v>0</v>
      </c>
    </row>
    <row r="31" spans="2:9" ht="15" customHeight="1" thickBot="1" x14ac:dyDescent="0.25">
      <c r="B31" s="1452" t="str">
        <f>'(G1) Fjalori'!A426:B426</f>
        <v>Total</v>
      </c>
      <c r="C31" s="1453"/>
      <c r="D31" s="152">
        <f t="shared" ref="D31:I31" si="0">SUM(D4:D30)</f>
        <v>264360037</v>
      </c>
      <c r="E31" s="152">
        <f t="shared" si="0"/>
        <v>475331483</v>
      </c>
      <c r="F31" s="152">
        <f t="shared" si="0"/>
        <v>553831188</v>
      </c>
      <c r="G31" s="152">
        <f t="shared" si="0"/>
        <v>791069749</v>
      </c>
      <c r="H31" s="152">
        <f t="shared" si="0"/>
        <v>746146689</v>
      </c>
      <c r="I31" s="152">
        <f t="shared" si="0"/>
        <v>772350529</v>
      </c>
    </row>
  </sheetData>
  <sheetProtection sheet="1" objects="1" scenarios="1" selectLockedCells="1"/>
  <mergeCells count="2">
    <mergeCell ref="B31:C31"/>
    <mergeCell ref="A1:J1"/>
  </mergeCells>
  <pageMargins left="0.78740157480314965" right="0.70866141732283472" top="0.98425196850393704" bottom="0.78740157480314965" header="0.43307086614173229" footer="0.31496062992125984"/>
  <pageSetup paperSize="9" scale="91" fitToWidth="0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1" manualBreakCount="1">
    <brk id="108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tabColor rgb="FF00B050"/>
    <pageSetUpPr fitToPage="1"/>
  </sheetPr>
  <dimension ref="A1:Q43"/>
  <sheetViews>
    <sheetView showGridLines="0" workbookViewId="0">
      <selection activeCell="A15" sqref="A15:XFD15"/>
    </sheetView>
  </sheetViews>
  <sheetFormatPr defaultColWidth="10.5703125" defaultRowHeight="12.75" x14ac:dyDescent="0.2"/>
  <cols>
    <col min="1" max="1" width="15" style="101" customWidth="1"/>
    <col min="2" max="2" width="47.42578125" style="101" customWidth="1"/>
    <col min="3" max="3" width="13.85546875" style="101" customWidth="1"/>
    <col min="4" max="4" width="13" style="101" customWidth="1"/>
    <col min="5" max="5" width="13.140625" style="101" customWidth="1" collapsed="1"/>
    <col min="6" max="6" width="12.42578125" style="101" customWidth="1"/>
    <col min="7" max="7" width="12.85546875" style="101" customWidth="1"/>
    <col min="8" max="8" width="12.140625" style="101" customWidth="1"/>
    <col min="9" max="9" width="13.5703125" style="101" customWidth="1"/>
    <col min="10" max="10" width="11.7109375" style="101" customWidth="1" collapsed="1"/>
    <col min="11" max="11" width="13.140625" style="101" customWidth="1"/>
    <col min="12" max="12" width="11.85546875" style="101" customWidth="1"/>
    <col min="13" max="13" width="12.85546875" style="101" customWidth="1"/>
    <col min="14" max="14" width="12" style="101" customWidth="1" collapsed="1"/>
    <col min="15" max="15" width="13.28515625" style="101" customWidth="1"/>
    <col min="16" max="16" width="11.7109375" style="101" customWidth="1"/>
    <col min="17" max="17" width="12.85546875" style="101" customWidth="1"/>
    <col min="18" max="16384" width="10.5703125" style="101"/>
  </cols>
  <sheetData>
    <row r="1" spans="1:17" s="212" customFormat="1" x14ac:dyDescent="0.25">
      <c r="A1" s="1454" t="str">
        <f>'(G1) Fjalori'!A430</f>
        <v>(F6) SHPENZIMET SIPAS FUNKSIONIT - VLERA BRUTO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455"/>
      <c r="M1" s="1455"/>
      <c r="N1" s="1455"/>
      <c r="O1" s="1455"/>
      <c r="P1" s="1455"/>
      <c r="Q1" s="1456"/>
    </row>
    <row r="2" spans="1:17" s="95" customFormat="1" ht="12.75" customHeight="1" x14ac:dyDescent="0.2">
      <c r="N2" s="96"/>
      <c r="O2" s="96"/>
      <c r="P2" s="96"/>
      <c r="Q2" s="96"/>
    </row>
    <row r="3" spans="1:17" ht="15" customHeight="1" x14ac:dyDescent="0.2">
      <c r="C3" s="1458">
        <f>'(B1)Informacion i përgjithshëm '!B5</f>
        <v>2019</v>
      </c>
      <c r="D3" s="1458">
        <f>'(B1)Informacion i përgjithshëm '!B6</f>
        <v>2020</v>
      </c>
      <c r="E3" s="1458">
        <f>'(B1)Informacion i përgjithshëm '!B7</f>
        <v>2021</v>
      </c>
      <c r="F3" s="1437">
        <f>'(B1)Informacion i përgjithshëm '!B8</f>
        <v>2022</v>
      </c>
      <c r="G3" s="1437"/>
      <c r="H3" s="1437"/>
      <c r="I3" s="1437"/>
      <c r="J3" s="1437">
        <f>'(B1)Informacion i përgjithshëm '!B9</f>
        <v>2023</v>
      </c>
      <c r="K3" s="1437"/>
      <c r="L3" s="1437"/>
      <c r="M3" s="1437"/>
      <c r="N3" s="1437">
        <f>'(B1)Informacion i përgjithshëm '!B10</f>
        <v>2024</v>
      </c>
      <c r="O3" s="1437"/>
      <c r="P3" s="1437"/>
      <c r="Q3" s="1437"/>
    </row>
    <row r="4" spans="1:17" s="104" customFormat="1" x14ac:dyDescent="0.25">
      <c r="A4" s="103"/>
      <c r="B4" s="103"/>
      <c r="C4" s="1458"/>
      <c r="D4" s="1458"/>
      <c r="E4" s="1458"/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  <c r="Q4" s="1437"/>
    </row>
    <row r="5" spans="1:17" s="104" customFormat="1" ht="48.75" x14ac:dyDescent="0.25">
      <c r="A5" s="103"/>
      <c r="B5" s="103"/>
      <c r="C5" s="837" t="str">
        <f>'(A1) Titulli'!A39</f>
        <v>Viti t-2</v>
      </c>
      <c r="D5" s="837" t="str">
        <f>'(A1) Titulli'!A40</f>
        <v>Viti i shkuar</v>
      </c>
      <c r="E5" s="837" t="str">
        <f>'(A1) Titulli'!A41</f>
        <v>Viti aktual</v>
      </c>
      <c r="F5" s="838" t="str">
        <f>'(G1) Fjalori'!A431</f>
        <v>Pagat dhe sigurimet shoqërore</v>
      </c>
      <c r="G5" s="839" t="str">
        <f>'(G1) Fjalori'!A432</f>
        <v>Shpenzime të tjera korrente</v>
      </c>
      <c r="H5" s="839" t="str">
        <f>'(G1) Fjalori'!A330</f>
        <v>Shpenzimet kapitale</v>
      </c>
      <c r="I5" s="840" t="str">
        <f>'(G1) Fjalori'!A384</f>
        <v>SHPENZIME TË PRITSHME</v>
      </c>
      <c r="J5" s="838" t="str">
        <f>F5</f>
        <v>Pagat dhe sigurimet shoqërore</v>
      </c>
      <c r="K5" s="839" t="str">
        <f>G5</f>
        <v>Shpenzime të tjera korrente</v>
      </c>
      <c r="L5" s="839" t="str">
        <f>H5</f>
        <v>Shpenzimet kapitale</v>
      </c>
      <c r="M5" s="840" t="str">
        <f>I5</f>
        <v>SHPENZIME TË PRITSHME</v>
      </c>
      <c r="N5" s="838" t="str">
        <f>F5</f>
        <v>Pagat dhe sigurimet shoqërore</v>
      </c>
      <c r="O5" s="839" t="str">
        <f>G5</f>
        <v>Shpenzime të tjera korrente</v>
      </c>
      <c r="P5" s="839" t="str">
        <f>H5</f>
        <v>Shpenzimet kapitale</v>
      </c>
      <c r="Q5" s="840" t="str">
        <f>I5</f>
        <v>SHPENZIME TË PRITSHME</v>
      </c>
    </row>
    <row r="6" spans="1:17" ht="24" customHeight="1" x14ac:dyDescent="0.2">
      <c r="A6" s="446" t="str">
        <f>'(B2) Struktura Organizative'!A7</f>
        <v>Nënfunksioni 1</v>
      </c>
      <c r="B6" s="841" t="str">
        <f>'(B2) Struktura Organizative'!B7</f>
        <v>011 Organet ekzekutive dhe legjislative, për çështjet financiare dhe fiskale, çështjet e brendshme</v>
      </c>
      <c r="C6" s="842">
        <f>'(F2) Shpenzimet sipas nenfunk.b'!C6</f>
        <v>196792965</v>
      </c>
      <c r="D6" s="842">
        <f>'(F2) Shpenzimet sipas nenfunk.b'!D6</f>
        <v>310542368</v>
      </c>
      <c r="E6" s="842">
        <f>'(F2) Shpenzimet sipas nenfunk.b'!E6</f>
        <v>431325564</v>
      </c>
      <c r="F6" s="843">
        <f>'(F2) Shpenzimet sipas nenfunk.b'!F6</f>
        <v>186080000</v>
      </c>
      <c r="G6" s="843">
        <f>'(F2) Shpenzimet sipas nenfunk.b'!G6</f>
        <v>110234000</v>
      </c>
      <c r="H6" s="843">
        <f>'(F2) Shpenzimet sipas nenfunk.b'!H6</f>
        <v>82418688</v>
      </c>
      <c r="I6" s="844">
        <f>'(F2) Shpenzimet sipas nenfunk.b'!I6</f>
        <v>378732688</v>
      </c>
      <c r="J6" s="843">
        <f>'(F2) Shpenzimet sipas nenfunk.b'!J6</f>
        <v>187866000</v>
      </c>
      <c r="K6" s="843">
        <f>'(F2) Shpenzimet sipas nenfunk.b'!K6</f>
        <v>110726000</v>
      </c>
      <c r="L6" s="843">
        <f>'(F2) Shpenzimet sipas nenfunk.b'!L6</f>
        <v>21596860</v>
      </c>
      <c r="M6" s="844">
        <f>'(F2) Shpenzimet sipas nenfunk.b'!M6</f>
        <v>320188860</v>
      </c>
      <c r="N6" s="843">
        <f>'(F2) Shpenzimet sipas nenfunk.b'!N6</f>
        <v>189669860</v>
      </c>
      <c r="O6" s="843">
        <f>'(F2) Shpenzimet sipas nenfunk.b'!O6</f>
        <v>111833200</v>
      </c>
      <c r="P6" s="843">
        <f>'(F2) Shpenzimet sipas nenfunk.b'!P6</f>
        <v>18046223</v>
      </c>
      <c r="Q6" s="844">
        <f>'(F2) Shpenzimet sipas nenfunk.b'!Q6</f>
        <v>319549283</v>
      </c>
    </row>
    <row r="7" spans="1:17" ht="15" customHeight="1" x14ac:dyDescent="0.2">
      <c r="A7" s="446" t="str">
        <f>'(B2) Struktura Organizative'!A8</f>
        <v>Nënfunksioni 2</v>
      </c>
      <c r="B7" s="100" t="str">
        <f>'(B2) Struktura Organizative'!B8</f>
        <v>017 Shërbime të  huamarrjes vendore</v>
      </c>
      <c r="C7" s="842">
        <f>'(F2) Shpenzimet sipas nenfunk.b'!C10</f>
        <v>4415703</v>
      </c>
      <c r="D7" s="842">
        <f>'(F2) Shpenzimet sipas nenfunk.b'!D10</f>
        <v>5108041</v>
      </c>
      <c r="E7" s="842">
        <f>'(F2) Shpenzimet sipas nenfunk.b'!E10</f>
        <v>900000</v>
      </c>
      <c r="F7" s="843">
        <f>'(F2) Shpenzimet sipas nenfunk.b'!F10</f>
        <v>0</v>
      </c>
      <c r="G7" s="843">
        <f>'(F2) Shpenzimet sipas nenfunk.b'!G10</f>
        <v>0</v>
      </c>
      <c r="H7" s="843">
        <f>'(F2) Shpenzimet sipas nenfunk.b'!H10</f>
        <v>0</v>
      </c>
      <c r="I7" s="844">
        <f>'(F2) Shpenzimet sipas nenfunk.b'!I10</f>
        <v>0</v>
      </c>
      <c r="J7" s="843">
        <f>'(F2) Shpenzimet sipas nenfunk.b'!J10</f>
        <v>0</v>
      </c>
      <c r="K7" s="843">
        <f>'(F2) Shpenzimet sipas nenfunk.b'!K10</f>
        <v>0</v>
      </c>
      <c r="L7" s="843">
        <f>'(F2) Shpenzimet sipas nenfunk.b'!L10</f>
        <v>0</v>
      </c>
      <c r="M7" s="844">
        <f>'(F2) Shpenzimet sipas nenfunk.b'!M10</f>
        <v>0</v>
      </c>
      <c r="N7" s="843">
        <f>'(F2) Shpenzimet sipas nenfunk.b'!N10</f>
        <v>0</v>
      </c>
      <c r="O7" s="843">
        <f>'(F2) Shpenzimet sipas nenfunk.b'!O10</f>
        <v>0</v>
      </c>
      <c r="P7" s="843">
        <f>'(F2) Shpenzimet sipas nenfunk.b'!P10</f>
        <v>0</v>
      </c>
      <c r="Q7" s="844">
        <f>'(F2) Shpenzimet sipas nenfunk.b'!Q10</f>
        <v>0</v>
      </c>
    </row>
    <row r="8" spans="1:17" ht="15" customHeight="1" x14ac:dyDescent="0.2">
      <c r="A8" s="1461" t="str">
        <f>'(G1) Fjalori'!A433</f>
        <v>01 Shërbimet e Përgjithshme Publike</v>
      </c>
      <c r="B8" s="1462"/>
      <c r="C8" s="845">
        <f>SUM(C6:C7)</f>
        <v>201208668</v>
      </c>
      <c r="D8" s="845">
        <f t="shared" ref="D8:Q8" si="0">SUM(D6:D7)</f>
        <v>315650409</v>
      </c>
      <c r="E8" s="845">
        <f t="shared" si="0"/>
        <v>432225564</v>
      </c>
      <c r="F8" s="845">
        <f t="shared" si="0"/>
        <v>186080000</v>
      </c>
      <c r="G8" s="845">
        <f t="shared" si="0"/>
        <v>110234000</v>
      </c>
      <c r="H8" s="845">
        <f t="shared" si="0"/>
        <v>82418688</v>
      </c>
      <c r="I8" s="845">
        <f>SUM(I6:I7)</f>
        <v>378732688</v>
      </c>
      <c r="J8" s="845">
        <f t="shared" si="0"/>
        <v>187866000</v>
      </c>
      <c r="K8" s="845">
        <f t="shared" si="0"/>
        <v>110726000</v>
      </c>
      <c r="L8" s="845">
        <f t="shared" si="0"/>
        <v>21596860</v>
      </c>
      <c r="M8" s="845">
        <f t="shared" si="0"/>
        <v>320188860</v>
      </c>
      <c r="N8" s="845">
        <f t="shared" si="0"/>
        <v>189669860</v>
      </c>
      <c r="O8" s="845">
        <f t="shared" si="0"/>
        <v>111833200</v>
      </c>
      <c r="P8" s="845">
        <f t="shared" si="0"/>
        <v>18046223</v>
      </c>
      <c r="Q8" s="845">
        <f t="shared" si="0"/>
        <v>319549283</v>
      </c>
    </row>
    <row r="9" spans="1:17" ht="15" customHeight="1" x14ac:dyDescent="0.2">
      <c r="A9" s="446" t="str">
        <f>'(B2) Struktura Organizative'!A9</f>
        <v>Nënfunksioni 3</v>
      </c>
      <c r="B9" s="100" t="str">
        <f>'(B2) Struktura Organizative'!B9</f>
        <v>031 Shërbimet Policore</v>
      </c>
      <c r="C9" s="842">
        <f>'(F2) Shpenzimet sipas nenfunk.b'!C14</f>
        <v>0</v>
      </c>
      <c r="D9" s="842">
        <f>'(F2) Shpenzimet sipas nenfunk.b'!D14</f>
        <v>0</v>
      </c>
      <c r="E9" s="842">
        <f>'(F2) Shpenzimet sipas nenfunk.b'!E14</f>
        <v>0</v>
      </c>
      <c r="F9" s="843">
        <f>'(F2) Shpenzimet sipas nenfunk.b'!F14</f>
        <v>0</v>
      </c>
      <c r="G9" s="843">
        <f>'(F2) Shpenzimet sipas nenfunk.b'!G14</f>
        <v>0</v>
      </c>
      <c r="H9" s="843">
        <f>'(F2) Shpenzimet sipas nenfunk.b'!H14</f>
        <v>0</v>
      </c>
      <c r="I9" s="844">
        <f>'(F2) Shpenzimet sipas nenfunk.b'!I14</f>
        <v>0</v>
      </c>
      <c r="J9" s="843">
        <f>'(F2) Shpenzimet sipas nenfunk.b'!J14</f>
        <v>0</v>
      </c>
      <c r="K9" s="843">
        <f>'(F2) Shpenzimet sipas nenfunk.b'!K14</f>
        <v>0</v>
      </c>
      <c r="L9" s="843">
        <f>'(F2) Shpenzimet sipas nenfunk.b'!L14</f>
        <v>0</v>
      </c>
      <c r="M9" s="844">
        <f>'(F2) Shpenzimet sipas nenfunk.b'!M14</f>
        <v>0</v>
      </c>
      <c r="N9" s="843">
        <f>'(F2) Shpenzimet sipas nenfunk.b'!N14</f>
        <v>0</v>
      </c>
      <c r="O9" s="843">
        <f>'(F2) Shpenzimet sipas nenfunk.b'!O14</f>
        <v>0</v>
      </c>
      <c r="P9" s="843">
        <f>'(F2) Shpenzimet sipas nenfunk.b'!P14</f>
        <v>0</v>
      </c>
      <c r="Q9" s="844">
        <f>'(F2) Shpenzimet sipas nenfunk.b'!Q14</f>
        <v>0</v>
      </c>
    </row>
    <row r="10" spans="1:17" ht="15" customHeight="1" x14ac:dyDescent="0.2">
      <c r="A10" s="446" t="str">
        <f>'(B2) Struktura Organizative'!A10</f>
        <v>Nënfunksioni 4</v>
      </c>
      <c r="B10" s="100" t="str">
        <f>'(B2) Struktura Organizative'!B10</f>
        <v>032 Shërbimet e mbrojtjes ndaj zjarrit</v>
      </c>
      <c r="C10" s="842">
        <f>'(F2) Shpenzimet sipas nenfunk.b'!C16</f>
        <v>11570753</v>
      </c>
      <c r="D10" s="842">
        <f>'(F2) Shpenzimet sipas nenfunk.b'!D16</f>
        <v>13488330</v>
      </c>
      <c r="E10" s="842">
        <f>'(F2) Shpenzimet sipas nenfunk.b'!E16</f>
        <v>20596534</v>
      </c>
      <c r="F10" s="843">
        <f>'(F2) Shpenzimet sipas nenfunk.b'!F16</f>
        <v>14229650</v>
      </c>
      <c r="G10" s="843">
        <f>'(F2) Shpenzimet sipas nenfunk.b'!G16</f>
        <v>3200000</v>
      </c>
      <c r="H10" s="843">
        <f>'(F2) Shpenzimet sipas nenfunk.b'!H16</f>
        <v>0</v>
      </c>
      <c r="I10" s="844">
        <f>'(F2) Shpenzimet sipas nenfunk.b'!I16</f>
        <v>17429650</v>
      </c>
      <c r="J10" s="843">
        <f>'(F2) Shpenzimet sipas nenfunk.b'!J16</f>
        <v>14229650</v>
      </c>
      <c r="K10" s="843">
        <f>'(F2) Shpenzimet sipas nenfunk.b'!K16</f>
        <v>3200000</v>
      </c>
      <c r="L10" s="843">
        <f>'(F2) Shpenzimet sipas nenfunk.b'!L16</f>
        <v>0</v>
      </c>
      <c r="M10" s="844">
        <f>'(F2) Shpenzimet sipas nenfunk.b'!M16</f>
        <v>17429650</v>
      </c>
      <c r="N10" s="843">
        <f>'(F2) Shpenzimet sipas nenfunk.b'!N16</f>
        <v>14229650</v>
      </c>
      <c r="O10" s="843">
        <f>'(F2) Shpenzimet sipas nenfunk.b'!O16</f>
        <v>3200000</v>
      </c>
      <c r="P10" s="843">
        <f>'(F2) Shpenzimet sipas nenfunk.b'!P16</f>
        <v>0</v>
      </c>
      <c r="Q10" s="844">
        <f>'(F2) Shpenzimet sipas nenfunk.b'!Q16</f>
        <v>17429650</v>
      </c>
    </row>
    <row r="11" spans="1:17" ht="15" customHeight="1" x14ac:dyDescent="0.2">
      <c r="A11" s="446" t="str">
        <f>'(B2) Struktura Organizative'!A11</f>
        <v>Nënfunksioni 5</v>
      </c>
      <c r="B11" s="100" t="str">
        <f>'(B2) Struktura Organizative'!B11</f>
        <v>036 Marrdheniet me komunitetin</v>
      </c>
      <c r="C11" s="842">
        <f>'(F2) Shpenzimet sipas nenfunk.b'!C18</f>
        <v>0</v>
      </c>
      <c r="D11" s="842">
        <f>'(F2) Shpenzimet sipas nenfunk.b'!D18</f>
        <v>0</v>
      </c>
      <c r="E11" s="842">
        <f>'(F2) Shpenzimet sipas nenfunk.b'!E18</f>
        <v>0</v>
      </c>
      <c r="F11" s="843">
        <f>'(F2) Shpenzimet sipas nenfunk.b'!F18</f>
        <v>0</v>
      </c>
      <c r="G11" s="843">
        <f>'(F2) Shpenzimet sipas nenfunk.b'!G18</f>
        <v>0</v>
      </c>
      <c r="H11" s="843">
        <f>'(F2) Shpenzimet sipas nenfunk.b'!H18</f>
        <v>0</v>
      </c>
      <c r="I11" s="844">
        <f>'(F2) Shpenzimet sipas nenfunk.b'!I18</f>
        <v>0</v>
      </c>
      <c r="J11" s="843">
        <f>'(F2) Shpenzimet sipas nenfunk.b'!J18</f>
        <v>0</v>
      </c>
      <c r="K11" s="843">
        <f>'(F2) Shpenzimet sipas nenfunk.b'!K18</f>
        <v>0</v>
      </c>
      <c r="L11" s="843">
        <f>'(F2) Shpenzimet sipas nenfunk.b'!L18</f>
        <v>0</v>
      </c>
      <c r="M11" s="844">
        <f>'(F2) Shpenzimet sipas nenfunk.b'!M18</f>
        <v>0</v>
      </c>
      <c r="N11" s="843">
        <f>'(F2) Shpenzimet sipas nenfunk.b'!N18</f>
        <v>0</v>
      </c>
      <c r="O11" s="843">
        <f>'(F2) Shpenzimet sipas nenfunk.b'!O18</f>
        <v>0</v>
      </c>
      <c r="P11" s="843">
        <f>'(F2) Shpenzimet sipas nenfunk.b'!P18</f>
        <v>0</v>
      </c>
      <c r="Q11" s="844">
        <f>'(F2) Shpenzimet sipas nenfunk.b'!Q18</f>
        <v>0</v>
      </c>
    </row>
    <row r="12" spans="1:17" ht="15" customHeight="1" x14ac:dyDescent="0.2">
      <c r="A12" s="845" t="str">
        <f>'(G1) Fjalori'!A434</f>
        <v>03 Rendi dhe Siguria Publike</v>
      </c>
      <c r="B12" s="844"/>
      <c r="C12" s="845">
        <f>SUM(C9:C11)</f>
        <v>11570753</v>
      </c>
      <c r="D12" s="845">
        <f t="shared" ref="D12:Q12" si="1">SUM(D9:D11)</f>
        <v>13488330</v>
      </c>
      <c r="E12" s="845">
        <f t="shared" si="1"/>
        <v>20596534</v>
      </c>
      <c r="F12" s="845">
        <f t="shared" si="1"/>
        <v>14229650</v>
      </c>
      <c r="G12" s="845">
        <f t="shared" si="1"/>
        <v>3200000</v>
      </c>
      <c r="H12" s="845">
        <f t="shared" si="1"/>
        <v>0</v>
      </c>
      <c r="I12" s="845">
        <f t="shared" si="1"/>
        <v>17429650</v>
      </c>
      <c r="J12" s="845">
        <f t="shared" si="1"/>
        <v>14229650</v>
      </c>
      <c r="K12" s="845">
        <f t="shared" si="1"/>
        <v>3200000</v>
      </c>
      <c r="L12" s="845">
        <f t="shared" si="1"/>
        <v>0</v>
      </c>
      <c r="M12" s="845">
        <f t="shared" si="1"/>
        <v>17429650</v>
      </c>
      <c r="N12" s="845">
        <f t="shared" si="1"/>
        <v>14229650</v>
      </c>
      <c r="O12" s="845">
        <f t="shared" si="1"/>
        <v>3200000</v>
      </c>
      <c r="P12" s="845">
        <f t="shared" si="1"/>
        <v>0</v>
      </c>
      <c r="Q12" s="845">
        <f t="shared" si="1"/>
        <v>17429650</v>
      </c>
    </row>
    <row r="13" spans="1:17" ht="15" customHeight="1" x14ac:dyDescent="0.2">
      <c r="A13" s="446" t="str">
        <f>'(B2) Struktura Organizative'!A12</f>
        <v>Nënfunksioni 6</v>
      </c>
      <c r="B13" s="100" t="str">
        <f>'(B2) Struktura Organizative'!B12</f>
        <v>041 Çështjet e përgjithshme ekonomike, tregtare dhe të punës</v>
      </c>
      <c r="C13" s="842">
        <f>'(F2) Shpenzimet sipas nenfunk.b'!C20</f>
        <v>1585692</v>
      </c>
      <c r="D13" s="842">
        <f>'(F2) Shpenzimet sipas nenfunk.b'!D20</f>
        <v>1603935</v>
      </c>
      <c r="E13" s="842">
        <f>'(F2) Shpenzimet sipas nenfunk.b'!E20</f>
        <v>1675575</v>
      </c>
      <c r="F13" s="843">
        <f>'(F2) Shpenzimet sipas nenfunk.b'!F20</f>
        <v>1650000</v>
      </c>
      <c r="G13" s="843">
        <f>'(F2) Shpenzimet sipas nenfunk.b'!G20</f>
        <v>60000</v>
      </c>
      <c r="H13" s="843">
        <f>'(F2) Shpenzimet sipas nenfunk.b'!H20</f>
        <v>0</v>
      </c>
      <c r="I13" s="844">
        <f>'(F2) Shpenzimet sipas nenfunk.b'!I20</f>
        <v>1710000</v>
      </c>
      <c r="J13" s="843">
        <f>'(F2) Shpenzimet sipas nenfunk.b'!J20</f>
        <v>1660000</v>
      </c>
      <c r="K13" s="843">
        <f>'(F2) Shpenzimet sipas nenfunk.b'!K20</f>
        <v>65000</v>
      </c>
      <c r="L13" s="843">
        <f>'(F2) Shpenzimet sipas nenfunk.b'!L20</f>
        <v>0</v>
      </c>
      <c r="M13" s="844">
        <f>'(F2) Shpenzimet sipas nenfunk.b'!M20</f>
        <v>1725000</v>
      </c>
      <c r="N13" s="843">
        <f>'(F2) Shpenzimet sipas nenfunk.b'!N20</f>
        <v>1700000</v>
      </c>
      <c r="O13" s="843">
        <f>'(F2) Shpenzimet sipas nenfunk.b'!O20</f>
        <v>70000</v>
      </c>
      <c r="P13" s="843">
        <f>'(F2) Shpenzimet sipas nenfunk.b'!P20</f>
        <v>0</v>
      </c>
      <c r="Q13" s="844">
        <f>'(F2) Shpenzimet sipas nenfunk.b'!Q20</f>
        <v>1770000</v>
      </c>
    </row>
    <row r="14" spans="1:17" ht="15" customHeight="1" x14ac:dyDescent="0.2">
      <c r="A14" s="446" t="str">
        <f>'(B2) Struktura Organizative'!A13</f>
        <v>Nënfunksioni 7</v>
      </c>
      <c r="B14" s="100" t="str">
        <f>'(B2) Struktura Organizative'!B13</f>
        <v>042 Bujqësia, pyjet, peshkimi dhe gjuetia</v>
      </c>
      <c r="C14" s="842">
        <f>'(F2) Shpenzimet sipas nenfunk.b'!C25</f>
        <v>5930122</v>
      </c>
      <c r="D14" s="842">
        <f>'(F2) Shpenzimet sipas nenfunk.b'!D25</f>
        <v>28000050</v>
      </c>
      <c r="E14" s="842">
        <f>'(F2) Shpenzimet sipas nenfunk.b'!E25</f>
        <v>50350489</v>
      </c>
      <c r="F14" s="843">
        <f>'(F2) Shpenzimet sipas nenfunk.b'!F25</f>
        <v>17018302</v>
      </c>
      <c r="G14" s="843">
        <f>'(F2) Shpenzimet sipas nenfunk.b'!G25</f>
        <v>16976298</v>
      </c>
      <c r="H14" s="843">
        <f>'(F2) Shpenzimet sipas nenfunk.b'!H25</f>
        <v>8350000</v>
      </c>
      <c r="I14" s="844">
        <f>'(F2) Shpenzimet sipas nenfunk.b'!I25</f>
        <v>42344600</v>
      </c>
      <c r="J14" s="843">
        <f>'(F2) Shpenzimet sipas nenfunk.b'!J25</f>
        <v>17869204</v>
      </c>
      <c r="K14" s="843">
        <f>'(F2) Shpenzimet sipas nenfunk.b'!K25</f>
        <v>17737656</v>
      </c>
      <c r="L14" s="843">
        <f>'(F2) Shpenzimet sipas nenfunk.b'!L25</f>
        <v>8569600</v>
      </c>
      <c r="M14" s="844">
        <f>'(F2) Shpenzimet sipas nenfunk.b'!M25</f>
        <v>44176460</v>
      </c>
      <c r="N14" s="843">
        <f>'(F2) Shpenzimet sipas nenfunk.b'!N25</f>
        <v>18762667</v>
      </c>
      <c r="O14" s="843">
        <f>'(F2) Shpenzimet sipas nenfunk.b'!O25</f>
        <v>18455873</v>
      </c>
      <c r="P14" s="843">
        <f>'(F2) Shpenzimet sipas nenfunk.b'!P25</f>
        <v>8830700</v>
      </c>
      <c r="Q14" s="844">
        <f>'(F2) Shpenzimet sipas nenfunk.b'!Q25</f>
        <v>46049240</v>
      </c>
    </row>
    <row r="15" spans="1:17" ht="15" customHeight="1" x14ac:dyDescent="0.2">
      <c r="A15" s="446" t="str">
        <f>'(B2) Struktura Organizative'!A14</f>
        <v>Nënfunksioni 8</v>
      </c>
      <c r="B15" s="100" t="str">
        <f>'(B2) Struktura Organizative'!B14</f>
        <v>045 Trasporti</v>
      </c>
      <c r="C15" s="842">
        <f>'(F2) Shpenzimet sipas nenfunk.b'!C30</f>
        <v>213152994</v>
      </c>
      <c r="D15" s="842">
        <f>'(F2) Shpenzimet sipas nenfunk.b'!D30</f>
        <v>84739057</v>
      </c>
      <c r="E15" s="842">
        <f>'(F2) Shpenzimet sipas nenfunk.b'!E30</f>
        <v>175922899</v>
      </c>
      <c r="F15" s="843">
        <f>'(F2) Shpenzimet sipas nenfunk.b'!F30</f>
        <v>21725550</v>
      </c>
      <c r="G15" s="843">
        <f>'(F2) Shpenzimet sipas nenfunk.b'!G30</f>
        <v>16119760</v>
      </c>
      <c r="H15" s="843">
        <f>'(F2) Shpenzimet sipas nenfunk.b'!H30</f>
        <v>167700000</v>
      </c>
      <c r="I15" s="844">
        <f>'(F2) Shpenzimet sipas nenfunk.b'!I30</f>
        <v>205545310</v>
      </c>
      <c r="J15" s="843">
        <f>'(F2) Shpenzimet sipas nenfunk.b'!J30</f>
        <v>22812000</v>
      </c>
      <c r="K15" s="843">
        <f>'(F2) Shpenzimet sipas nenfunk.b'!K30</f>
        <v>17550000</v>
      </c>
      <c r="L15" s="843">
        <f>'(F2) Shpenzimet sipas nenfunk.b'!L30</f>
        <v>168100000</v>
      </c>
      <c r="M15" s="844">
        <f>'(F2) Shpenzimet sipas nenfunk.b'!M30</f>
        <v>208462000</v>
      </c>
      <c r="N15" s="843">
        <f>'(F2) Shpenzimet sipas nenfunk.b'!N30</f>
        <v>23952600</v>
      </c>
      <c r="O15" s="843">
        <f>'(F2) Shpenzimet sipas nenfunk.b'!O30</f>
        <v>18300000</v>
      </c>
      <c r="P15" s="843">
        <f>'(F2) Shpenzimet sipas nenfunk.b'!P30</f>
        <v>172202000</v>
      </c>
      <c r="Q15" s="844">
        <f>'(F2) Shpenzimet sipas nenfunk.b'!Q30</f>
        <v>214454600</v>
      </c>
    </row>
    <row r="16" spans="1:17" ht="15" customHeight="1" x14ac:dyDescent="0.2">
      <c r="A16" s="446" t="str">
        <f>'(B2) Struktura Organizative'!A15</f>
        <v>Nënfunksioni 9</v>
      </c>
      <c r="B16" s="100" t="str">
        <f>'(B2) Struktura Organizative'!B15</f>
        <v>047 Industri të tjera</v>
      </c>
      <c r="C16" s="842">
        <f>'(F2) Shpenzimet sipas nenfunk.b'!C34</f>
        <v>0</v>
      </c>
      <c r="D16" s="842">
        <f>'(F2) Shpenzimet sipas nenfunk.b'!D34</f>
        <v>0</v>
      </c>
      <c r="E16" s="842">
        <f>'(F2) Shpenzimet sipas nenfunk.b'!E34</f>
        <v>0</v>
      </c>
      <c r="F16" s="843">
        <f>'(F2) Shpenzimet sipas nenfunk.b'!F34</f>
        <v>0</v>
      </c>
      <c r="G16" s="843">
        <f>'(F2) Shpenzimet sipas nenfunk.b'!G34</f>
        <v>0</v>
      </c>
      <c r="H16" s="843">
        <f>'(F2) Shpenzimet sipas nenfunk.b'!H34</f>
        <v>0</v>
      </c>
      <c r="I16" s="844">
        <f>'(F2) Shpenzimet sipas nenfunk.b'!I34</f>
        <v>0</v>
      </c>
      <c r="J16" s="843">
        <f>'(F2) Shpenzimet sipas nenfunk.b'!J34</f>
        <v>0</v>
      </c>
      <c r="K16" s="843">
        <f>'(F2) Shpenzimet sipas nenfunk.b'!K34</f>
        <v>0</v>
      </c>
      <c r="L16" s="843">
        <f>'(F2) Shpenzimet sipas nenfunk.b'!L34</f>
        <v>0</v>
      </c>
      <c r="M16" s="844">
        <f>'(F2) Shpenzimet sipas nenfunk.b'!M34</f>
        <v>0</v>
      </c>
      <c r="N16" s="843">
        <f>'(F2) Shpenzimet sipas nenfunk.b'!N34</f>
        <v>0</v>
      </c>
      <c r="O16" s="843">
        <f>'(F2) Shpenzimet sipas nenfunk.b'!O34</f>
        <v>0</v>
      </c>
      <c r="P16" s="843">
        <f>'(F2) Shpenzimet sipas nenfunk.b'!P34</f>
        <v>0</v>
      </c>
      <c r="Q16" s="844">
        <f>'(F2) Shpenzimet sipas nenfunk.b'!Q34</f>
        <v>0</v>
      </c>
    </row>
    <row r="17" spans="1:17" ht="15" customHeight="1" x14ac:dyDescent="0.2">
      <c r="A17" s="845" t="str">
        <f>'(G1) Fjalori'!A435</f>
        <v>04 Çeshtjet Ekonomike</v>
      </c>
      <c r="B17" s="844"/>
      <c r="C17" s="845">
        <f>SUM(C13:C16)</f>
        <v>220668808</v>
      </c>
      <c r="D17" s="845">
        <f t="shared" ref="D17:Q17" si="2">SUM(D13:D16)</f>
        <v>114343042</v>
      </c>
      <c r="E17" s="845">
        <f t="shared" si="2"/>
        <v>227948963</v>
      </c>
      <c r="F17" s="845">
        <f t="shared" si="2"/>
        <v>40393852</v>
      </c>
      <c r="G17" s="845">
        <f t="shared" si="2"/>
        <v>33156058</v>
      </c>
      <c r="H17" s="845">
        <f t="shared" si="2"/>
        <v>176050000</v>
      </c>
      <c r="I17" s="845">
        <f t="shared" si="2"/>
        <v>249599910</v>
      </c>
      <c r="J17" s="845">
        <f t="shared" si="2"/>
        <v>42341204</v>
      </c>
      <c r="K17" s="845">
        <f t="shared" si="2"/>
        <v>35352656</v>
      </c>
      <c r="L17" s="845">
        <f t="shared" si="2"/>
        <v>176669600</v>
      </c>
      <c r="M17" s="845">
        <f t="shared" si="2"/>
        <v>254363460</v>
      </c>
      <c r="N17" s="845">
        <f t="shared" si="2"/>
        <v>44415267</v>
      </c>
      <c r="O17" s="845">
        <f t="shared" si="2"/>
        <v>36825873</v>
      </c>
      <c r="P17" s="845">
        <f t="shared" si="2"/>
        <v>181032700</v>
      </c>
      <c r="Q17" s="845">
        <f t="shared" si="2"/>
        <v>262273840</v>
      </c>
    </row>
    <row r="18" spans="1:17" ht="15" customHeight="1" x14ac:dyDescent="0.2">
      <c r="A18" s="446" t="str">
        <f>'(B2) Struktura Organizative'!A16</f>
        <v>Nënfunksioni 10</v>
      </c>
      <c r="B18" s="100" t="str">
        <f>'(B2) Struktura Organizative'!B16</f>
        <v>062 Menaxhimi i i mbetjeve</v>
      </c>
      <c r="C18" s="842">
        <f>'(F2) Shpenzimet sipas nenfunk.b'!C37</f>
        <v>37620677</v>
      </c>
      <c r="D18" s="842">
        <f>'(F2) Shpenzimet sipas nenfunk.b'!D37</f>
        <v>105911830</v>
      </c>
      <c r="E18" s="842">
        <f>'(F2) Shpenzimet sipas nenfunk.b'!E37</f>
        <v>140388286</v>
      </c>
      <c r="F18" s="843">
        <f>'(F2) Shpenzimet sipas nenfunk.b'!F37</f>
        <v>0</v>
      </c>
      <c r="G18" s="843">
        <f>'(F2) Shpenzimet sipas nenfunk.b'!G37</f>
        <v>150000000</v>
      </c>
      <c r="H18" s="843">
        <f>'(F2) Shpenzimet sipas nenfunk.b'!H37</f>
        <v>0</v>
      </c>
      <c r="I18" s="844">
        <f>'(F2) Shpenzimet sipas nenfunk.b'!I37</f>
        <v>150000000</v>
      </c>
      <c r="J18" s="843">
        <f>'(F2) Shpenzimet sipas nenfunk.b'!J37</f>
        <v>0</v>
      </c>
      <c r="K18" s="843">
        <f>'(F2) Shpenzimet sipas nenfunk.b'!K37</f>
        <v>150000000</v>
      </c>
      <c r="L18" s="843">
        <f>'(F2) Shpenzimet sipas nenfunk.b'!L37</f>
        <v>0</v>
      </c>
      <c r="M18" s="844">
        <f>'(F2) Shpenzimet sipas nenfunk.b'!M37</f>
        <v>150000000</v>
      </c>
      <c r="N18" s="843">
        <f>'(F2) Shpenzimet sipas nenfunk.b'!N37</f>
        <v>0</v>
      </c>
      <c r="O18" s="843">
        <f>'(F2) Shpenzimet sipas nenfunk.b'!O37</f>
        <v>150000000</v>
      </c>
      <c r="P18" s="843">
        <f>'(F2) Shpenzimet sipas nenfunk.b'!P37</f>
        <v>0</v>
      </c>
      <c r="Q18" s="844">
        <f>'(F2) Shpenzimet sipas nenfunk.b'!Q37</f>
        <v>150000000</v>
      </c>
    </row>
    <row r="19" spans="1:17" ht="15" customHeight="1" x14ac:dyDescent="0.2">
      <c r="A19" s="446" t="str">
        <f>'(B2) Struktura Organizative'!A17</f>
        <v>Nënfunksioni 11</v>
      </c>
      <c r="B19" s="100" t="str">
        <f>'(B2) Struktura Organizative'!B17</f>
        <v>052 Menaxhimi i ujrave të zeza</v>
      </c>
      <c r="C19" s="842">
        <f>'(F2) Shpenzimet sipas nenfunk.b'!C39</f>
        <v>0</v>
      </c>
      <c r="D19" s="842">
        <f>'(F2) Shpenzimet sipas nenfunk.b'!D39</f>
        <v>0</v>
      </c>
      <c r="E19" s="842">
        <f>'(F2) Shpenzimet sipas nenfunk.b'!E39</f>
        <v>0</v>
      </c>
      <c r="F19" s="843">
        <f>'(F2) Shpenzimet sipas nenfunk.b'!F39</f>
        <v>0</v>
      </c>
      <c r="G19" s="843">
        <f>'(F2) Shpenzimet sipas nenfunk.b'!G39</f>
        <v>0</v>
      </c>
      <c r="H19" s="843">
        <f>'(F2) Shpenzimet sipas nenfunk.b'!H39</f>
        <v>0</v>
      </c>
      <c r="I19" s="844">
        <f>'(F2) Shpenzimet sipas nenfunk.b'!I39</f>
        <v>0</v>
      </c>
      <c r="J19" s="843">
        <f>'(F2) Shpenzimet sipas nenfunk.b'!J39</f>
        <v>0</v>
      </c>
      <c r="K19" s="843">
        <f>'(F2) Shpenzimet sipas nenfunk.b'!K39</f>
        <v>0</v>
      </c>
      <c r="L19" s="843">
        <f>'(F2) Shpenzimet sipas nenfunk.b'!L39</f>
        <v>0</v>
      </c>
      <c r="M19" s="844">
        <f>'(F2) Shpenzimet sipas nenfunk.b'!M39</f>
        <v>0</v>
      </c>
      <c r="N19" s="843">
        <f>'(F2) Shpenzimet sipas nenfunk.b'!N39</f>
        <v>0</v>
      </c>
      <c r="O19" s="843">
        <f>'(F2) Shpenzimet sipas nenfunk.b'!O39</f>
        <v>0</v>
      </c>
      <c r="P19" s="843">
        <f>'(F2) Shpenzimet sipas nenfunk.b'!P39</f>
        <v>0</v>
      </c>
      <c r="Q19" s="844">
        <f>'(F2) Shpenzimet sipas nenfunk.b'!Q39</f>
        <v>0</v>
      </c>
    </row>
    <row r="20" spans="1:17" ht="15" customHeight="1" x14ac:dyDescent="0.2">
      <c r="A20" s="446" t="str">
        <f>'(B2) Struktura Organizative'!A18</f>
        <v>Nënfunksioni 12</v>
      </c>
      <c r="B20" s="100" t="str">
        <f>'(B2) Struktura Organizative'!B18</f>
        <v>053 Reduktimi i ndotjes</v>
      </c>
      <c r="C20" s="842">
        <f>'(F2) Shpenzimet sipas nenfunk.b'!C41</f>
        <v>0</v>
      </c>
      <c r="D20" s="842">
        <f>'(F2) Shpenzimet sipas nenfunk.b'!D41</f>
        <v>0</v>
      </c>
      <c r="E20" s="842">
        <f>'(F2) Shpenzimet sipas nenfunk.b'!E41</f>
        <v>0</v>
      </c>
      <c r="F20" s="843">
        <f>'(F2) Shpenzimet sipas nenfunk.b'!F41</f>
        <v>0</v>
      </c>
      <c r="G20" s="843">
        <f>'(F2) Shpenzimet sipas nenfunk.b'!G41</f>
        <v>0</v>
      </c>
      <c r="H20" s="843">
        <f>'(F2) Shpenzimet sipas nenfunk.b'!H41</f>
        <v>0</v>
      </c>
      <c r="I20" s="844">
        <f>'(F2) Shpenzimet sipas nenfunk.b'!I41</f>
        <v>0</v>
      </c>
      <c r="J20" s="843">
        <f>'(F2) Shpenzimet sipas nenfunk.b'!J41</f>
        <v>0</v>
      </c>
      <c r="K20" s="843">
        <f>'(F2) Shpenzimet sipas nenfunk.b'!K41</f>
        <v>0</v>
      </c>
      <c r="L20" s="843">
        <f>'(F2) Shpenzimet sipas nenfunk.b'!L41</f>
        <v>0</v>
      </c>
      <c r="M20" s="844">
        <f>'(F2) Shpenzimet sipas nenfunk.b'!M41</f>
        <v>0</v>
      </c>
      <c r="N20" s="843">
        <f>'(F2) Shpenzimet sipas nenfunk.b'!N41</f>
        <v>0</v>
      </c>
      <c r="O20" s="843">
        <f>'(F2) Shpenzimet sipas nenfunk.b'!O41</f>
        <v>0</v>
      </c>
      <c r="P20" s="843">
        <f>'(F2) Shpenzimet sipas nenfunk.b'!P41</f>
        <v>0</v>
      </c>
      <c r="Q20" s="844">
        <f>'(F2) Shpenzimet sipas nenfunk.b'!Q41</f>
        <v>0</v>
      </c>
    </row>
    <row r="21" spans="1:17" ht="15" customHeight="1" x14ac:dyDescent="0.2">
      <c r="A21" s="446" t="str">
        <f>'(B2) Struktura Organizative'!A19</f>
        <v>Nënfunksioni 13</v>
      </c>
      <c r="B21" s="100" t="str">
        <f>'(B2) Struktura Organizative'!B19</f>
        <v>056 Mbrojtja e mjedisit</v>
      </c>
      <c r="C21" s="842">
        <f>'(F2) Shpenzimet sipas nenfunk.b'!C43</f>
        <v>0</v>
      </c>
      <c r="D21" s="842">
        <f>'(F2) Shpenzimet sipas nenfunk.b'!D43</f>
        <v>0</v>
      </c>
      <c r="E21" s="842">
        <f>'(F2) Shpenzimet sipas nenfunk.b'!E43</f>
        <v>0</v>
      </c>
      <c r="F21" s="843">
        <f>'(F2) Shpenzimet sipas nenfunk.b'!F43</f>
        <v>0</v>
      </c>
      <c r="G21" s="843">
        <f>'(F2) Shpenzimet sipas nenfunk.b'!G43</f>
        <v>0</v>
      </c>
      <c r="H21" s="843">
        <f>'(F2) Shpenzimet sipas nenfunk.b'!H43</f>
        <v>0</v>
      </c>
      <c r="I21" s="844">
        <f>'(F2) Shpenzimet sipas nenfunk.b'!I43</f>
        <v>0</v>
      </c>
      <c r="J21" s="843">
        <f>'(F2) Shpenzimet sipas nenfunk.b'!J43</f>
        <v>0</v>
      </c>
      <c r="K21" s="843">
        <f>'(F2) Shpenzimet sipas nenfunk.b'!K43</f>
        <v>0</v>
      </c>
      <c r="L21" s="843">
        <f>'(F2) Shpenzimet sipas nenfunk.b'!L43</f>
        <v>0</v>
      </c>
      <c r="M21" s="844">
        <f>'(F2) Shpenzimet sipas nenfunk.b'!M43</f>
        <v>0</v>
      </c>
      <c r="N21" s="843">
        <f>'(F2) Shpenzimet sipas nenfunk.b'!N43</f>
        <v>0</v>
      </c>
      <c r="O21" s="843">
        <f>'(F2) Shpenzimet sipas nenfunk.b'!O43</f>
        <v>0</v>
      </c>
      <c r="P21" s="843">
        <f>'(F2) Shpenzimet sipas nenfunk.b'!P43</f>
        <v>0</v>
      </c>
      <c r="Q21" s="844">
        <f>'(F2) Shpenzimet sipas nenfunk.b'!Q43</f>
        <v>0</v>
      </c>
    </row>
    <row r="22" spans="1:17" ht="15" customHeight="1" x14ac:dyDescent="0.2">
      <c r="A22" s="845" t="str">
        <f>'(G1) Fjalori'!A436</f>
        <v>05 Mbrojtja Mjedisore</v>
      </c>
      <c r="B22" s="844"/>
      <c r="C22" s="845">
        <f>SUM(C18:C21)</f>
        <v>37620677</v>
      </c>
      <c r="D22" s="845">
        <f t="shared" ref="D22:Q22" si="3">SUM(D18:D21)</f>
        <v>105911830</v>
      </c>
      <c r="E22" s="845">
        <f t="shared" si="3"/>
        <v>140388286</v>
      </c>
      <c r="F22" s="845">
        <f t="shared" si="3"/>
        <v>0</v>
      </c>
      <c r="G22" s="845">
        <f t="shared" si="3"/>
        <v>150000000</v>
      </c>
      <c r="H22" s="845">
        <f t="shared" si="3"/>
        <v>0</v>
      </c>
      <c r="I22" s="845">
        <f t="shared" si="3"/>
        <v>150000000</v>
      </c>
      <c r="J22" s="845">
        <f t="shared" si="3"/>
        <v>0</v>
      </c>
      <c r="K22" s="845">
        <f t="shared" si="3"/>
        <v>150000000</v>
      </c>
      <c r="L22" s="845">
        <f t="shared" si="3"/>
        <v>0</v>
      </c>
      <c r="M22" s="845">
        <f t="shared" si="3"/>
        <v>150000000</v>
      </c>
      <c r="N22" s="845">
        <f t="shared" si="3"/>
        <v>0</v>
      </c>
      <c r="O22" s="845">
        <f t="shared" si="3"/>
        <v>150000000</v>
      </c>
      <c r="P22" s="845">
        <f t="shared" si="3"/>
        <v>0</v>
      </c>
      <c r="Q22" s="845">
        <f t="shared" si="3"/>
        <v>150000000</v>
      </c>
    </row>
    <row r="23" spans="1:17" ht="15" customHeight="1" x14ac:dyDescent="0.2">
      <c r="A23" s="446" t="str">
        <f>'(B2) Struktura Organizative'!A20</f>
        <v>Nënfunksioni 14</v>
      </c>
      <c r="B23" s="100" t="str">
        <f>'(B2) Struktura Organizative'!B20</f>
        <v>061 Urbanistika</v>
      </c>
      <c r="C23" s="842">
        <f>'(F2) Shpenzimet sipas nenfunk.b'!C46</f>
        <v>311473</v>
      </c>
      <c r="D23" s="842">
        <f>'(F2) Shpenzimet sipas nenfunk.b'!D46</f>
        <v>1379258</v>
      </c>
      <c r="E23" s="842">
        <f>'(F2) Shpenzimet sipas nenfunk.b'!E46</f>
        <v>14372555</v>
      </c>
      <c r="F23" s="843">
        <f>'(F2) Shpenzimet sipas nenfunk.b'!F46</f>
        <v>0</v>
      </c>
      <c r="G23" s="843">
        <f>'(F2) Shpenzimet sipas nenfunk.b'!G46</f>
        <v>0</v>
      </c>
      <c r="H23" s="843">
        <f>'(F2) Shpenzimet sipas nenfunk.b'!H46</f>
        <v>0</v>
      </c>
      <c r="I23" s="844">
        <f>'(F2) Shpenzimet sipas nenfunk.b'!I46</f>
        <v>0</v>
      </c>
      <c r="J23" s="843">
        <f>'(F2) Shpenzimet sipas nenfunk.b'!J46</f>
        <v>0</v>
      </c>
      <c r="K23" s="843">
        <f>'(F2) Shpenzimet sipas nenfunk.b'!K46</f>
        <v>0</v>
      </c>
      <c r="L23" s="843">
        <f>'(F2) Shpenzimet sipas nenfunk.b'!L46</f>
        <v>0</v>
      </c>
      <c r="M23" s="844">
        <f>'(F2) Shpenzimet sipas nenfunk.b'!M46</f>
        <v>0</v>
      </c>
      <c r="N23" s="843">
        <f>'(F2) Shpenzimet sipas nenfunk.b'!N46</f>
        <v>0</v>
      </c>
      <c r="O23" s="843">
        <f>'(F2) Shpenzimet sipas nenfunk.b'!O46</f>
        <v>0</v>
      </c>
      <c r="P23" s="843">
        <f>'(F2) Shpenzimet sipas nenfunk.b'!P46</f>
        <v>0</v>
      </c>
      <c r="Q23" s="844">
        <f>'(F2) Shpenzimet sipas nenfunk.b'!Q46</f>
        <v>0</v>
      </c>
    </row>
    <row r="24" spans="1:17" ht="15" customHeight="1" x14ac:dyDescent="0.2">
      <c r="A24" s="446" t="str">
        <f>'(B2) Struktura Organizative'!A21</f>
        <v>Nënfunksioni 15</v>
      </c>
      <c r="B24" s="100" t="str">
        <f>'(B2) Struktura Organizative'!B21</f>
        <v>062 Zhvillimi i komunitetit</v>
      </c>
      <c r="C24" s="842">
        <f>'(F2) Shpenzimet sipas nenfunk.b'!C49</f>
        <v>48731493</v>
      </c>
      <c r="D24" s="842">
        <f>'(F2) Shpenzimet sipas nenfunk.b'!D49</f>
        <v>72282837</v>
      </c>
      <c r="E24" s="842">
        <f>'(F2) Shpenzimet sipas nenfunk.b'!E49</f>
        <v>193698859</v>
      </c>
      <c r="F24" s="843">
        <f>'(F2) Shpenzimet sipas nenfunk.b'!F49</f>
        <v>74096900</v>
      </c>
      <c r="G24" s="843">
        <f>'(F2) Shpenzimet sipas nenfunk.b'!G49</f>
        <v>22310000</v>
      </c>
      <c r="H24" s="843">
        <f>'(F2) Shpenzimet sipas nenfunk.b'!H49</f>
        <v>2929000</v>
      </c>
      <c r="I24" s="844">
        <f>'(F2) Shpenzimet sipas nenfunk.b'!I49</f>
        <v>99335900</v>
      </c>
      <c r="J24" s="843">
        <f>'(F2) Shpenzimet sipas nenfunk.b'!J49</f>
        <v>76910800</v>
      </c>
      <c r="K24" s="843">
        <f>'(F2) Shpenzimet sipas nenfunk.b'!K49</f>
        <v>22910200</v>
      </c>
      <c r="L24" s="843">
        <f>'(F2) Shpenzimet sipas nenfunk.b'!L49</f>
        <v>3002000</v>
      </c>
      <c r="M24" s="844">
        <f>'(F2) Shpenzimet sipas nenfunk.b'!M49</f>
        <v>102823000</v>
      </c>
      <c r="N24" s="843">
        <f>'(F2) Shpenzimet sipas nenfunk.b'!N49</f>
        <v>79850800</v>
      </c>
      <c r="O24" s="843">
        <f>'(F2) Shpenzimet sipas nenfunk.b'!O49</f>
        <v>23690800</v>
      </c>
      <c r="P24" s="843">
        <f>'(F2) Shpenzimet sipas nenfunk.b'!P49</f>
        <v>3126000</v>
      </c>
      <c r="Q24" s="844">
        <f>'(F2) Shpenzimet sipas nenfunk.b'!Q49</f>
        <v>106667600</v>
      </c>
    </row>
    <row r="25" spans="1:17" ht="15" customHeight="1" x14ac:dyDescent="0.2">
      <c r="A25" s="446" t="str">
        <f>'(B2) Struktura Organizative'!A22</f>
        <v>Nënfunksioni 16</v>
      </c>
      <c r="B25" s="100" t="str">
        <f>'(B2) Struktura Organizative'!B22</f>
        <v>063 Furnizimi me ujë</v>
      </c>
      <c r="C25" s="842">
        <f>'(F2) Shpenzimet sipas nenfunk.b'!C52</f>
        <v>11999999</v>
      </c>
      <c r="D25" s="842">
        <f>'(F2) Shpenzimet sipas nenfunk.b'!D52</f>
        <v>272714</v>
      </c>
      <c r="E25" s="842">
        <f>'(F2) Shpenzimet sipas nenfunk.b'!E52</f>
        <v>59359820</v>
      </c>
      <c r="F25" s="843">
        <f>'(F2) Shpenzimet sipas nenfunk.b'!F52</f>
        <v>0</v>
      </c>
      <c r="G25" s="843">
        <f>'(F2) Shpenzimet sipas nenfunk.b'!G52</f>
        <v>0</v>
      </c>
      <c r="H25" s="843">
        <f>'(F2) Shpenzimet sipas nenfunk.b'!H52</f>
        <v>0</v>
      </c>
      <c r="I25" s="844">
        <f>'(F2) Shpenzimet sipas nenfunk.b'!I52</f>
        <v>0</v>
      </c>
      <c r="J25" s="843">
        <f>'(F2) Shpenzimet sipas nenfunk.b'!J52</f>
        <v>0</v>
      </c>
      <c r="K25" s="843">
        <f>'(F2) Shpenzimet sipas nenfunk.b'!K52</f>
        <v>0</v>
      </c>
      <c r="L25" s="843">
        <f>'(F2) Shpenzimet sipas nenfunk.b'!L52</f>
        <v>0</v>
      </c>
      <c r="M25" s="844">
        <f>'(F2) Shpenzimet sipas nenfunk.b'!M52</f>
        <v>0</v>
      </c>
      <c r="N25" s="843">
        <f>'(F2) Shpenzimet sipas nenfunk.b'!N52</f>
        <v>0</v>
      </c>
      <c r="O25" s="843">
        <f>'(F2) Shpenzimet sipas nenfunk.b'!O52</f>
        <v>0</v>
      </c>
      <c r="P25" s="843">
        <f>'(F2) Shpenzimet sipas nenfunk.b'!P52</f>
        <v>0</v>
      </c>
      <c r="Q25" s="844">
        <f>'(F2) Shpenzimet sipas nenfunk.b'!Q52</f>
        <v>0</v>
      </c>
    </row>
    <row r="26" spans="1:17" ht="15" customHeight="1" x14ac:dyDescent="0.2">
      <c r="A26" s="446" t="str">
        <f>'(B2) Struktura Organizative'!A23</f>
        <v>Nënfunksioni 17</v>
      </c>
      <c r="B26" s="100" t="str">
        <f>'(B2) Struktura Organizative'!B23</f>
        <v>064 Ndriçimi i rrugëve</v>
      </c>
      <c r="C26" s="842">
        <f>'(F2) Shpenzimet sipas nenfunk.b'!C54</f>
        <v>17084331</v>
      </c>
      <c r="D26" s="842">
        <f>'(F2) Shpenzimet sipas nenfunk.b'!D54</f>
        <v>19881683</v>
      </c>
      <c r="E26" s="842">
        <f>'(F2) Shpenzimet sipas nenfunk.b'!E54</f>
        <v>26000000</v>
      </c>
      <c r="F26" s="843">
        <f>'(F2) Shpenzimet sipas nenfunk.b'!F54</f>
        <v>0</v>
      </c>
      <c r="G26" s="843">
        <f>'(F2) Shpenzimet sipas nenfunk.b'!G54</f>
        <v>36800000</v>
      </c>
      <c r="H26" s="843">
        <f>'(F2) Shpenzimet sipas nenfunk.b'!H54</f>
        <v>0</v>
      </c>
      <c r="I26" s="844">
        <f>'(F2) Shpenzimet sipas nenfunk.b'!I54</f>
        <v>36800000</v>
      </c>
      <c r="J26" s="843">
        <f>'(F2) Shpenzimet sipas nenfunk.b'!J54</f>
        <v>0</v>
      </c>
      <c r="K26" s="843">
        <f>'(F2) Shpenzimet sipas nenfunk.b'!K54</f>
        <v>37700000</v>
      </c>
      <c r="L26" s="843">
        <f>'(F2) Shpenzimet sipas nenfunk.b'!L54</f>
        <v>0</v>
      </c>
      <c r="M26" s="844">
        <f>'(F2) Shpenzimet sipas nenfunk.b'!M54</f>
        <v>37700000</v>
      </c>
      <c r="N26" s="843">
        <f>'(F2) Shpenzimet sipas nenfunk.b'!N54</f>
        <v>0</v>
      </c>
      <c r="O26" s="843">
        <f>'(F2) Shpenzimet sipas nenfunk.b'!O54</f>
        <v>48600000</v>
      </c>
      <c r="P26" s="843">
        <f>'(F2) Shpenzimet sipas nenfunk.b'!P54</f>
        <v>0</v>
      </c>
      <c r="Q26" s="844">
        <f>'(F2) Shpenzimet sipas nenfunk.b'!Q54</f>
        <v>48600000</v>
      </c>
    </row>
    <row r="27" spans="1:17" ht="15" customHeight="1" x14ac:dyDescent="0.2">
      <c r="A27" s="845" t="str">
        <f>'(G1) Fjalori'!A437</f>
        <v>06 Strehimi dhe Komoditetet e Komunitetit</v>
      </c>
      <c r="B27" s="844"/>
      <c r="C27" s="845">
        <f>SUM(C23:C26)</f>
        <v>78127296</v>
      </c>
      <c r="D27" s="845">
        <f t="shared" ref="D27:Q27" si="4">SUM(D23:D26)</f>
        <v>93816492</v>
      </c>
      <c r="E27" s="845">
        <f t="shared" si="4"/>
        <v>293431234</v>
      </c>
      <c r="F27" s="845">
        <f t="shared" si="4"/>
        <v>74096900</v>
      </c>
      <c r="G27" s="845">
        <f t="shared" si="4"/>
        <v>59110000</v>
      </c>
      <c r="H27" s="845">
        <f t="shared" si="4"/>
        <v>2929000</v>
      </c>
      <c r="I27" s="845">
        <f t="shared" si="4"/>
        <v>136135900</v>
      </c>
      <c r="J27" s="845">
        <f t="shared" si="4"/>
        <v>76910800</v>
      </c>
      <c r="K27" s="845">
        <f t="shared" si="4"/>
        <v>60610200</v>
      </c>
      <c r="L27" s="845">
        <f t="shared" si="4"/>
        <v>3002000</v>
      </c>
      <c r="M27" s="845">
        <f t="shared" si="4"/>
        <v>140523000</v>
      </c>
      <c r="N27" s="845">
        <f t="shared" si="4"/>
        <v>79850800</v>
      </c>
      <c r="O27" s="845">
        <f t="shared" si="4"/>
        <v>72290800</v>
      </c>
      <c r="P27" s="845">
        <f t="shared" si="4"/>
        <v>3126000</v>
      </c>
      <c r="Q27" s="845">
        <f t="shared" si="4"/>
        <v>155267600</v>
      </c>
    </row>
    <row r="28" spans="1:17" ht="15" customHeight="1" x14ac:dyDescent="0.2">
      <c r="A28" s="446" t="str">
        <f>'(B2) Struktura Organizative'!A24</f>
        <v>Nënfunksioni 18</v>
      </c>
      <c r="B28" s="100" t="str">
        <f>'(B2) Struktura Organizative'!B24</f>
        <v xml:space="preserve">072 Shërbimet e kujdesit parësor </v>
      </c>
      <c r="C28" s="842">
        <f>'(F2) Shpenzimet sipas nenfunk.b'!C56</f>
        <v>0</v>
      </c>
      <c r="D28" s="842">
        <f>'(F2) Shpenzimet sipas nenfunk.b'!D56</f>
        <v>0</v>
      </c>
      <c r="E28" s="842">
        <f>'(F2) Shpenzimet sipas nenfunk.b'!E56</f>
        <v>0</v>
      </c>
      <c r="F28" s="843">
        <f>'(F2) Shpenzimet sipas nenfunk.b'!F56</f>
        <v>0</v>
      </c>
      <c r="G28" s="843">
        <f>'(F2) Shpenzimet sipas nenfunk.b'!G56</f>
        <v>0</v>
      </c>
      <c r="H28" s="843">
        <f>'(F2) Shpenzimet sipas nenfunk.b'!H56</f>
        <v>0</v>
      </c>
      <c r="I28" s="844">
        <f>'(F2) Shpenzimet sipas nenfunk.b'!I56</f>
        <v>0</v>
      </c>
      <c r="J28" s="843">
        <f>'(F2) Shpenzimet sipas nenfunk.b'!J56</f>
        <v>0</v>
      </c>
      <c r="K28" s="843">
        <f>'(F2) Shpenzimet sipas nenfunk.b'!K56</f>
        <v>0</v>
      </c>
      <c r="L28" s="843">
        <f>'(F2) Shpenzimet sipas nenfunk.b'!L56</f>
        <v>0</v>
      </c>
      <c r="M28" s="844">
        <f>'(F2) Shpenzimet sipas nenfunk.b'!M56</f>
        <v>0</v>
      </c>
      <c r="N28" s="843">
        <f>'(F2) Shpenzimet sipas nenfunk.b'!N56</f>
        <v>0</v>
      </c>
      <c r="O28" s="843">
        <f>'(F2) Shpenzimet sipas nenfunk.b'!O56</f>
        <v>0</v>
      </c>
      <c r="P28" s="843">
        <f>'(F2) Shpenzimet sipas nenfunk.b'!P56</f>
        <v>0</v>
      </c>
      <c r="Q28" s="844">
        <f>'(F2) Shpenzimet sipas nenfunk.b'!Q56</f>
        <v>0</v>
      </c>
    </row>
    <row r="29" spans="1:17" ht="15" customHeight="1" x14ac:dyDescent="0.2">
      <c r="A29" s="846" t="str">
        <f>'(G1) Fjalori'!A438</f>
        <v>07 Shëndetësia</v>
      </c>
      <c r="B29" s="847"/>
      <c r="C29" s="845">
        <f>SUM(C28)</f>
        <v>0</v>
      </c>
      <c r="D29" s="845">
        <f t="shared" ref="D29:Q29" si="5">SUM(D28)</f>
        <v>0</v>
      </c>
      <c r="E29" s="845">
        <f t="shared" si="5"/>
        <v>0</v>
      </c>
      <c r="F29" s="845">
        <f t="shared" si="5"/>
        <v>0</v>
      </c>
      <c r="G29" s="845">
        <f t="shared" si="5"/>
        <v>0</v>
      </c>
      <c r="H29" s="845">
        <f t="shared" si="5"/>
        <v>0</v>
      </c>
      <c r="I29" s="845">
        <f t="shared" si="5"/>
        <v>0</v>
      </c>
      <c r="J29" s="845">
        <f t="shared" si="5"/>
        <v>0</v>
      </c>
      <c r="K29" s="845">
        <f t="shared" si="5"/>
        <v>0</v>
      </c>
      <c r="L29" s="845">
        <f t="shared" si="5"/>
        <v>0</v>
      </c>
      <c r="M29" s="845">
        <f t="shared" si="5"/>
        <v>0</v>
      </c>
      <c r="N29" s="845">
        <f t="shared" si="5"/>
        <v>0</v>
      </c>
      <c r="O29" s="845">
        <f t="shared" si="5"/>
        <v>0</v>
      </c>
      <c r="P29" s="845">
        <f t="shared" si="5"/>
        <v>0</v>
      </c>
      <c r="Q29" s="845">
        <f t="shared" si="5"/>
        <v>0</v>
      </c>
    </row>
    <row r="30" spans="1:17" ht="15" customHeight="1" x14ac:dyDescent="0.2">
      <c r="A30" s="446" t="str">
        <f>'(B2) Struktura Organizative'!A25</f>
        <v>Nënfunksioni 19</v>
      </c>
      <c r="B30" s="100" t="str">
        <f>'(B2) Struktura Organizative'!B25</f>
        <v>081 Shërbimet rekreative dhe sportive</v>
      </c>
      <c r="C30" s="842">
        <f>'(F2) Shpenzimet sipas nenfunk.b'!C58</f>
        <v>24247564</v>
      </c>
      <c r="D30" s="842">
        <f>'(F2) Shpenzimet sipas nenfunk.b'!D58</f>
        <v>10803448</v>
      </c>
      <c r="E30" s="842">
        <f>'(F2) Shpenzimet sipas nenfunk.b'!E58</f>
        <v>20764388</v>
      </c>
      <c r="F30" s="843">
        <f>'(F2) Shpenzimet sipas nenfunk.b'!F58</f>
        <v>5835000</v>
      </c>
      <c r="G30" s="843">
        <f>'(F2) Shpenzimet sipas nenfunk.b'!G58</f>
        <v>9820000</v>
      </c>
      <c r="H30" s="843">
        <f>'(F2) Shpenzimet sipas nenfunk.b'!H58</f>
        <v>50000</v>
      </c>
      <c r="I30" s="844">
        <f>'(F2) Shpenzimet sipas nenfunk.b'!I58</f>
        <v>15705000</v>
      </c>
      <c r="J30" s="843">
        <f>'(F2) Shpenzimet sipas nenfunk.b'!J58</f>
        <v>6418500</v>
      </c>
      <c r="K30" s="843">
        <f>'(F2) Shpenzimet sipas nenfunk.b'!K58</f>
        <v>10326500</v>
      </c>
      <c r="L30" s="843">
        <f>'(F2) Shpenzimet sipas nenfunk.b'!L58</f>
        <v>50000</v>
      </c>
      <c r="M30" s="844">
        <f>'(F2) Shpenzimet sipas nenfunk.b'!M58</f>
        <v>16795000</v>
      </c>
      <c r="N30" s="843">
        <f>'(F2) Shpenzimet sipas nenfunk.b'!N58</f>
        <v>6768600</v>
      </c>
      <c r="O30" s="843">
        <f>'(F2) Shpenzimet sipas nenfunk.b'!O58</f>
        <v>10500000</v>
      </c>
      <c r="P30" s="843">
        <f>'(F2) Shpenzimet sipas nenfunk.b'!P58</f>
        <v>100000</v>
      </c>
      <c r="Q30" s="844">
        <f>'(F2) Shpenzimet sipas nenfunk.b'!Q58</f>
        <v>17368600</v>
      </c>
    </row>
    <row r="31" spans="1:17" ht="15" customHeight="1" x14ac:dyDescent="0.2">
      <c r="A31" s="446" t="str">
        <f>'(B2) Struktura Organizative'!A26</f>
        <v>Nënfunksioni 20</v>
      </c>
      <c r="B31" s="100" t="str">
        <f>'(B2) Struktura Organizative'!B26</f>
        <v>082 Shërbimet kulturore</v>
      </c>
      <c r="C31" s="842">
        <f>'(F2) Shpenzimet sipas nenfunk.b'!C61</f>
        <v>1020083</v>
      </c>
      <c r="D31" s="842">
        <f>'(F2) Shpenzimet sipas nenfunk.b'!D61</f>
        <v>17381102</v>
      </c>
      <c r="E31" s="842">
        <f>'(F2) Shpenzimet sipas nenfunk.b'!E61</f>
        <v>35846037</v>
      </c>
      <c r="F31" s="843">
        <f>'(F2) Shpenzimet sipas nenfunk.b'!F61</f>
        <v>15714600</v>
      </c>
      <c r="G31" s="843">
        <f>'(F2) Shpenzimet sipas nenfunk.b'!G61</f>
        <v>12100600</v>
      </c>
      <c r="H31" s="843">
        <f>'(F2) Shpenzimet sipas nenfunk.b'!H61</f>
        <v>6983300</v>
      </c>
      <c r="I31" s="844">
        <f>'(F2) Shpenzimet sipas nenfunk.b'!I61</f>
        <v>34798500</v>
      </c>
      <c r="J31" s="843">
        <f>'(F2) Shpenzimet sipas nenfunk.b'!J61</f>
        <v>16186060</v>
      </c>
      <c r="K31" s="843">
        <f>'(F2) Shpenzimet sipas nenfunk.b'!K61</f>
        <v>12463640</v>
      </c>
      <c r="L31" s="843">
        <f>'(F2) Shpenzimet sipas nenfunk.b'!L61</f>
        <v>6198800</v>
      </c>
      <c r="M31" s="844">
        <f>'(F2) Shpenzimet sipas nenfunk.b'!M61</f>
        <v>34848500</v>
      </c>
      <c r="N31" s="843">
        <f>'(F2) Shpenzimet sipas nenfunk.b'!N61</f>
        <v>16690000</v>
      </c>
      <c r="O31" s="843">
        <f>'(F2) Shpenzimet sipas nenfunk.b'!O61</f>
        <v>12800000</v>
      </c>
      <c r="P31" s="843">
        <f>'(F2) Shpenzimet sipas nenfunk.b'!P61</f>
        <v>5368500</v>
      </c>
      <c r="Q31" s="844">
        <f>'(F2) Shpenzimet sipas nenfunk.b'!Q61</f>
        <v>34858500</v>
      </c>
    </row>
    <row r="32" spans="1:17" ht="15" customHeight="1" x14ac:dyDescent="0.2">
      <c r="A32" s="845" t="str">
        <f>'(G1) Fjalori'!A439</f>
        <v>08 Argëtimi, Kultura dhe Feja</v>
      </c>
      <c r="B32" s="844"/>
      <c r="C32" s="845">
        <f>SUM(C30:C31)</f>
        <v>25267647</v>
      </c>
      <c r="D32" s="845">
        <f t="shared" ref="D32:Q32" si="6">SUM(D30:D31)</f>
        <v>28184550</v>
      </c>
      <c r="E32" s="845">
        <f t="shared" si="6"/>
        <v>56610425</v>
      </c>
      <c r="F32" s="845">
        <f t="shared" si="6"/>
        <v>21549600</v>
      </c>
      <c r="G32" s="845">
        <f t="shared" si="6"/>
        <v>21920600</v>
      </c>
      <c r="H32" s="845">
        <f t="shared" si="6"/>
        <v>7033300</v>
      </c>
      <c r="I32" s="845">
        <f t="shared" si="6"/>
        <v>50503500</v>
      </c>
      <c r="J32" s="845">
        <f t="shared" si="6"/>
        <v>22604560</v>
      </c>
      <c r="K32" s="845">
        <f t="shared" si="6"/>
        <v>22790140</v>
      </c>
      <c r="L32" s="845">
        <f t="shared" si="6"/>
        <v>6248800</v>
      </c>
      <c r="M32" s="845">
        <f t="shared" si="6"/>
        <v>51643500</v>
      </c>
      <c r="N32" s="845">
        <f t="shared" si="6"/>
        <v>23458600</v>
      </c>
      <c r="O32" s="845">
        <f t="shared" si="6"/>
        <v>23300000</v>
      </c>
      <c r="P32" s="845">
        <f t="shared" si="6"/>
        <v>5468500</v>
      </c>
      <c r="Q32" s="845">
        <f t="shared" si="6"/>
        <v>52227100</v>
      </c>
    </row>
    <row r="33" spans="1:17" ht="15" customHeight="1" x14ac:dyDescent="0.2">
      <c r="A33" s="446" t="str">
        <f>'(B2) Struktura Organizative'!A27</f>
        <v>Nënfunksioni 21</v>
      </c>
      <c r="B33" s="100" t="str">
        <f>'(B2) Struktura Organizative'!B27</f>
        <v>091 Arsimi bazë dhe parashkollor</v>
      </c>
      <c r="C33" s="842">
        <f>'(F2) Shpenzimet sipas nenfunk.b'!C65</f>
        <v>162011189</v>
      </c>
      <c r="D33" s="842">
        <f>'(F2) Shpenzimet sipas nenfunk.b'!D65</f>
        <v>171800051</v>
      </c>
      <c r="E33" s="842">
        <f>'(F2) Shpenzimet sipas nenfunk.b'!E65</f>
        <v>216831061</v>
      </c>
      <c r="F33" s="843">
        <f>'(F2) Shpenzimet sipas nenfunk.b'!F65</f>
        <v>161240000</v>
      </c>
      <c r="G33" s="843">
        <f>'(F2) Shpenzimet sipas nenfunk.b'!G65</f>
        <v>48293000</v>
      </c>
      <c r="H33" s="843">
        <f>'(F2) Shpenzimet sipas nenfunk.b'!H65</f>
        <v>1850000</v>
      </c>
      <c r="I33" s="844">
        <f>'(F2) Shpenzimet sipas nenfunk.b'!I65</f>
        <v>211383000</v>
      </c>
      <c r="J33" s="843">
        <f>'(F2) Shpenzimet sipas nenfunk.b'!J65</f>
        <v>166075000</v>
      </c>
      <c r="K33" s="843">
        <f>'(F2) Shpenzimet sipas nenfunk.b'!K65</f>
        <v>49747000</v>
      </c>
      <c r="L33" s="843">
        <f>'(F2) Shpenzimet sipas nenfunk.b'!L65</f>
        <v>1900000</v>
      </c>
      <c r="M33" s="844">
        <f>'(F2) Shpenzimet sipas nenfunk.b'!M65</f>
        <v>217722000</v>
      </c>
      <c r="N33" s="843">
        <f>'(F2) Shpenzimet sipas nenfunk.b'!N65</f>
        <v>171058000</v>
      </c>
      <c r="O33" s="843">
        <f>'(F2) Shpenzimet sipas nenfunk.b'!O65</f>
        <v>51311000</v>
      </c>
      <c r="P33" s="843">
        <f>'(F2) Shpenzimet sipas nenfunk.b'!P65</f>
        <v>2100000</v>
      </c>
      <c r="Q33" s="844">
        <f>'(F2) Shpenzimet sipas nenfunk.b'!Q65</f>
        <v>224469000</v>
      </c>
    </row>
    <row r="34" spans="1:17" ht="15" customHeight="1" x14ac:dyDescent="0.2">
      <c r="A34" s="446" t="str">
        <f>'(B2) Struktura Organizative'!A28</f>
        <v>Nënfunksioni 22</v>
      </c>
      <c r="B34" s="100" t="str">
        <f>'(B2) Struktura Organizative'!B28</f>
        <v>092 Arsimi  parauniversitar</v>
      </c>
      <c r="C34" s="842">
        <f>'(F2) Shpenzimet sipas nenfunk.b'!C67</f>
        <v>28558839</v>
      </c>
      <c r="D34" s="842">
        <f>'(F2) Shpenzimet sipas nenfunk.b'!D67</f>
        <v>41191090</v>
      </c>
      <c r="E34" s="842">
        <f>'(F2) Shpenzimet sipas nenfunk.b'!E67</f>
        <v>23292569</v>
      </c>
      <c r="F34" s="843">
        <f>'(F2) Shpenzimet sipas nenfunk.b'!F67</f>
        <v>9835000</v>
      </c>
      <c r="G34" s="843">
        <f>'(F2) Shpenzimet sipas nenfunk.b'!G67</f>
        <v>0</v>
      </c>
      <c r="H34" s="843">
        <f>'(F2) Shpenzimet sipas nenfunk.b'!H67</f>
        <v>0</v>
      </c>
      <c r="I34" s="844">
        <f>'(F2) Shpenzimet sipas nenfunk.b'!I67</f>
        <v>9835000</v>
      </c>
      <c r="J34" s="843">
        <f>'(F2) Shpenzimet sipas nenfunk.b'!J67</f>
        <v>10130000</v>
      </c>
      <c r="K34" s="843">
        <f>'(F2) Shpenzimet sipas nenfunk.b'!K67</f>
        <v>0</v>
      </c>
      <c r="L34" s="843">
        <f>'(F2) Shpenzimet sipas nenfunk.b'!L67</f>
        <v>0</v>
      </c>
      <c r="M34" s="844">
        <f>'(F2) Shpenzimet sipas nenfunk.b'!M67</f>
        <v>10130000</v>
      </c>
      <c r="N34" s="843">
        <f>'(F2) Shpenzimet sipas nenfunk.b'!N67</f>
        <v>10435000</v>
      </c>
      <c r="O34" s="843">
        <f>'(F2) Shpenzimet sipas nenfunk.b'!O67</f>
        <v>0</v>
      </c>
      <c r="P34" s="843">
        <f>'(F2) Shpenzimet sipas nenfunk.b'!P67</f>
        <v>0</v>
      </c>
      <c r="Q34" s="844">
        <f>'(F2) Shpenzimet sipas nenfunk.b'!Q67</f>
        <v>10435000</v>
      </c>
    </row>
    <row r="35" spans="1:17" ht="15" customHeight="1" x14ac:dyDescent="0.2">
      <c r="A35" s="846" t="str">
        <f>'(G1) Fjalori'!A440</f>
        <v>09 Arsimi</v>
      </c>
      <c r="B35" s="847"/>
      <c r="C35" s="845">
        <f t="shared" ref="C35:Q35" si="7">SUM(C33:C34)</f>
        <v>190570028</v>
      </c>
      <c r="D35" s="845">
        <f t="shared" si="7"/>
        <v>212991141</v>
      </c>
      <c r="E35" s="845">
        <f t="shared" si="7"/>
        <v>240123630</v>
      </c>
      <c r="F35" s="845">
        <f t="shared" si="7"/>
        <v>171075000</v>
      </c>
      <c r="G35" s="845">
        <f t="shared" si="7"/>
        <v>48293000</v>
      </c>
      <c r="H35" s="845">
        <f t="shared" si="7"/>
        <v>1850000</v>
      </c>
      <c r="I35" s="845">
        <f t="shared" si="7"/>
        <v>221218000</v>
      </c>
      <c r="J35" s="845">
        <f t="shared" si="7"/>
        <v>176205000</v>
      </c>
      <c r="K35" s="845">
        <f t="shared" si="7"/>
        <v>49747000</v>
      </c>
      <c r="L35" s="845">
        <f t="shared" si="7"/>
        <v>1900000</v>
      </c>
      <c r="M35" s="845">
        <f t="shared" si="7"/>
        <v>227852000</v>
      </c>
      <c r="N35" s="845">
        <f t="shared" si="7"/>
        <v>181493000</v>
      </c>
      <c r="O35" s="845">
        <f t="shared" si="7"/>
        <v>51311000</v>
      </c>
      <c r="P35" s="845">
        <f t="shared" si="7"/>
        <v>2100000</v>
      </c>
      <c r="Q35" s="845">
        <f t="shared" si="7"/>
        <v>234904000</v>
      </c>
    </row>
    <row r="36" spans="1:17" ht="15" customHeight="1" x14ac:dyDescent="0.2">
      <c r="A36" s="446" t="str">
        <f>'(B2) Struktura Organizative'!A29</f>
        <v>Nënfunksioni 23</v>
      </c>
      <c r="B36" s="100" t="str">
        <f>'(B2) Struktura Organizative'!B29</f>
        <v>101 Sëmundje dhe paaftësi</v>
      </c>
      <c r="C36" s="842">
        <f>'(F2) Shpenzimet sipas nenfunk.b'!C71</f>
        <v>0</v>
      </c>
      <c r="D36" s="842">
        <f>'(F2) Shpenzimet sipas nenfunk.b'!D71</f>
        <v>0</v>
      </c>
      <c r="E36" s="842">
        <f>'(F2) Shpenzimet sipas nenfunk.b'!E71</f>
        <v>0</v>
      </c>
      <c r="F36" s="843">
        <f>'(F2) Shpenzimet sipas nenfunk.b'!F71</f>
        <v>0</v>
      </c>
      <c r="G36" s="843">
        <f>'(F2) Shpenzimet sipas nenfunk.b'!G71</f>
        <v>0</v>
      </c>
      <c r="H36" s="843">
        <f>'(F2) Shpenzimet sipas nenfunk.b'!H71</f>
        <v>0</v>
      </c>
      <c r="I36" s="844">
        <f>'(F2) Shpenzimet sipas nenfunk.b'!I71</f>
        <v>0</v>
      </c>
      <c r="J36" s="843">
        <f>'(F2) Shpenzimet sipas nenfunk.b'!J71</f>
        <v>0</v>
      </c>
      <c r="K36" s="843">
        <f>'(F2) Shpenzimet sipas nenfunk.b'!K71</f>
        <v>0</v>
      </c>
      <c r="L36" s="843">
        <f>'(F2) Shpenzimet sipas nenfunk.b'!L71</f>
        <v>0</v>
      </c>
      <c r="M36" s="844">
        <f>'(F2) Shpenzimet sipas nenfunk.b'!M71</f>
        <v>0</v>
      </c>
      <c r="N36" s="843">
        <f>'(F2) Shpenzimet sipas nenfunk.b'!N71</f>
        <v>0</v>
      </c>
      <c r="O36" s="843">
        <f>'(F2) Shpenzimet sipas nenfunk.b'!O71</f>
        <v>0</v>
      </c>
      <c r="P36" s="843">
        <f>'(F2) Shpenzimet sipas nenfunk.b'!P71</f>
        <v>0</v>
      </c>
      <c r="Q36" s="844">
        <f>'(F2) Shpenzimet sipas nenfunk.b'!Q71</f>
        <v>0</v>
      </c>
    </row>
    <row r="37" spans="1:17" ht="15" customHeight="1" x14ac:dyDescent="0.2">
      <c r="A37" s="446" t="str">
        <f>'(B2) Struktura Organizative'!A30</f>
        <v>Nënfunksioni 24</v>
      </c>
      <c r="B37" s="100" t="str">
        <f>'(B2) Struktura Organizative'!B30</f>
        <v>102 Të moshuarit</v>
      </c>
      <c r="C37" s="842">
        <f>'(F2) Shpenzimet sipas nenfunk.b'!C73</f>
        <v>0</v>
      </c>
      <c r="D37" s="842">
        <f>'(F2) Shpenzimet sipas nenfunk.b'!D73</f>
        <v>0</v>
      </c>
      <c r="E37" s="842">
        <f>'(F2) Shpenzimet sipas nenfunk.b'!E73</f>
        <v>0</v>
      </c>
      <c r="F37" s="843">
        <f>'(F2) Shpenzimet sipas nenfunk.b'!F73</f>
        <v>0</v>
      </c>
      <c r="G37" s="843">
        <f>'(F2) Shpenzimet sipas nenfunk.b'!G73</f>
        <v>0</v>
      </c>
      <c r="H37" s="843">
        <f>'(F2) Shpenzimet sipas nenfunk.b'!H73</f>
        <v>0</v>
      </c>
      <c r="I37" s="844">
        <f>'(F2) Shpenzimet sipas nenfunk.b'!I73</f>
        <v>0</v>
      </c>
      <c r="J37" s="843">
        <f>'(F2) Shpenzimet sipas nenfunk.b'!J73</f>
        <v>0</v>
      </c>
      <c r="K37" s="843">
        <f>'(F2) Shpenzimet sipas nenfunk.b'!K73</f>
        <v>0</v>
      </c>
      <c r="L37" s="843">
        <f>'(F2) Shpenzimet sipas nenfunk.b'!L73</f>
        <v>0</v>
      </c>
      <c r="M37" s="844">
        <f>'(F2) Shpenzimet sipas nenfunk.b'!M73</f>
        <v>0</v>
      </c>
      <c r="N37" s="843">
        <f>'(F2) Shpenzimet sipas nenfunk.b'!N73</f>
        <v>0</v>
      </c>
      <c r="O37" s="843">
        <f>'(F2) Shpenzimet sipas nenfunk.b'!O73</f>
        <v>0</v>
      </c>
      <c r="P37" s="843">
        <f>'(F2) Shpenzimet sipas nenfunk.b'!P73</f>
        <v>0</v>
      </c>
      <c r="Q37" s="844">
        <f>'(F2) Shpenzimet sipas nenfunk.b'!Q73</f>
        <v>0</v>
      </c>
    </row>
    <row r="38" spans="1:17" ht="15" customHeight="1" x14ac:dyDescent="0.2">
      <c r="A38" s="446" t="str">
        <f>'(B2) Struktura Organizative'!A31</f>
        <v>Nënfunksioni 25</v>
      </c>
      <c r="B38" s="100" t="str">
        <f>'(B2) Struktura Organizative'!B31</f>
        <v>104 Familje dhe fëmijë</v>
      </c>
      <c r="C38" s="842">
        <f>'(F2) Shpenzimet sipas nenfunk.b'!C75</f>
        <v>754931278</v>
      </c>
      <c r="D38" s="842">
        <f>'(F2) Shpenzimet sipas nenfunk.b'!D75</f>
        <v>937920190</v>
      </c>
      <c r="E38" s="842">
        <f>'(F2) Shpenzimet sipas nenfunk.b'!E75</f>
        <v>940463352</v>
      </c>
      <c r="F38" s="843">
        <f>'(F2) Shpenzimet sipas nenfunk.b'!F75</f>
        <v>6347000</v>
      </c>
      <c r="G38" s="843">
        <f>'(F2) Shpenzimet sipas nenfunk.b'!G75</f>
        <v>951442000</v>
      </c>
      <c r="H38" s="843">
        <f>'(F2) Shpenzimet sipas nenfunk.b'!H75</f>
        <v>0</v>
      </c>
      <c r="I38" s="844">
        <f>'(F2) Shpenzimet sipas nenfunk.b'!I75</f>
        <v>957789000</v>
      </c>
      <c r="J38" s="843">
        <f>'(F2) Shpenzimet sipas nenfunk.b'!J75</f>
        <v>6347000</v>
      </c>
      <c r="K38" s="843">
        <f>'(F2) Shpenzimet sipas nenfunk.b'!K75</f>
        <v>951442000</v>
      </c>
      <c r="L38" s="843">
        <f>'(F2) Shpenzimet sipas nenfunk.b'!L75</f>
        <v>0</v>
      </c>
      <c r="M38" s="844">
        <f>'(F2) Shpenzimet sipas nenfunk.b'!M75</f>
        <v>957789000</v>
      </c>
      <c r="N38" s="843">
        <f>'(F2) Shpenzimet sipas nenfunk.b'!N75</f>
        <v>6347000</v>
      </c>
      <c r="O38" s="843">
        <f>'(F2) Shpenzimet sipas nenfunk.b'!O75</f>
        <v>951442000</v>
      </c>
      <c r="P38" s="843">
        <f>'(F2) Shpenzimet sipas nenfunk.b'!P75</f>
        <v>0</v>
      </c>
      <c r="Q38" s="844">
        <f>'(F2) Shpenzimet sipas nenfunk.b'!Q75</f>
        <v>957789000</v>
      </c>
    </row>
    <row r="39" spans="1:17" ht="15" customHeight="1" x14ac:dyDescent="0.2">
      <c r="A39" s="446" t="str">
        <f>'(B2) Struktura Organizative'!A32</f>
        <v>Nënfunksioni 26</v>
      </c>
      <c r="B39" s="100" t="str">
        <f>'(B2) Struktura Organizative'!B32</f>
        <v>105 Papunësia</v>
      </c>
      <c r="C39" s="842">
        <f>'(F2) Shpenzimet sipas nenfunk.b'!C78</f>
        <v>0</v>
      </c>
      <c r="D39" s="842">
        <f>'(F2) Shpenzimet sipas nenfunk.b'!D78</f>
        <v>0</v>
      </c>
      <c r="E39" s="842">
        <f>'(F2) Shpenzimet sipas nenfunk.b'!E78</f>
        <v>0</v>
      </c>
      <c r="F39" s="843">
        <f>'(F2) Shpenzimet sipas nenfunk.b'!F78</f>
        <v>0</v>
      </c>
      <c r="G39" s="843">
        <f>'(F2) Shpenzimet sipas nenfunk.b'!G78</f>
        <v>0</v>
      </c>
      <c r="H39" s="843">
        <f>'(F2) Shpenzimet sipas nenfunk.b'!H78</f>
        <v>0</v>
      </c>
      <c r="I39" s="844">
        <f>'(F2) Shpenzimet sipas nenfunk.b'!I78</f>
        <v>0</v>
      </c>
      <c r="J39" s="843">
        <f>'(F2) Shpenzimet sipas nenfunk.b'!J78</f>
        <v>0</v>
      </c>
      <c r="K39" s="843">
        <f>'(F2) Shpenzimet sipas nenfunk.b'!K78</f>
        <v>0</v>
      </c>
      <c r="L39" s="843">
        <f>'(F2) Shpenzimet sipas nenfunk.b'!L78</f>
        <v>0</v>
      </c>
      <c r="M39" s="844">
        <f>'(F2) Shpenzimet sipas nenfunk.b'!M78</f>
        <v>0</v>
      </c>
      <c r="N39" s="843">
        <f>'(F2) Shpenzimet sipas nenfunk.b'!N78</f>
        <v>0</v>
      </c>
      <c r="O39" s="843">
        <f>'(F2) Shpenzimet sipas nenfunk.b'!O78</f>
        <v>0</v>
      </c>
      <c r="P39" s="843">
        <f>'(F2) Shpenzimet sipas nenfunk.b'!P78</f>
        <v>0</v>
      </c>
      <c r="Q39" s="844">
        <f>'(F2) Shpenzimet sipas nenfunk.b'!Q78</f>
        <v>0</v>
      </c>
    </row>
    <row r="40" spans="1:17" ht="15" customHeight="1" x14ac:dyDescent="0.2">
      <c r="A40" s="446" t="str">
        <f>'(B2) Struktura Organizative'!A33</f>
        <v>Nënfunksioni 27</v>
      </c>
      <c r="B40" s="100" t="str">
        <f>'(B2) Struktura Organizative'!B33</f>
        <v>106 Strehimi social</v>
      </c>
      <c r="C40" s="842">
        <f>'(F2) Shpenzimet sipas nenfunk.b'!C80</f>
        <v>0</v>
      </c>
      <c r="D40" s="842">
        <f>'(F2) Shpenzimet sipas nenfunk.b'!D80</f>
        <v>0</v>
      </c>
      <c r="E40" s="842">
        <f>'(F2) Shpenzimet sipas nenfunk.b'!E80</f>
        <v>0</v>
      </c>
      <c r="F40" s="843">
        <f>'(F2) Shpenzimet sipas nenfunk.b'!F80</f>
        <v>0</v>
      </c>
      <c r="G40" s="843">
        <f>'(F2) Shpenzimet sipas nenfunk.b'!G80</f>
        <v>0</v>
      </c>
      <c r="H40" s="843">
        <f>'(F2) Shpenzimet sipas nenfunk.b'!H80</f>
        <v>0</v>
      </c>
      <c r="I40" s="844">
        <f>'(F2) Shpenzimet sipas nenfunk.b'!I80</f>
        <v>0</v>
      </c>
      <c r="J40" s="843">
        <f>'(F2) Shpenzimet sipas nenfunk.b'!J80</f>
        <v>0</v>
      </c>
      <c r="K40" s="843">
        <f>'(F2) Shpenzimet sipas nenfunk.b'!K80</f>
        <v>0</v>
      </c>
      <c r="L40" s="843">
        <f>'(F2) Shpenzimet sipas nenfunk.b'!L80</f>
        <v>0</v>
      </c>
      <c r="M40" s="844">
        <f>'(F2) Shpenzimet sipas nenfunk.b'!M80</f>
        <v>0</v>
      </c>
      <c r="N40" s="843">
        <f>'(F2) Shpenzimet sipas nenfunk.b'!N80</f>
        <v>0</v>
      </c>
      <c r="O40" s="843">
        <f>'(F2) Shpenzimet sipas nenfunk.b'!O80</f>
        <v>0</v>
      </c>
      <c r="P40" s="843">
        <f>'(F2) Shpenzimet sipas nenfunk.b'!P80</f>
        <v>0</v>
      </c>
      <c r="Q40" s="844">
        <f>'(F2) Shpenzimet sipas nenfunk.b'!Q80</f>
        <v>0</v>
      </c>
    </row>
    <row r="41" spans="1:17" ht="15" customHeight="1" x14ac:dyDescent="0.2">
      <c r="A41" s="846" t="str">
        <f>'(G1) Fjalori'!A441</f>
        <v>10 Mbrojtja Sociale</v>
      </c>
      <c r="B41" s="847"/>
      <c r="C41" s="845">
        <f t="shared" ref="C41:Q41" si="8">SUM(C36:C40)</f>
        <v>754931278</v>
      </c>
      <c r="D41" s="845">
        <f t="shared" si="8"/>
        <v>937920190</v>
      </c>
      <c r="E41" s="845">
        <f t="shared" si="8"/>
        <v>940463352</v>
      </c>
      <c r="F41" s="845">
        <f t="shared" si="8"/>
        <v>6347000</v>
      </c>
      <c r="G41" s="845">
        <f t="shared" si="8"/>
        <v>951442000</v>
      </c>
      <c r="H41" s="845">
        <f t="shared" si="8"/>
        <v>0</v>
      </c>
      <c r="I41" s="845">
        <f t="shared" si="8"/>
        <v>957789000</v>
      </c>
      <c r="J41" s="845">
        <f t="shared" si="8"/>
        <v>6347000</v>
      </c>
      <c r="K41" s="845">
        <f t="shared" si="8"/>
        <v>951442000</v>
      </c>
      <c r="L41" s="845">
        <f t="shared" si="8"/>
        <v>0</v>
      </c>
      <c r="M41" s="845">
        <f t="shared" si="8"/>
        <v>957789000</v>
      </c>
      <c r="N41" s="845">
        <f t="shared" si="8"/>
        <v>6347000</v>
      </c>
      <c r="O41" s="845">
        <f t="shared" si="8"/>
        <v>951442000</v>
      </c>
      <c r="P41" s="845">
        <f t="shared" si="8"/>
        <v>0</v>
      </c>
      <c r="Q41" s="845">
        <f t="shared" si="8"/>
        <v>957789000</v>
      </c>
    </row>
    <row r="42" spans="1:17" ht="15" customHeight="1" x14ac:dyDescent="0.2">
      <c r="A42" s="1459" t="str">
        <f>'(G1) Fjalori'!A751</f>
        <v>TOTALI I FONDEVE REZERVE + KONTIGJENCË</v>
      </c>
      <c r="B42" s="1460"/>
      <c r="C42" s="846"/>
      <c r="D42" s="848"/>
      <c r="E42" s="849"/>
      <c r="F42" s="846"/>
      <c r="G42" s="848"/>
      <c r="H42" s="849"/>
      <c r="I42" s="845">
        <f>'(D1) Tavanet buxhetore'!C494</f>
        <v>23729331.258680001</v>
      </c>
      <c r="J42" s="846"/>
      <c r="K42" s="848"/>
      <c r="L42" s="849"/>
      <c r="M42" s="845">
        <f>'(D1) Tavanet buxhetore'!D494</f>
        <v>23163619.133885641</v>
      </c>
      <c r="N42" s="846"/>
      <c r="O42" s="848"/>
      <c r="P42" s="849"/>
      <c r="Q42" s="845">
        <f>'(D1) Tavanet buxhetore'!E494</f>
        <v>23346806.474902656</v>
      </c>
    </row>
    <row r="43" spans="1:17" ht="15" customHeight="1" x14ac:dyDescent="0.2">
      <c r="A43" s="1457" t="str">
        <f>'(G1) Fjalori'!A426</f>
        <v>Totali</v>
      </c>
      <c r="B43" s="1457"/>
      <c r="C43" s="850">
        <f t="shared" ref="C43:Q43" si="9">C42+C41+C35+C32+C29+C27+C22+C17+C12+C8</f>
        <v>1519965155</v>
      </c>
      <c r="D43" s="850">
        <f t="shared" si="9"/>
        <v>1822305984</v>
      </c>
      <c r="E43" s="850">
        <f t="shared" si="9"/>
        <v>2351787988</v>
      </c>
      <c r="F43" s="850">
        <f t="shared" si="9"/>
        <v>513772002</v>
      </c>
      <c r="G43" s="850">
        <f t="shared" si="9"/>
        <v>1377355658</v>
      </c>
      <c r="H43" s="850">
        <f t="shared" si="9"/>
        <v>270280988</v>
      </c>
      <c r="I43" s="850">
        <f t="shared" si="9"/>
        <v>2185137979.2586799</v>
      </c>
      <c r="J43" s="850">
        <f t="shared" si="9"/>
        <v>526504214</v>
      </c>
      <c r="K43" s="850">
        <f t="shared" si="9"/>
        <v>1383867996</v>
      </c>
      <c r="L43" s="850">
        <f t="shared" si="9"/>
        <v>209417260</v>
      </c>
      <c r="M43" s="850">
        <f t="shared" si="9"/>
        <v>2142953089.1338856</v>
      </c>
      <c r="N43" s="850">
        <f t="shared" si="9"/>
        <v>539464177</v>
      </c>
      <c r="O43" s="850">
        <f t="shared" si="9"/>
        <v>1400202873</v>
      </c>
      <c r="P43" s="850">
        <f t="shared" si="9"/>
        <v>209773423</v>
      </c>
      <c r="Q43" s="850">
        <f t="shared" si="9"/>
        <v>2172787279.4749026</v>
      </c>
    </row>
  </sheetData>
  <sheetProtection selectLockedCells="1"/>
  <mergeCells count="10">
    <mergeCell ref="A1:Q1"/>
    <mergeCell ref="F3:I4"/>
    <mergeCell ref="J3:M4"/>
    <mergeCell ref="N3:Q4"/>
    <mergeCell ref="A43:B43"/>
    <mergeCell ref="C3:C4"/>
    <mergeCell ref="D3:D4"/>
    <mergeCell ref="E3:E4"/>
    <mergeCell ref="A42:B42"/>
    <mergeCell ref="A8:B8"/>
  </mergeCells>
  <pageMargins left="0.28999999999999998" right="0.21" top="0.98425196850393704" bottom="0.78740157480314965" header="0.43307086614173229" footer="0.31496062992125984"/>
  <pageSetup paperSize="9" scale="60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1" manualBreakCount="1">
    <brk id="120" max="15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tabColor rgb="FF92D050"/>
  </sheetPr>
  <dimension ref="A1:J13"/>
  <sheetViews>
    <sheetView showGridLines="0" showRowColHeaders="0" topLeftCell="A4" workbookViewId="0">
      <selection activeCell="R20" sqref="R20"/>
    </sheetView>
  </sheetViews>
  <sheetFormatPr defaultColWidth="4.140625" defaultRowHeight="12.75" x14ac:dyDescent="0.2"/>
  <cols>
    <col min="1" max="1" width="4.140625" style="101"/>
    <col min="2" max="2" width="5.7109375" style="101" bestFit="1" customWidth="1"/>
    <col min="3" max="3" width="24.28515625" style="101" customWidth="1"/>
    <col min="4" max="4" width="60.140625" style="101" customWidth="1"/>
    <col min="5" max="6" width="7.85546875" style="101" customWidth="1"/>
    <col min="7" max="9" width="8" style="101" customWidth="1"/>
    <col min="10" max="10" width="8.42578125" style="101" customWidth="1"/>
    <col min="11" max="202" width="11.5703125" style="101" customWidth="1"/>
    <col min="203" max="203" width="3.85546875" style="101" customWidth="1"/>
    <col min="204" max="204" width="22" style="101" customWidth="1"/>
    <col min="205" max="207" width="4.140625" style="101" customWidth="1"/>
    <col min="208" max="208" width="5.85546875" style="101" customWidth="1"/>
    <col min="209" max="209" width="4.140625" style="101" customWidth="1"/>
    <col min="210" max="210" width="0.85546875" style="101" customWidth="1"/>
    <col min="211" max="211" width="5.85546875" style="101" customWidth="1"/>
    <col min="212" max="212" width="4.140625" style="101" customWidth="1"/>
    <col min="213" max="213" width="0.85546875" style="101" customWidth="1"/>
    <col min="214" max="214" width="5.85546875" style="101" customWidth="1"/>
    <col min="215" max="215" width="4.140625" style="101" customWidth="1"/>
    <col min="216" max="216" width="0.85546875" style="101" customWidth="1"/>
    <col min="217" max="217" width="5.85546875" style="101" customWidth="1"/>
    <col min="218" max="16384" width="4.140625" style="101"/>
  </cols>
  <sheetData>
    <row r="1" spans="1:10" s="212" customFormat="1" ht="21" x14ac:dyDescent="0.25">
      <c r="A1" s="1127" t="str">
        <f>'(G1) Fjalori'!A443</f>
        <v>(F7) GRAFIKU I SHPENZIMEVE SIPAS FUNKSIONIT - VLERA BRUTO</v>
      </c>
      <c r="B1" s="1128"/>
      <c r="C1" s="1128"/>
      <c r="D1" s="1128"/>
      <c r="E1" s="1128"/>
      <c r="F1" s="1128"/>
      <c r="G1" s="1128"/>
      <c r="H1" s="1128"/>
      <c r="I1" s="1128"/>
      <c r="J1" s="1129"/>
    </row>
    <row r="2" spans="1:10" s="95" customFormat="1" ht="12.75" customHeight="1" thickBot="1" x14ac:dyDescent="0.25">
      <c r="I2" s="96"/>
    </row>
    <row r="3" spans="1:10" ht="15" customHeight="1" thickBot="1" x14ac:dyDescent="0.25">
      <c r="D3" s="226">
        <f>'(A1) Titulli'!B39</f>
        <v>2019</v>
      </c>
      <c r="E3" s="226">
        <f>'(A1) Titulli'!B40</f>
        <v>2020</v>
      </c>
      <c r="F3" s="226">
        <f>'(A1) Titulli'!B41</f>
        <v>2021</v>
      </c>
      <c r="G3" s="227">
        <f>'(A1) Titulli'!B42</f>
        <v>2022</v>
      </c>
      <c r="H3" s="227">
        <f>'(A1) Titulli'!B43</f>
        <v>2023</v>
      </c>
      <c r="I3" s="227">
        <f>'(A1) Titulli'!B44</f>
        <v>2024</v>
      </c>
    </row>
    <row r="4" spans="1:10" ht="15" customHeight="1" thickBot="1" x14ac:dyDescent="0.25">
      <c r="B4" s="151" t="s">
        <v>63</v>
      </c>
      <c r="C4" s="151" t="str">
        <f>'(F6) Shpenzimet sipas funks.bru'!A8</f>
        <v>01 Shërbimet e Përgjithshme Publike</v>
      </c>
      <c r="D4" s="149">
        <f>'(F6) Shpenzimet sipas funks.bru'!C8</f>
        <v>201208668</v>
      </c>
      <c r="E4" s="149">
        <f>'(F6) Shpenzimet sipas funks.bru'!D8</f>
        <v>315650409</v>
      </c>
      <c r="F4" s="149">
        <f>'(F6) Shpenzimet sipas funks.bru'!E8</f>
        <v>432225564</v>
      </c>
      <c r="G4" s="149">
        <f>'(F6) Shpenzimet sipas funks.bru'!I8</f>
        <v>378732688</v>
      </c>
      <c r="H4" s="149">
        <f>'(F6) Shpenzimet sipas funks.bru'!M8</f>
        <v>320188860</v>
      </c>
      <c r="I4" s="149">
        <f>'(F6) Shpenzimet sipas funks.bru'!Q8</f>
        <v>319549283</v>
      </c>
    </row>
    <row r="5" spans="1:10" ht="11.25" customHeight="1" thickBot="1" x14ac:dyDescent="0.25">
      <c r="B5" s="151" t="s">
        <v>64</v>
      </c>
      <c r="C5" s="151" t="str">
        <f>'(F6) Shpenzimet sipas funks.bru'!A12</f>
        <v>03 Rendi dhe Siguria Publike</v>
      </c>
      <c r="D5" s="149">
        <f>'(F6) Shpenzimet sipas funks.bru'!C12</f>
        <v>11570753</v>
      </c>
      <c r="E5" s="149">
        <f>'(F6) Shpenzimet sipas funks.bru'!D12</f>
        <v>13488330</v>
      </c>
      <c r="F5" s="149">
        <f>'(F6) Shpenzimet sipas funks.bru'!E12</f>
        <v>20596534</v>
      </c>
      <c r="G5" s="149">
        <f>'(F6) Shpenzimet sipas funks.bru'!I12</f>
        <v>17429650</v>
      </c>
      <c r="H5" s="149">
        <f>'(F6) Shpenzimet sipas funks.bru'!M12</f>
        <v>17429650</v>
      </c>
      <c r="I5" s="149">
        <f>'(F6) Shpenzimet sipas funks.bru'!Q12</f>
        <v>17429650</v>
      </c>
    </row>
    <row r="6" spans="1:10" ht="11.25" customHeight="1" thickBot="1" x14ac:dyDescent="0.25">
      <c r="B6" s="151" t="s">
        <v>65</v>
      </c>
      <c r="C6" s="151" t="str">
        <f>'(F6) Shpenzimet sipas funks.bru'!A17</f>
        <v>04 Çeshtjet Ekonomike</v>
      </c>
      <c r="D6" s="149">
        <f>'(F6) Shpenzimet sipas funks.bru'!C17</f>
        <v>220668808</v>
      </c>
      <c r="E6" s="149">
        <f>'(F6) Shpenzimet sipas funks.bru'!D17</f>
        <v>114343042</v>
      </c>
      <c r="F6" s="149">
        <f>'(F6) Shpenzimet sipas funks.bru'!E17</f>
        <v>227948963</v>
      </c>
      <c r="G6" s="149">
        <f>'(F6) Shpenzimet sipas funks.bru'!I17</f>
        <v>249599910</v>
      </c>
      <c r="H6" s="149">
        <f>'(F6) Shpenzimet sipas funks.bru'!M17</f>
        <v>254363460</v>
      </c>
      <c r="I6" s="149">
        <f>'(F6) Shpenzimet sipas funks.bru'!Q17</f>
        <v>262273840</v>
      </c>
    </row>
    <row r="7" spans="1:10" ht="11.25" customHeight="1" thickBot="1" x14ac:dyDescent="0.25">
      <c r="B7" s="151" t="s">
        <v>221</v>
      </c>
      <c r="C7" s="151" t="str">
        <f>'(F6) Shpenzimet sipas funks.bru'!A22</f>
        <v>05 Mbrojtja Mjedisore</v>
      </c>
      <c r="D7" s="149">
        <f>'(F6) Shpenzimet sipas funks.bru'!C22</f>
        <v>37620677</v>
      </c>
      <c r="E7" s="149">
        <f>'(F6) Shpenzimet sipas funks.bru'!D22</f>
        <v>105911830</v>
      </c>
      <c r="F7" s="149">
        <f>'(F6) Shpenzimet sipas funks.bru'!E22</f>
        <v>140388286</v>
      </c>
      <c r="G7" s="149">
        <f>'(F6) Shpenzimet sipas funks.bru'!I22</f>
        <v>150000000</v>
      </c>
      <c r="H7" s="149">
        <f>'(F6) Shpenzimet sipas funks.bru'!M22</f>
        <v>150000000</v>
      </c>
      <c r="I7" s="149">
        <f>'(F6) Shpenzimet sipas funks.bru'!Q22</f>
        <v>150000000</v>
      </c>
    </row>
    <row r="8" spans="1:10" ht="11.25" customHeight="1" thickBot="1" x14ac:dyDescent="0.25">
      <c r="B8" s="151" t="s">
        <v>66</v>
      </c>
      <c r="C8" s="151" t="str">
        <f>'(F6) Shpenzimet sipas funks.bru'!A27</f>
        <v>06 Strehimi dhe Komoditetet e Komunitetit</v>
      </c>
      <c r="D8" s="149">
        <f>'(F6) Shpenzimet sipas funks.bru'!C27</f>
        <v>78127296</v>
      </c>
      <c r="E8" s="149">
        <f>'(F6) Shpenzimet sipas funks.bru'!D27</f>
        <v>93816492</v>
      </c>
      <c r="F8" s="149">
        <f>'(F6) Shpenzimet sipas funks.bru'!E27</f>
        <v>293431234</v>
      </c>
      <c r="G8" s="149">
        <f>'(F6) Shpenzimet sipas funks.bru'!I27</f>
        <v>136135900</v>
      </c>
      <c r="H8" s="149">
        <f>'(F6) Shpenzimet sipas funks.bru'!M27</f>
        <v>140523000</v>
      </c>
      <c r="I8" s="149">
        <f>'(F6) Shpenzimet sipas funks.bru'!Q27</f>
        <v>155267600</v>
      </c>
    </row>
    <row r="9" spans="1:10" ht="11.25" customHeight="1" thickBot="1" x14ac:dyDescent="0.25">
      <c r="B9" s="151" t="s">
        <v>67</v>
      </c>
      <c r="C9" s="151" t="str">
        <f>'(F6) Shpenzimet sipas funks.bru'!A29</f>
        <v>07 Shëndetësia</v>
      </c>
      <c r="D9" s="149">
        <f>'(F6) Shpenzimet sipas funks.bru'!C29</f>
        <v>0</v>
      </c>
      <c r="E9" s="149">
        <f>'(F6) Shpenzimet sipas funks.bru'!D29</f>
        <v>0</v>
      </c>
      <c r="F9" s="149">
        <f>'(F6) Shpenzimet sipas funks.bru'!E29</f>
        <v>0</v>
      </c>
      <c r="G9" s="149">
        <f>'(F6) Shpenzimet sipas funks.bru'!I29</f>
        <v>0</v>
      </c>
      <c r="H9" s="149">
        <f>'(F6) Shpenzimet sipas funks.bru'!M29</f>
        <v>0</v>
      </c>
      <c r="I9" s="149">
        <f>'(F6) Shpenzimet sipas funks.bru'!Q29</f>
        <v>0</v>
      </c>
    </row>
    <row r="10" spans="1:10" ht="11.25" customHeight="1" thickBot="1" x14ac:dyDescent="0.25">
      <c r="B10" s="151" t="s">
        <v>68</v>
      </c>
      <c r="C10" s="151" t="str">
        <f>'(F6) Shpenzimet sipas funks.bru'!A32</f>
        <v>08 Argëtimi, Kultura dhe Feja</v>
      </c>
      <c r="D10" s="149">
        <f>'(F6) Shpenzimet sipas funks.bru'!C32</f>
        <v>25267647</v>
      </c>
      <c r="E10" s="149">
        <f>'(F6) Shpenzimet sipas funks.bru'!D32</f>
        <v>28184550</v>
      </c>
      <c r="F10" s="149">
        <f>'(F6) Shpenzimet sipas funks.bru'!E32</f>
        <v>56610425</v>
      </c>
      <c r="G10" s="149">
        <f>'(F6) Shpenzimet sipas funks.bru'!I32</f>
        <v>50503500</v>
      </c>
      <c r="H10" s="149">
        <f>'(F6) Shpenzimet sipas funks.bru'!M32</f>
        <v>51643500</v>
      </c>
      <c r="I10" s="149">
        <f>'(F6) Shpenzimet sipas funks.bru'!Q32</f>
        <v>52227100</v>
      </c>
    </row>
    <row r="11" spans="1:10" ht="11.25" customHeight="1" thickBot="1" x14ac:dyDescent="0.25">
      <c r="B11" s="151" t="s">
        <v>69</v>
      </c>
      <c r="C11" s="151" t="str">
        <f>'(F6) Shpenzimet sipas funks.bru'!A35</f>
        <v>09 Arsimi</v>
      </c>
      <c r="D11" s="149">
        <f>'(F6) Shpenzimet sipas funks.bru'!C35</f>
        <v>190570028</v>
      </c>
      <c r="E11" s="149">
        <f>'(F6) Shpenzimet sipas funks.bru'!D35</f>
        <v>212991141</v>
      </c>
      <c r="F11" s="149">
        <f>'(F6) Shpenzimet sipas funks.bru'!E35</f>
        <v>240123630</v>
      </c>
      <c r="G11" s="149">
        <f>'(F6) Shpenzimet sipas funks.bru'!I35</f>
        <v>221218000</v>
      </c>
      <c r="H11" s="149">
        <f>'(F6) Shpenzimet sipas funks.bru'!M35</f>
        <v>227852000</v>
      </c>
      <c r="I11" s="149">
        <f>'(F6) Shpenzimet sipas funks.bru'!Q35</f>
        <v>234904000</v>
      </c>
    </row>
    <row r="12" spans="1:10" ht="11.25" customHeight="1" thickBot="1" x14ac:dyDescent="0.25">
      <c r="B12" s="151" t="s">
        <v>70</v>
      </c>
      <c r="C12" s="151" t="str">
        <f>'(F6) Shpenzimet sipas funks.bru'!A41</f>
        <v>10 Mbrojtja Sociale</v>
      </c>
      <c r="D12" s="149">
        <f>'(F6) Shpenzimet sipas funks.bru'!C41</f>
        <v>754931278</v>
      </c>
      <c r="E12" s="149">
        <f>'(F6) Shpenzimet sipas funks.bru'!D41</f>
        <v>937920190</v>
      </c>
      <c r="F12" s="149">
        <f>'(F6) Shpenzimet sipas funks.bru'!E41</f>
        <v>940463352</v>
      </c>
      <c r="G12" s="149">
        <f>'(F6) Shpenzimet sipas funks.bru'!I41</f>
        <v>957789000</v>
      </c>
      <c r="H12" s="149">
        <f>'(F6) Shpenzimet sipas funks.bru'!M41</f>
        <v>957789000</v>
      </c>
      <c r="I12" s="149">
        <f>'(F6) Shpenzimet sipas funks.bru'!Q41</f>
        <v>957789000</v>
      </c>
    </row>
    <row r="13" spans="1:10" ht="15" customHeight="1" thickBot="1" x14ac:dyDescent="0.25">
      <c r="B13" s="1452" t="str">
        <f>'(G1) Fjalori'!A426:B426</f>
        <v>Total</v>
      </c>
      <c r="C13" s="1453"/>
      <c r="D13" s="149">
        <f t="shared" ref="D13:I13" si="0">SUM(D4:D12)</f>
        <v>1519965155</v>
      </c>
      <c r="E13" s="149">
        <f t="shared" si="0"/>
        <v>1822305984</v>
      </c>
      <c r="F13" s="149">
        <f t="shared" si="0"/>
        <v>2351787988</v>
      </c>
      <c r="G13" s="149">
        <f t="shared" si="0"/>
        <v>2161408648</v>
      </c>
      <c r="H13" s="149">
        <f t="shared" si="0"/>
        <v>2119789470</v>
      </c>
      <c r="I13" s="149">
        <f t="shared" si="0"/>
        <v>2149440473</v>
      </c>
    </row>
  </sheetData>
  <sheetProtection sheet="1" objects="1" scenarios="1" selectLockedCells="1"/>
  <mergeCells count="2">
    <mergeCell ref="A1:J1"/>
    <mergeCell ref="B13:C13"/>
  </mergeCells>
  <pageMargins left="0.78740157480314998" right="0.70866141732283505" top="0.98425196850393704" bottom="0.78740157480314998" header="0.43307086614173201" footer="0.31496062992126"/>
  <pageSetup paperSize="9" scale="91" fitToWidth="0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1" manualBreakCount="1">
    <brk id="90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tabColor rgb="FF00B050"/>
    <pageSetUpPr fitToPage="1"/>
  </sheetPr>
  <dimension ref="A1:AG414"/>
  <sheetViews>
    <sheetView showGridLines="0" topLeftCell="G4" workbookViewId="0">
      <selection activeCell="H6" sqref="H6"/>
    </sheetView>
  </sheetViews>
  <sheetFormatPr defaultColWidth="9.140625" defaultRowHeight="15" outlineLevelRow="1" x14ac:dyDescent="0.25"/>
  <cols>
    <col min="1" max="1" width="21.7109375" style="80" hidden="1" customWidth="1"/>
    <col min="2" max="2" width="13.7109375" style="75" hidden="1" customWidth="1"/>
    <col min="3" max="5" width="16.85546875" style="75" hidden="1" customWidth="1"/>
    <col min="6" max="6" width="29.85546875" style="74" hidden="1" customWidth="1"/>
    <col min="7" max="7" width="41.140625" style="74" customWidth="1"/>
    <col min="8" max="8" width="14.140625" style="74" customWidth="1"/>
    <col min="9" max="10" width="14.140625" style="106" customWidth="1"/>
    <col min="11" max="13" width="14.140625" style="74" customWidth="1"/>
    <col min="14" max="14" width="19.28515625" style="74" bestFit="1" customWidth="1"/>
    <col min="15" max="18" width="7.140625" style="74" customWidth="1"/>
    <col min="19" max="19" width="10" style="74" bestFit="1" customWidth="1"/>
    <col min="20" max="20" width="19.28515625" style="74" bestFit="1" customWidth="1"/>
    <col min="21" max="22" width="7.140625" style="74" customWidth="1"/>
    <col min="23" max="16384" width="9.140625" style="74"/>
  </cols>
  <sheetData>
    <row r="1" spans="1:13" s="230" customFormat="1" ht="21" x14ac:dyDescent="0.25">
      <c r="A1" s="295"/>
      <c r="G1" s="1466" t="str">
        <f>'(G1) Fjalori'!A445</f>
        <v>(F8) SHPENZIMET SIPAS TIPIT TË PROGRAMIT - VLERA BRUTO</v>
      </c>
      <c r="H1" s="1467"/>
      <c r="I1" s="1467"/>
      <c r="J1" s="1467"/>
      <c r="K1" s="1467"/>
      <c r="L1" s="1467"/>
      <c r="M1" s="1468"/>
    </row>
    <row r="2" spans="1:13" s="95" customFormat="1" ht="12.75" x14ac:dyDescent="0.2">
      <c r="A2" s="1469" t="s">
        <v>45</v>
      </c>
      <c r="B2" s="1470"/>
      <c r="C2" s="1470"/>
      <c r="D2" s="1470"/>
      <c r="E2" s="1470"/>
      <c r="F2" s="108" t="str">
        <f>A2</f>
        <v>STATEMENT BY ACTIVITY / PROJECT</v>
      </c>
    </row>
    <row r="3" spans="1:13" s="95" customFormat="1" ht="21" x14ac:dyDescent="0.2">
      <c r="A3" s="319"/>
      <c r="B3" s="319"/>
      <c r="C3" s="319"/>
      <c r="D3" s="319"/>
      <c r="E3" s="319"/>
      <c r="F3" s="108"/>
      <c r="G3" s="1111" t="str">
        <f>'(B3) Struktura Funksionale'!D5</f>
        <v>Programi:  detyrueshme / shtesë</v>
      </c>
      <c r="H3" s="1112"/>
      <c r="I3" s="1112"/>
      <c r="J3" s="1112"/>
      <c r="K3" s="1112"/>
      <c r="L3" s="1112"/>
      <c r="M3" s="1113"/>
    </row>
    <row r="4" spans="1:13" s="284" customFormat="1" ht="12" x14ac:dyDescent="0.2">
      <c r="A4" s="282"/>
      <c r="B4" s="283"/>
      <c r="C4" s="283"/>
      <c r="D4" s="283"/>
      <c r="E4" s="283"/>
      <c r="H4" s="1463" t="str">
        <f>'KB 01'!A69</f>
        <v>SHPENZIME TË PRITSHME</v>
      </c>
      <c r="I4" s="1464"/>
      <c r="J4" s="1464"/>
      <c r="K4" s="1464"/>
      <c r="L4" s="1464"/>
      <c r="M4" s="1465"/>
    </row>
    <row r="5" spans="1:13" s="284" customFormat="1" ht="12" x14ac:dyDescent="0.2">
      <c r="A5" s="282"/>
      <c r="B5" s="283"/>
      <c r="C5" s="283"/>
      <c r="D5" s="283"/>
      <c r="E5" s="283"/>
      <c r="H5" s="316">
        <f>'(A1) Titulli'!B39</f>
        <v>2019</v>
      </c>
      <c r="I5" s="316">
        <f>'(A1) Titulli'!B40</f>
        <v>2020</v>
      </c>
      <c r="J5" s="316">
        <f>'(A1) Titulli'!B41</f>
        <v>2021</v>
      </c>
      <c r="K5" s="317">
        <f>'(A1) Titulli'!B42</f>
        <v>2022</v>
      </c>
      <c r="L5" s="317">
        <f>'(A1) Titulli'!B43</f>
        <v>2023</v>
      </c>
      <c r="M5" s="317">
        <f>'(A1) Titulli'!B44</f>
        <v>2024</v>
      </c>
    </row>
    <row r="6" spans="1:13" s="284" customFormat="1" ht="12" x14ac:dyDescent="0.2">
      <c r="A6" s="285"/>
      <c r="B6" s="286"/>
      <c r="C6" s="286"/>
      <c r="D6" s="286"/>
      <c r="E6" s="286"/>
      <c r="G6" s="318" t="str">
        <f>'(G1) Fjalori'!A446</f>
        <v>E detyrueshme</v>
      </c>
      <c r="H6" s="287">
        <f t="shared" ref="H6:M6" si="0">SUMIF($S$59:$S$260,$G$6,U$59:U$260)</f>
        <v>1519965155</v>
      </c>
      <c r="I6" s="287">
        <f t="shared" si="0"/>
        <v>1822305984</v>
      </c>
      <c r="J6" s="287">
        <f t="shared" si="0"/>
        <v>2351787988</v>
      </c>
      <c r="K6" s="290">
        <f t="shared" si="0"/>
        <v>2124608648</v>
      </c>
      <c r="L6" s="290">
        <f t="shared" si="0"/>
        <v>2082089470</v>
      </c>
      <c r="M6" s="290">
        <f t="shared" si="0"/>
        <v>2100840473</v>
      </c>
    </row>
    <row r="7" spans="1:13" s="284" customFormat="1" ht="12" x14ac:dyDescent="0.2">
      <c r="A7" s="288" t="e">
        <f>#REF!</f>
        <v>#REF!</v>
      </c>
      <c r="B7" s="289" t="e">
        <f>#REF!</f>
        <v>#REF!</v>
      </c>
      <c r="C7" s="289" t="e">
        <f>#REF!</f>
        <v>#REF!</v>
      </c>
      <c r="D7" s="289" t="e">
        <f>#REF!</f>
        <v>#REF!</v>
      </c>
      <c r="E7" s="289" t="e">
        <f>#REF!</f>
        <v>#REF!</v>
      </c>
      <c r="G7" s="318" t="str">
        <f>'(G1) Fjalori'!A911</f>
        <v>Plotësuese</v>
      </c>
      <c r="H7" s="287">
        <f t="shared" ref="H7:M7" si="1">SUMIF($S$59:$S$260,$G$7,U$59:U$260)</f>
        <v>0</v>
      </c>
      <c r="I7" s="287">
        <f t="shared" si="1"/>
        <v>0</v>
      </c>
      <c r="J7" s="287">
        <f t="shared" si="1"/>
        <v>0</v>
      </c>
      <c r="K7" s="290">
        <f t="shared" si="1"/>
        <v>0</v>
      </c>
      <c r="L7" s="290">
        <f t="shared" si="1"/>
        <v>0</v>
      </c>
      <c r="M7" s="290">
        <f t="shared" si="1"/>
        <v>0</v>
      </c>
    </row>
    <row r="8" spans="1:13" s="284" customFormat="1" ht="12" x14ac:dyDescent="0.2">
      <c r="A8" s="288" t="e">
        <f>#REF!</f>
        <v>#REF!</v>
      </c>
      <c r="B8" s="289" t="e">
        <f>#REF!</f>
        <v>#REF!</v>
      </c>
      <c r="C8" s="289" t="e">
        <f>#REF!</f>
        <v>#REF!</v>
      </c>
      <c r="D8" s="289" t="e">
        <f>#REF!</f>
        <v>#REF!</v>
      </c>
      <c r="E8" s="289" t="e">
        <f>#REF!</f>
        <v>#REF!</v>
      </c>
      <c r="G8" s="312" t="str">
        <f>H4</f>
        <v>SHPENZIME TË PRITSHME</v>
      </c>
      <c r="H8" s="109">
        <f t="shared" ref="H8:M8" si="2">SUM(H6:H7)</f>
        <v>1519965155</v>
      </c>
      <c r="I8" s="109">
        <f t="shared" si="2"/>
        <v>1822305984</v>
      </c>
      <c r="J8" s="109">
        <f t="shared" si="2"/>
        <v>2351787988</v>
      </c>
      <c r="K8" s="109">
        <f t="shared" si="2"/>
        <v>2124608648</v>
      </c>
      <c r="L8" s="109">
        <f t="shared" si="2"/>
        <v>2082089470</v>
      </c>
      <c r="M8" s="109">
        <f t="shared" si="2"/>
        <v>2100840473</v>
      </c>
    </row>
    <row r="9" spans="1:13" s="284" customFormat="1" ht="12" x14ac:dyDescent="0.2">
      <c r="A9" s="288" t="e">
        <f>#REF!</f>
        <v>#REF!</v>
      </c>
      <c r="B9" s="289" t="e">
        <f>#REF!</f>
        <v>#REF!</v>
      </c>
      <c r="C9" s="289" t="e">
        <f>#REF!</f>
        <v>#REF!</v>
      </c>
      <c r="D9" s="289" t="e">
        <f>#REF!</f>
        <v>#REF!</v>
      </c>
      <c r="E9" s="289" t="e">
        <f>#REF!</f>
        <v>#REF!</v>
      </c>
      <c r="G9" s="291"/>
      <c r="H9" s="289"/>
    </row>
    <row r="10" spans="1:13" s="284" customFormat="1" ht="12" x14ac:dyDescent="0.2">
      <c r="A10" s="288" t="e">
        <f>#REF!</f>
        <v>#REF!</v>
      </c>
      <c r="B10" s="289" t="e">
        <f>#REF!</f>
        <v>#REF!</v>
      </c>
      <c r="C10" s="289" t="e">
        <f>#REF!</f>
        <v>#REF!</v>
      </c>
      <c r="D10" s="289" t="e">
        <f>#REF!</f>
        <v>#REF!</v>
      </c>
      <c r="E10" s="289" t="e">
        <f>#REF!</f>
        <v>#REF!</v>
      </c>
      <c r="H10" s="1463" t="str">
        <f>'KB 01'!I15</f>
        <v xml:space="preserve">TË ARDHURAT E PRITSHME </v>
      </c>
      <c r="I10" s="1464"/>
      <c r="J10" s="1464"/>
      <c r="K10" s="1464"/>
      <c r="L10" s="1464"/>
      <c r="M10" s="1465"/>
    </row>
    <row r="11" spans="1:13" s="284" customFormat="1" ht="12" x14ac:dyDescent="0.2">
      <c r="A11" s="288"/>
      <c r="B11" s="289"/>
      <c r="C11" s="289"/>
      <c r="D11" s="289"/>
      <c r="E11" s="289"/>
      <c r="H11" s="316">
        <f t="shared" ref="H11:M11" si="3">H5</f>
        <v>2019</v>
      </c>
      <c r="I11" s="316">
        <f t="shared" si="3"/>
        <v>2020</v>
      </c>
      <c r="J11" s="316">
        <f t="shared" si="3"/>
        <v>2021</v>
      </c>
      <c r="K11" s="317">
        <f t="shared" si="3"/>
        <v>2022</v>
      </c>
      <c r="L11" s="317">
        <f t="shared" si="3"/>
        <v>2023</v>
      </c>
      <c r="M11" s="317">
        <f t="shared" si="3"/>
        <v>2024</v>
      </c>
    </row>
    <row r="12" spans="1:13" s="284" customFormat="1" ht="12" x14ac:dyDescent="0.2">
      <c r="A12" s="288" t="e">
        <f>#REF!</f>
        <v>#REF!</v>
      </c>
      <c r="B12" s="289" t="e">
        <f>#REF!</f>
        <v>#REF!</v>
      </c>
      <c r="C12" s="289" t="e">
        <f>#REF!</f>
        <v>#REF!</v>
      </c>
      <c r="D12" s="289" t="e">
        <f>#REF!</f>
        <v>#REF!</v>
      </c>
      <c r="E12" s="289" t="e">
        <f>#REF!</f>
        <v>#REF!</v>
      </c>
      <c r="G12" s="318" t="str">
        <f>G6</f>
        <v>E detyrueshme</v>
      </c>
      <c r="H12" s="287">
        <f>SUMIF($S$59:$S$260,$G$12,AB$59:AB$260)</f>
        <v>1255605118</v>
      </c>
      <c r="I12" s="287">
        <f>SUMIF($S$59:$S$260,$G$6,AC$59:AC$260)</f>
        <v>1346974501</v>
      </c>
      <c r="J12" s="287">
        <f>SUMIF($S$59:$S$260,$G$6,AD$59:AD$260)</f>
        <v>1797956800</v>
      </c>
      <c r="K12" s="290">
        <f>SUMIF($S$59:$S$260,$G$6,AE$59:AE$260)</f>
        <v>1341859014</v>
      </c>
      <c r="L12" s="290">
        <f>SUMIF($S$59:$S$260,$G$6,AF$59:AF$260)</f>
        <v>1344735698</v>
      </c>
      <c r="M12" s="290">
        <f>SUMIF($S$59:$S$260,$G$6,AG$59:AG$260)</f>
        <v>1347749254</v>
      </c>
    </row>
    <row r="13" spans="1:13" s="284" customFormat="1" ht="12" x14ac:dyDescent="0.2">
      <c r="A13" s="288" t="e">
        <f>#REF!</f>
        <v>#REF!</v>
      </c>
      <c r="B13" s="289" t="e">
        <f>#REF!</f>
        <v>#REF!</v>
      </c>
      <c r="C13" s="289" t="e">
        <f>#REF!</f>
        <v>#REF!</v>
      </c>
      <c r="D13" s="289" t="e">
        <f>#REF!</f>
        <v>#REF!</v>
      </c>
      <c r="E13" s="289" t="e">
        <f>#REF!</f>
        <v>#REF!</v>
      </c>
      <c r="G13" s="318" t="str">
        <f>G7</f>
        <v>Plotësuese</v>
      </c>
      <c r="H13" s="287">
        <f t="shared" ref="H13:M13" si="4">SUMIF($S$59:$S$260,$G$13,AB$59:AB$260)</f>
        <v>0</v>
      </c>
      <c r="I13" s="287">
        <f t="shared" si="4"/>
        <v>0</v>
      </c>
      <c r="J13" s="287">
        <f t="shared" si="4"/>
        <v>0</v>
      </c>
      <c r="K13" s="290">
        <f t="shared" si="4"/>
        <v>0</v>
      </c>
      <c r="L13" s="290">
        <f t="shared" si="4"/>
        <v>0</v>
      </c>
      <c r="M13" s="290">
        <f t="shared" si="4"/>
        <v>0</v>
      </c>
    </row>
    <row r="14" spans="1:13" s="284" customFormat="1" ht="12" x14ac:dyDescent="0.2">
      <c r="A14" s="288" t="e">
        <f>#REF!</f>
        <v>#REF!</v>
      </c>
      <c r="B14" s="289" t="e">
        <f>#REF!</f>
        <v>#REF!</v>
      </c>
      <c r="C14" s="289" t="e">
        <f>#REF!</f>
        <v>#REF!</v>
      </c>
      <c r="D14" s="289" t="e">
        <f>#REF!</f>
        <v>#REF!</v>
      </c>
      <c r="E14" s="289" t="e">
        <f>#REF!</f>
        <v>#REF!</v>
      </c>
      <c r="G14" s="312" t="str">
        <f>H10</f>
        <v xml:space="preserve">TË ARDHURAT E PRITSHME </v>
      </c>
      <c r="H14" s="109">
        <f t="shared" ref="H14:M14" si="5">SUM(H12:H13)</f>
        <v>1255605118</v>
      </c>
      <c r="I14" s="109">
        <f t="shared" si="5"/>
        <v>1346974501</v>
      </c>
      <c r="J14" s="109">
        <f t="shared" si="5"/>
        <v>1797956800</v>
      </c>
      <c r="K14" s="109">
        <f t="shared" si="5"/>
        <v>1341859014</v>
      </c>
      <c r="L14" s="109">
        <f t="shared" si="5"/>
        <v>1344735698</v>
      </c>
      <c r="M14" s="109">
        <f t="shared" si="5"/>
        <v>1347749254</v>
      </c>
    </row>
    <row r="15" spans="1:13" s="284" customFormat="1" ht="12" x14ac:dyDescent="0.2">
      <c r="A15" s="288" t="e">
        <f>#REF!</f>
        <v>#REF!</v>
      </c>
      <c r="B15" s="289" t="e">
        <f>#REF!</f>
        <v>#REF!</v>
      </c>
      <c r="C15" s="289" t="e">
        <f>#REF!</f>
        <v>#REF!</v>
      </c>
      <c r="D15" s="289" t="e">
        <f>#REF!</f>
        <v>#REF!</v>
      </c>
      <c r="E15" s="289" t="e">
        <f>#REF!</f>
        <v>#REF!</v>
      </c>
      <c r="G15" s="314"/>
      <c r="H15" s="315"/>
      <c r="I15" s="315"/>
      <c r="J15" s="313"/>
    </row>
    <row r="16" spans="1:13" s="284" customFormat="1" ht="12.75" thickBot="1" x14ac:dyDescent="0.25">
      <c r="A16" s="292"/>
      <c r="B16" s="293"/>
      <c r="C16" s="293"/>
      <c r="D16" s="293"/>
      <c r="E16" s="293"/>
      <c r="F16" s="294"/>
      <c r="H16" s="1463" t="str">
        <f>'KB 01'!I127</f>
        <v>SHUMA E KËRKUAR NETO</v>
      </c>
      <c r="I16" s="1464"/>
      <c r="J16" s="1464"/>
      <c r="K16" s="1464"/>
      <c r="L16" s="1464"/>
      <c r="M16" s="1465"/>
    </row>
    <row r="17" spans="1:13" s="284" customFormat="1" ht="12" x14ac:dyDescent="0.2">
      <c r="A17" s="288" t="e">
        <f>#REF!</f>
        <v>#REF!</v>
      </c>
      <c r="B17" s="289" t="e">
        <f>#REF!</f>
        <v>#REF!</v>
      </c>
      <c r="C17" s="289" t="e">
        <f>#REF!</f>
        <v>#REF!</v>
      </c>
      <c r="D17" s="289" t="e">
        <f>#REF!</f>
        <v>#REF!</v>
      </c>
      <c r="E17" s="289" t="e">
        <f>#REF!</f>
        <v>#REF!</v>
      </c>
      <c r="F17" s="294"/>
      <c r="H17" s="316">
        <f t="shared" ref="H17:M17" si="6">H11</f>
        <v>2019</v>
      </c>
      <c r="I17" s="316">
        <f t="shared" si="6"/>
        <v>2020</v>
      </c>
      <c r="J17" s="316">
        <f t="shared" si="6"/>
        <v>2021</v>
      </c>
      <c r="K17" s="317">
        <f t="shared" si="6"/>
        <v>2022</v>
      </c>
      <c r="L17" s="317">
        <f t="shared" si="6"/>
        <v>2023</v>
      </c>
      <c r="M17" s="317">
        <f t="shared" si="6"/>
        <v>2024</v>
      </c>
    </row>
    <row r="18" spans="1:13" s="284" customFormat="1" ht="12" x14ac:dyDescent="0.2">
      <c r="A18" s="288" t="e">
        <f>#REF!</f>
        <v>#REF!</v>
      </c>
      <c r="B18" s="289" t="e">
        <f>#REF!</f>
        <v>#REF!</v>
      </c>
      <c r="C18" s="289" t="e">
        <f>#REF!</f>
        <v>#REF!</v>
      </c>
      <c r="D18" s="289" t="e">
        <f>#REF!</f>
        <v>#REF!</v>
      </c>
      <c r="E18" s="289" t="e">
        <f>#REF!</f>
        <v>#REF!</v>
      </c>
      <c r="F18" s="294"/>
      <c r="G18" s="318" t="str">
        <f>G12</f>
        <v>E detyrueshme</v>
      </c>
      <c r="H18" s="287">
        <f t="shared" ref="H18:M19" si="7">H6-H12</f>
        <v>264360037</v>
      </c>
      <c r="I18" s="287">
        <f t="shared" si="7"/>
        <v>475331483</v>
      </c>
      <c r="J18" s="287">
        <f t="shared" si="7"/>
        <v>553831188</v>
      </c>
      <c r="K18" s="290">
        <f t="shared" si="7"/>
        <v>782749634</v>
      </c>
      <c r="L18" s="290">
        <f t="shared" si="7"/>
        <v>737353772</v>
      </c>
      <c r="M18" s="290">
        <f t="shared" si="7"/>
        <v>753091219</v>
      </c>
    </row>
    <row r="19" spans="1:13" s="284" customFormat="1" ht="12" x14ac:dyDescent="0.2">
      <c r="A19" s="288" t="e">
        <f>#REF!</f>
        <v>#REF!</v>
      </c>
      <c r="B19" s="289" t="e">
        <f>#REF!</f>
        <v>#REF!</v>
      </c>
      <c r="C19" s="289" t="e">
        <f>#REF!</f>
        <v>#REF!</v>
      </c>
      <c r="D19" s="289" t="e">
        <f>#REF!</f>
        <v>#REF!</v>
      </c>
      <c r="E19" s="289" t="e">
        <f>#REF!</f>
        <v>#REF!</v>
      </c>
      <c r="F19" s="294"/>
      <c r="G19" s="318" t="str">
        <f>G13</f>
        <v>Plotësuese</v>
      </c>
      <c r="H19" s="287">
        <f t="shared" si="7"/>
        <v>0</v>
      </c>
      <c r="I19" s="287">
        <f t="shared" si="7"/>
        <v>0</v>
      </c>
      <c r="J19" s="287">
        <f t="shared" si="7"/>
        <v>0</v>
      </c>
      <c r="K19" s="290">
        <f t="shared" si="7"/>
        <v>0</v>
      </c>
      <c r="L19" s="290">
        <f t="shared" si="7"/>
        <v>0</v>
      </c>
      <c r="M19" s="290">
        <f t="shared" si="7"/>
        <v>0</v>
      </c>
    </row>
    <row r="20" spans="1:13" s="284" customFormat="1" ht="12" x14ac:dyDescent="0.2">
      <c r="A20" s="288" t="e">
        <f>#REF!</f>
        <v>#REF!</v>
      </c>
      <c r="B20" s="289" t="e">
        <f>#REF!</f>
        <v>#REF!</v>
      </c>
      <c r="C20" s="289" t="e">
        <f>#REF!</f>
        <v>#REF!</v>
      </c>
      <c r="D20" s="289" t="e">
        <f>#REF!</f>
        <v>#REF!</v>
      </c>
      <c r="E20" s="289" t="e">
        <f>#REF!</f>
        <v>#REF!</v>
      </c>
      <c r="F20" s="294"/>
      <c r="G20" s="312" t="str">
        <f>H16</f>
        <v>SHUMA E KËRKUAR NETO</v>
      </c>
      <c r="H20" s="109">
        <f t="shared" ref="H20:M20" si="8">SUM(H18:H19)</f>
        <v>264360037</v>
      </c>
      <c r="I20" s="109">
        <f t="shared" si="8"/>
        <v>475331483</v>
      </c>
      <c r="J20" s="109">
        <f t="shared" si="8"/>
        <v>553831188</v>
      </c>
      <c r="K20" s="109">
        <f t="shared" si="8"/>
        <v>782749634</v>
      </c>
      <c r="L20" s="109">
        <f t="shared" si="8"/>
        <v>737353772</v>
      </c>
      <c r="M20" s="109">
        <f t="shared" si="8"/>
        <v>753091219</v>
      </c>
    </row>
    <row r="21" spans="1:13" s="284" customFormat="1" ht="12" x14ac:dyDescent="0.2">
      <c r="A21" s="288" t="e">
        <f>#REF!</f>
        <v>#REF!</v>
      </c>
      <c r="B21" s="289" t="e">
        <f>#REF!</f>
        <v>#REF!</v>
      </c>
      <c r="C21" s="289" t="e">
        <f>#REF!</f>
        <v>#REF!</v>
      </c>
      <c r="D21" s="289" t="e">
        <f>#REF!</f>
        <v>#REF!</v>
      </c>
      <c r="E21" s="289" t="e">
        <f>#REF!</f>
        <v>#REF!</v>
      </c>
      <c r="F21" s="294"/>
      <c r="G21" s="314"/>
      <c r="H21" s="315"/>
      <c r="I21" s="315"/>
      <c r="J21" s="313"/>
    </row>
    <row r="22" spans="1:13" s="284" customFormat="1" ht="12" x14ac:dyDescent="0.2">
      <c r="A22" s="288" t="e">
        <f>#REF!</f>
        <v>#REF!</v>
      </c>
      <c r="B22" s="289" t="e">
        <f>#REF!</f>
        <v>#REF!</v>
      </c>
      <c r="C22" s="289" t="e">
        <f>#REF!</f>
        <v>#REF!</v>
      </c>
      <c r="D22" s="289" t="e">
        <f>#REF!</f>
        <v>#REF!</v>
      </c>
      <c r="E22" s="289" t="e">
        <f>#REF!</f>
        <v>#REF!</v>
      </c>
      <c r="F22" s="294"/>
      <c r="G22" s="314"/>
      <c r="H22" s="315"/>
      <c r="I22" s="315"/>
      <c r="J22" s="313"/>
    </row>
    <row r="23" spans="1:13" x14ac:dyDescent="0.25">
      <c r="A23" s="82" t="e">
        <f>#REF!</f>
        <v>#REF!</v>
      </c>
      <c r="B23" s="88" t="e">
        <f>#REF!</f>
        <v>#REF!</v>
      </c>
      <c r="C23" s="88" t="e">
        <f>#REF!</f>
        <v>#REF!</v>
      </c>
      <c r="D23" s="88" t="e">
        <f>#REF!</f>
        <v>#REF!</v>
      </c>
      <c r="E23" s="88" t="e">
        <f>#REF!</f>
        <v>#REF!</v>
      </c>
      <c r="F23" s="79"/>
    </row>
    <row r="24" spans="1:13" ht="21" x14ac:dyDescent="0.25">
      <c r="A24" s="82" t="e">
        <f>#REF!</f>
        <v>#REF!</v>
      </c>
      <c r="B24" s="88" t="e">
        <f>#REF!</f>
        <v>#REF!</v>
      </c>
      <c r="C24" s="88" t="e">
        <f>#REF!</f>
        <v>#REF!</v>
      </c>
      <c r="D24" s="88" t="e">
        <f>#REF!</f>
        <v>#REF!</v>
      </c>
      <c r="E24" s="88" t="e">
        <f>#REF!</f>
        <v>#REF!</v>
      </c>
      <c r="F24" s="79"/>
      <c r="G24" s="1111" t="str">
        <f>'(B3) Struktura Funksionale'!E5</f>
        <v>Programi: I veti / I deleguar / Transferuar</v>
      </c>
      <c r="H24" s="1112"/>
      <c r="I24" s="1112"/>
      <c r="J24" s="1112"/>
      <c r="K24" s="1112"/>
      <c r="L24" s="1112"/>
      <c r="M24" s="1113"/>
    </row>
    <row r="25" spans="1:13" x14ac:dyDescent="0.25">
      <c r="A25" s="82" t="e">
        <f>#REF!</f>
        <v>#REF!</v>
      </c>
      <c r="B25" s="88" t="e">
        <f>#REF!</f>
        <v>#REF!</v>
      </c>
      <c r="C25" s="88" t="e">
        <f>#REF!</f>
        <v>#REF!</v>
      </c>
      <c r="D25" s="88" t="e">
        <f>#REF!</f>
        <v>#REF!</v>
      </c>
      <c r="E25" s="88" t="e">
        <f>#REF!</f>
        <v>#REF!</v>
      </c>
      <c r="F25" s="79"/>
      <c r="G25" s="284"/>
      <c r="H25" s="1463" t="str">
        <f>H4</f>
        <v>SHPENZIME TË PRITSHME</v>
      </c>
      <c r="I25" s="1464"/>
      <c r="J25" s="1464"/>
      <c r="K25" s="1464"/>
      <c r="L25" s="1464"/>
      <c r="M25" s="1465"/>
    </row>
    <row r="26" spans="1:13" x14ac:dyDescent="0.25">
      <c r="A26" s="82" t="e">
        <f>#REF!</f>
        <v>#REF!</v>
      </c>
      <c r="B26" s="88" t="e">
        <f>#REF!</f>
        <v>#REF!</v>
      </c>
      <c r="C26" s="88" t="e">
        <f>#REF!</f>
        <v>#REF!</v>
      </c>
      <c r="D26" s="88" t="e">
        <f>#REF!</f>
        <v>#REF!</v>
      </c>
      <c r="E26" s="88" t="e">
        <f>#REF!</f>
        <v>#REF!</v>
      </c>
      <c r="F26" s="79"/>
      <c r="G26" s="284"/>
      <c r="H26" s="316">
        <f>H5</f>
        <v>2019</v>
      </c>
      <c r="I26" s="316">
        <f>I5</f>
        <v>2020</v>
      </c>
      <c r="J26" s="316">
        <f>J5</f>
        <v>2021</v>
      </c>
      <c r="K26" s="317">
        <f>K5</f>
        <v>2022</v>
      </c>
      <c r="L26" s="317">
        <f>L5</f>
        <v>2023</v>
      </c>
      <c r="M26" s="317">
        <f>M5</f>
        <v>2024</v>
      </c>
    </row>
    <row r="27" spans="1:13" x14ac:dyDescent="0.25">
      <c r="A27" s="82" t="e">
        <f>#REF!</f>
        <v>#REF!</v>
      </c>
      <c r="B27" s="88" t="e">
        <f>#REF!</f>
        <v>#REF!</v>
      </c>
      <c r="C27" s="88" t="e">
        <f>#REF!</f>
        <v>#REF!</v>
      </c>
      <c r="D27" s="88" t="e">
        <f>#REF!</f>
        <v>#REF!</v>
      </c>
      <c r="E27" s="88" t="e">
        <f>#REF!</f>
        <v>#REF!</v>
      </c>
      <c r="F27" s="79"/>
      <c r="G27" s="318" t="str">
        <f>'(G1) Fjalori'!A98</f>
        <v>I veti</v>
      </c>
      <c r="H27" s="287">
        <f t="shared" ref="H27:M27" si="9">SUMIF($T$59:$T$260,$G$27,U$59:U$260)</f>
        <v>335990022</v>
      </c>
      <c r="I27" s="287">
        <f t="shared" si="9"/>
        <v>586961884</v>
      </c>
      <c r="J27" s="287">
        <f t="shared" si="9"/>
        <v>1044687084</v>
      </c>
      <c r="K27" s="290">
        <f t="shared" si="9"/>
        <v>672198088</v>
      </c>
      <c r="L27" s="290">
        <f t="shared" si="9"/>
        <v>618296360</v>
      </c>
      <c r="M27" s="290">
        <f t="shared" si="9"/>
        <v>622129983</v>
      </c>
    </row>
    <row r="28" spans="1:13" s="106" customFormat="1" x14ac:dyDescent="0.25">
      <c r="A28" s="82"/>
      <c r="B28" s="88"/>
      <c r="C28" s="88"/>
      <c r="D28" s="88"/>
      <c r="E28" s="88"/>
      <c r="F28" s="79"/>
      <c r="G28" s="318" t="str">
        <f>'(G1) Fjalori'!A99</f>
        <v>I deleguar</v>
      </c>
      <c r="H28" s="287">
        <f t="shared" ref="H28:M28" si="10">SUMIF($T$59:$T$260,$G$28,U$59:U$260)</f>
        <v>762751236</v>
      </c>
      <c r="I28" s="287">
        <f t="shared" si="10"/>
        <v>948379406</v>
      </c>
      <c r="J28" s="287">
        <f t="shared" si="10"/>
        <v>948547352</v>
      </c>
      <c r="K28" s="290">
        <f t="shared" si="10"/>
        <v>965873000</v>
      </c>
      <c r="L28" s="290">
        <f t="shared" si="10"/>
        <v>965873000</v>
      </c>
      <c r="M28" s="290">
        <f t="shared" si="10"/>
        <v>965873000</v>
      </c>
    </row>
    <row r="29" spans="1:13" x14ac:dyDescent="0.25">
      <c r="A29" s="82" t="e">
        <f>#REF!</f>
        <v>#REF!</v>
      </c>
      <c r="B29" s="88" t="e">
        <f>#REF!</f>
        <v>#REF!</v>
      </c>
      <c r="C29" s="88" t="e">
        <f>#REF!</f>
        <v>#REF!</v>
      </c>
      <c r="D29" s="88" t="e">
        <f>#REF!</f>
        <v>#REF!</v>
      </c>
      <c r="E29" s="88" t="e">
        <f>#REF!</f>
        <v>#REF!</v>
      </c>
      <c r="F29" s="79"/>
      <c r="G29" s="318" t="str">
        <f>'(G1) Fjalori'!A100</f>
        <v>Transferuar</v>
      </c>
      <c r="H29" s="287">
        <f t="shared" ref="H29:M29" si="11">SUMIF($T$59:$T$260,$G$29,U$59:U$260)</f>
        <v>421223897</v>
      </c>
      <c r="I29" s="287">
        <f t="shared" si="11"/>
        <v>286964694</v>
      </c>
      <c r="J29" s="287">
        <f t="shared" si="11"/>
        <v>358553552</v>
      </c>
      <c r="K29" s="290">
        <f t="shared" si="11"/>
        <v>486537560</v>
      </c>
      <c r="L29" s="290">
        <f t="shared" si="11"/>
        <v>497920110</v>
      </c>
      <c r="M29" s="290">
        <f t="shared" si="11"/>
        <v>512837490</v>
      </c>
    </row>
    <row r="30" spans="1:13" x14ac:dyDescent="0.25">
      <c r="A30" s="82" t="e">
        <f>#REF!</f>
        <v>#REF!</v>
      </c>
      <c r="B30" s="88" t="e">
        <f>#REF!</f>
        <v>#REF!</v>
      </c>
      <c r="C30" s="88" t="e">
        <f>#REF!</f>
        <v>#REF!</v>
      </c>
      <c r="D30" s="88" t="e">
        <f>#REF!</f>
        <v>#REF!</v>
      </c>
      <c r="E30" s="88" t="e">
        <f>#REF!</f>
        <v>#REF!</v>
      </c>
      <c r="F30" s="79"/>
      <c r="G30" s="312" t="str">
        <f>H25</f>
        <v>SHPENZIME TË PRITSHME</v>
      </c>
      <c r="H30" s="109">
        <f t="shared" ref="H30:M30" si="12">SUM(H27:H29)</f>
        <v>1519965155</v>
      </c>
      <c r="I30" s="109">
        <f t="shared" si="12"/>
        <v>1822305984</v>
      </c>
      <c r="J30" s="109">
        <f t="shared" si="12"/>
        <v>2351787988</v>
      </c>
      <c r="K30" s="109">
        <f t="shared" si="12"/>
        <v>2124608648</v>
      </c>
      <c r="L30" s="109">
        <f t="shared" si="12"/>
        <v>2082089470</v>
      </c>
      <c r="M30" s="109">
        <f t="shared" si="12"/>
        <v>2100840473</v>
      </c>
    </row>
    <row r="31" spans="1:13" x14ac:dyDescent="0.25">
      <c r="A31" s="82" t="e">
        <f>#REF!</f>
        <v>#REF!</v>
      </c>
      <c r="B31" s="88" t="e">
        <f>#REF!</f>
        <v>#REF!</v>
      </c>
      <c r="C31" s="88" t="e">
        <f>#REF!</f>
        <v>#REF!</v>
      </c>
      <c r="D31" s="88" t="e">
        <f>#REF!</f>
        <v>#REF!</v>
      </c>
      <c r="E31" s="88" t="e">
        <f>#REF!</f>
        <v>#REF!</v>
      </c>
      <c r="F31" s="79"/>
      <c r="G31" s="291"/>
      <c r="H31" s="289"/>
      <c r="I31" s="284"/>
      <c r="J31" s="284"/>
      <c r="K31" s="284"/>
      <c r="L31" s="284"/>
      <c r="M31" s="284"/>
    </row>
    <row r="32" spans="1:13" x14ac:dyDescent="0.25">
      <c r="A32" s="82" t="e">
        <f>#REF!</f>
        <v>#REF!</v>
      </c>
      <c r="B32" s="88" t="e">
        <f>#REF!</f>
        <v>#REF!</v>
      </c>
      <c r="C32" s="88" t="e">
        <f>#REF!</f>
        <v>#REF!</v>
      </c>
      <c r="D32" s="88" t="e">
        <f>#REF!</f>
        <v>#REF!</v>
      </c>
      <c r="E32" s="88" t="e">
        <f>#REF!</f>
        <v>#REF!</v>
      </c>
      <c r="F32" s="79"/>
      <c r="G32" s="284"/>
      <c r="H32" s="1463" t="str">
        <f>H10</f>
        <v xml:space="preserve">TË ARDHURAT E PRITSHME </v>
      </c>
      <c r="I32" s="1464"/>
      <c r="J32" s="1464"/>
      <c r="K32" s="1464"/>
      <c r="L32" s="1464"/>
      <c r="M32" s="1465"/>
    </row>
    <row r="33" spans="1:13" x14ac:dyDescent="0.25">
      <c r="A33" s="82" t="e">
        <f>#REF!</f>
        <v>#REF!</v>
      </c>
      <c r="B33" s="88" t="e">
        <f>#REF!</f>
        <v>#REF!</v>
      </c>
      <c r="C33" s="88" t="e">
        <f>#REF!</f>
        <v>#REF!</v>
      </c>
      <c r="D33" s="88" t="e">
        <f>#REF!</f>
        <v>#REF!</v>
      </c>
      <c r="E33" s="88" t="e">
        <f>#REF!</f>
        <v>#REF!</v>
      </c>
      <c r="F33" s="79"/>
      <c r="G33" s="284"/>
      <c r="H33" s="316">
        <f t="shared" ref="H33:M33" si="13">H26</f>
        <v>2019</v>
      </c>
      <c r="I33" s="316">
        <f t="shared" si="13"/>
        <v>2020</v>
      </c>
      <c r="J33" s="316">
        <f t="shared" si="13"/>
        <v>2021</v>
      </c>
      <c r="K33" s="317">
        <f t="shared" si="13"/>
        <v>2022</v>
      </c>
      <c r="L33" s="317">
        <f t="shared" si="13"/>
        <v>2023</v>
      </c>
      <c r="M33" s="317">
        <f t="shared" si="13"/>
        <v>2024</v>
      </c>
    </row>
    <row r="34" spans="1:13" x14ac:dyDescent="0.25">
      <c r="A34" s="82" t="e">
        <f>#REF!</f>
        <v>#REF!</v>
      </c>
      <c r="B34" s="88" t="e">
        <f>#REF!</f>
        <v>#REF!</v>
      </c>
      <c r="C34" s="88" t="e">
        <f>#REF!</f>
        <v>#REF!</v>
      </c>
      <c r="D34" s="88" t="e">
        <f>#REF!</f>
        <v>#REF!</v>
      </c>
      <c r="E34" s="88" t="e">
        <f>#REF!</f>
        <v>#REF!</v>
      </c>
      <c r="F34" s="79"/>
      <c r="G34" s="318" t="str">
        <f>G27</f>
        <v>I veti</v>
      </c>
      <c r="H34" s="287">
        <f t="shared" ref="H34:M34" si="14">SUMIF($T$59:$T$260,$G$34,AB$59:AB$260)</f>
        <v>290763645</v>
      </c>
      <c r="I34" s="287">
        <f t="shared" si="14"/>
        <v>191625736</v>
      </c>
      <c r="J34" s="287">
        <f t="shared" si="14"/>
        <v>638364941</v>
      </c>
      <c r="K34" s="290">
        <f t="shared" si="14"/>
        <v>196752014</v>
      </c>
      <c r="L34" s="290">
        <f t="shared" si="14"/>
        <v>199628698</v>
      </c>
      <c r="M34" s="290">
        <f t="shared" si="14"/>
        <v>202642254</v>
      </c>
    </row>
    <row r="35" spans="1:13" s="106" customFormat="1" x14ac:dyDescent="0.25">
      <c r="A35" s="82"/>
      <c r="B35" s="88"/>
      <c r="C35" s="88"/>
      <c r="D35" s="88"/>
      <c r="E35" s="88"/>
      <c r="F35" s="79"/>
      <c r="G35" s="318" t="str">
        <f>G28</f>
        <v>I deleguar</v>
      </c>
      <c r="H35" s="287">
        <f t="shared" ref="H35:M35" si="15">SUMIF($T$59:$T$260,$G$35,AB$59:AB$260)</f>
        <v>759569276</v>
      </c>
      <c r="I35" s="287">
        <f t="shared" si="15"/>
        <v>943540234</v>
      </c>
      <c r="J35" s="287">
        <f t="shared" si="15"/>
        <v>942546425</v>
      </c>
      <c r="K35" s="290">
        <f t="shared" si="15"/>
        <v>952012000</v>
      </c>
      <c r="L35" s="290">
        <f t="shared" si="15"/>
        <v>952012000</v>
      </c>
      <c r="M35" s="290">
        <f t="shared" si="15"/>
        <v>952012000</v>
      </c>
    </row>
    <row r="36" spans="1:13" s="106" customFormat="1" x14ac:dyDescent="0.25">
      <c r="A36" s="82"/>
      <c r="B36" s="88"/>
      <c r="C36" s="88"/>
      <c r="D36" s="88"/>
      <c r="E36" s="88"/>
      <c r="F36" s="79"/>
      <c r="G36" s="318" t="str">
        <f>G29</f>
        <v>Transferuar</v>
      </c>
      <c r="H36" s="287">
        <f t="shared" ref="H36:M36" si="16">SUMIF($T$59:$T$260,$G$36,AB$59:AB$260)</f>
        <v>205272197</v>
      </c>
      <c r="I36" s="287">
        <f t="shared" si="16"/>
        <v>211808531</v>
      </c>
      <c r="J36" s="287">
        <f t="shared" si="16"/>
        <v>217045434</v>
      </c>
      <c r="K36" s="290">
        <f t="shared" si="16"/>
        <v>193095000</v>
      </c>
      <c r="L36" s="290">
        <f t="shared" si="16"/>
        <v>193095000</v>
      </c>
      <c r="M36" s="290">
        <f t="shared" si="16"/>
        <v>193095000</v>
      </c>
    </row>
    <row r="37" spans="1:13" s="106" customFormat="1" x14ac:dyDescent="0.25">
      <c r="A37" s="82"/>
      <c r="B37" s="88"/>
      <c r="C37" s="88"/>
      <c r="D37" s="88"/>
      <c r="E37" s="88"/>
      <c r="F37" s="79"/>
      <c r="G37" s="312" t="str">
        <f>H32</f>
        <v xml:space="preserve">TË ARDHURAT E PRITSHME </v>
      </c>
      <c r="H37" s="109">
        <f t="shared" ref="H37:M37" si="17">SUM(H34:H36)</f>
        <v>1255605118</v>
      </c>
      <c r="I37" s="109">
        <f t="shared" si="17"/>
        <v>1346974501</v>
      </c>
      <c r="J37" s="109">
        <f t="shared" si="17"/>
        <v>1797956800</v>
      </c>
      <c r="K37" s="109">
        <f t="shared" si="17"/>
        <v>1341859014</v>
      </c>
      <c r="L37" s="109">
        <f t="shared" si="17"/>
        <v>1344735698</v>
      </c>
      <c r="M37" s="109">
        <f t="shared" si="17"/>
        <v>1347749254</v>
      </c>
    </row>
    <row r="38" spans="1:13" x14ac:dyDescent="0.25">
      <c r="A38" s="82"/>
      <c r="B38" s="88"/>
      <c r="C38" s="88"/>
      <c r="D38" s="88"/>
      <c r="E38" s="88"/>
      <c r="F38" s="79"/>
      <c r="G38" s="314"/>
      <c r="H38" s="315"/>
      <c r="I38" s="315"/>
      <c r="J38" s="313"/>
      <c r="K38" s="284"/>
      <c r="L38" s="284"/>
      <c r="M38" s="284"/>
    </row>
    <row r="39" spans="1:13" x14ac:dyDescent="0.25">
      <c r="A39" s="82" t="e">
        <f>#REF!</f>
        <v>#REF!</v>
      </c>
      <c r="B39" s="88" t="e">
        <f>#REF!</f>
        <v>#REF!</v>
      </c>
      <c r="C39" s="88" t="e">
        <f>#REF!</f>
        <v>#REF!</v>
      </c>
      <c r="D39" s="88" t="e">
        <f>#REF!</f>
        <v>#REF!</v>
      </c>
      <c r="E39" s="88" t="e">
        <f>#REF!</f>
        <v>#REF!</v>
      </c>
      <c r="F39" s="79"/>
      <c r="G39" s="284"/>
      <c r="H39" s="1463" t="str">
        <f>H16</f>
        <v>SHUMA E KËRKUAR NETO</v>
      </c>
      <c r="I39" s="1464"/>
      <c r="J39" s="1464"/>
      <c r="K39" s="1464"/>
      <c r="L39" s="1464"/>
      <c r="M39" s="1465"/>
    </row>
    <row r="40" spans="1:13" x14ac:dyDescent="0.25">
      <c r="A40" s="82" t="e">
        <f>#REF!</f>
        <v>#REF!</v>
      </c>
      <c r="B40" s="88" t="e">
        <f>#REF!</f>
        <v>#REF!</v>
      </c>
      <c r="C40" s="88" t="e">
        <f>#REF!</f>
        <v>#REF!</v>
      </c>
      <c r="D40" s="88" t="e">
        <f>#REF!</f>
        <v>#REF!</v>
      </c>
      <c r="E40" s="88" t="e">
        <f>#REF!</f>
        <v>#REF!</v>
      </c>
      <c r="F40" s="79"/>
      <c r="G40" s="284"/>
      <c r="H40" s="316">
        <f t="shared" ref="H40:M40" si="18">H33</f>
        <v>2019</v>
      </c>
      <c r="I40" s="316">
        <f t="shared" si="18"/>
        <v>2020</v>
      </c>
      <c r="J40" s="316">
        <f t="shared" si="18"/>
        <v>2021</v>
      </c>
      <c r="K40" s="317">
        <f t="shared" si="18"/>
        <v>2022</v>
      </c>
      <c r="L40" s="317">
        <f t="shared" si="18"/>
        <v>2023</v>
      </c>
      <c r="M40" s="317">
        <f t="shared" si="18"/>
        <v>2024</v>
      </c>
    </row>
    <row r="41" spans="1:13" x14ac:dyDescent="0.25">
      <c r="A41" s="84"/>
      <c r="B41" s="90"/>
      <c r="C41" s="90"/>
      <c r="D41" s="90"/>
      <c r="E41" s="90"/>
      <c r="F41" s="79"/>
      <c r="G41" s="318" t="str">
        <f>G34</f>
        <v>I veti</v>
      </c>
      <c r="H41" s="287">
        <f t="shared" ref="H41:M41" si="19">H27-H34</f>
        <v>45226377</v>
      </c>
      <c r="I41" s="287">
        <f t="shared" si="19"/>
        <v>395336148</v>
      </c>
      <c r="J41" s="287">
        <f t="shared" si="19"/>
        <v>406322143</v>
      </c>
      <c r="K41" s="290">
        <f t="shared" si="19"/>
        <v>475446074</v>
      </c>
      <c r="L41" s="290">
        <f t="shared" si="19"/>
        <v>418667662</v>
      </c>
      <c r="M41" s="290">
        <f t="shared" si="19"/>
        <v>419487729</v>
      </c>
    </row>
    <row r="42" spans="1:13" s="106" customFormat="1" x14ac:dyDescent="0.25">
      <c r="A42" s="84"/>
      <c r="B42" s="90"/>
      <c r="C42" s="90"/>
      <c r="D42" s="90"/>
      <c r="E42" s="90"/>
      <c r="F42" s="79"/>
      <c r="G42" s="318" t="str">
        <f>G35</f>
        <v>I deleguar</v>
      </c>
      <c r="H42" s="287">
        <f t="shared" ref="H42:M43" si="20">H28-H35</f>
        <v>3181960</v>
      </c>
      <c r="I42" s="287">
        <f t="shared" si="20"/>
        <v>4839172</v>
      </c>
      <c r="J42" s="287">
        <f t="shared" si="20"/>
        <v>6000927</v>
      </c>
      <c r="K42" s="290">
        <f t="shared" si="20"/>
        <v>13861000</v>
      </c>
      <c r="L42" s="290">
        <f t="shared" si="20"/>
        <v>13861000</v>
      </c>
      <c r="M42" s="290">
        <f t="shared" si="20"/>
        <v>13861000</v>
      </c>
    </row>
    <row r="43" spans="1:13" s="106" customFormat="1" x14ac:dyDescent="0.25">
      <c r="A43" s="82"/>
      <c r="B43" s="88"/>
      <c r="C43" s="88"/>
      <c r="D43" s="88"/>
      <c r="E43" s="88"/>
      <c r="F43" s="79"/>
      <c r="G43" s="318" t="str">
        <f>G36</f>
        <v>Transferuar</v>
      </c>
      <c r="H43" s="287">
        <f t="shared" si="20"/>
        <v>215951700</v>
      </c>
      <c r="I43" s="287">
        <f t="shared" si="20"/>
        <v>75156163</v>
      </c>
      <c r="J43" s="287">
        <f t="shared" si="20"/>
        <v>141508118</v>
      </c>
      <c r="K43" s="290">
        <f t="shared" si="20"/>
        <v>293442560</v>
      </c>
      <c r="L43" s="290">
        <f t="shared" si="20"/>
        <v>304825110</v>
      </c>
      <c r="M43" s="290">
        <f t="shared" si="20"/>
        <v>319742490</v>
      </c>
    </row>
    <row r="44" spans="1:13" s="106" customFormat="1" x14ac:dyDescent="0.25">
      <c r="A44" s="84"/>
      <c r="B44" s="90"/>
      <c r="C44" s="90"/>
      <c r="D44" s="90"/>
      <c r="E44" s="90"/>
      <c r="F44" s="79"/>
      <c r="G44" s="312" t="str">
        <f>H39</f>
        <v>SHUMA E KËRKUAR NETO</v>
      </c>
      <c r="H44" s="109">
        <f t="shared" ref="H44:M44" si="21">SUM(H41:H43)</f>
        <v>264360037</v>
      </c>
      <c r="I44" s="109">
        <f t="shared" si="21"/>
        <v>475331483</v>
      </c>
      <c r="J44" s="109">
        <f t="shared" si="21"/>
        <v>553831188</v>
      </c>
      <c r="K44" s="109">
        <f t="shared" si="21"/>
        <v>782749634</v>
      </c>
      <c r="L44" s="109">
        <f t="shared" si="21"/>
        <v>737353772</v>
      </c>
      <c r="M44" s="109">
        <f t="shared" si="21"/>
        <v>753091219</v>
      </c>
    </row>
    <row r="45" spans="1:13" x14ac:dyDescent="0.25">
      <c r="A45" s="82"/>
      <c r="B45" s="76"/>
      <c r="C45" s="76"/>
      <c r="D45" s="76"/>
      <c r="E45" s="76"/>
      <c r="F45" s="79"/>
    </row>
    <row r="46" spans="1:13" x14ac:dyDescent="0.25">
      <c r="A46" s="82" t="e">
        <f>#REF!</f>
        <v>#REF!</v>
      </c>
      <c r="B46" s="76" t="e">
        <f>#REF!</f>
        <v>#REF!</v>
      </c>
      <c r="C46" s="76" t="e">
        <f>#REF!</f>
        <v>#REF!</v>
      </c>
      <c r="D46" s="76" t="e">
        <f>#REF!</f>
        <v>#REF!</v>
      </c>
      <c r="E46" s="76" t="e">
        <f>#REF!</f>
        <v>#REF!</v>
      </c>
      <c r="F46" s="79"/>
    </row>
    <row r="47" spans="1:13" x14ac:dyDescent="0.25">
      <c r="A47" s="82" t="e">
        <f>#REF!</f>
        <v>#REF!</v>
      </c>
      <c r="B47" s="88" t="e">
        <f>#REF!</f>
        <v>#REF!</v>
      </c>
      <c r="C47" s="88" t="e">
        <f>#REF!</f>
        <v>#REF!</v>
      </c>
      <c r="D47" s="88" t="e">
        <f>#REF!</f>
        <v>#REF!</v>
      </c>
      <c r="E47" s="88" t="e">
        <f>#REF!</f>
        <v>#REF!</v>
      </c>
      <c r="F47" s="79"/>
    </row>
    <row r="48" spans="1:13" x14ac:dyDescent="0.25">
      <c r="A48" s="82" t="e">
        <f>#REF!</f>
        <v>#REF!</v>
      </c>
      <c r="B48" s="88" t="e">
        <f>#REF!</f>
        <v>#REF!</v>
      </c>
      <c r="C48" s="88" t="e">
        <f>#REF!</f>
        <v>#REF!</v>
      </c>
      <c r="D48" s="88" t="e">
        <f>#REF!</f>
        <v>#REF!</v>
      </c>
      <c r="E48" s="88" t="e">
        <f>#REF!</f>
        <v>#REF!</v>
      </c>
      <c r="F48" s="79"/>
    </row>
    <row r="49" spans="1:33" x14ac:dyDescent="0.25">
      <c r="A49" s="82"/>
      <c r="B49" s="88"/>
      <c r="C49" s="88"/>
      <c r="D49" s="88"/>
      <c r="E49" s="88"/>
      <c r="F49" s="79"/>
    </row>
    <row r="50" spans="1:33" x14ac:dyDescent="0.25">
      <c r="A50" s="82" t="e">
        <f>#REF!</f>
        <v>#REF!</v>
      </c>
      <c r="B50" s="88" t="e">
        <f>#REF!</f>
        <v>#REF!</v>
      </c>
      <c r="C50" s="88" t="e">
        <f>#REF!</f>
        <v>#REF!</v>
      </c>
      <c r="D50" s="88" t="e">
        <f>#REF!</f>
        <v>#REF!</v>
      </c>
      <c r="E50" s="88" t="e">
        <f>#REF!</f>
        <v>#REF!</v>
      </c>
      <c r="F50" s="79"/>
    </row>
    <row r="51" spans="1:33" x14ac:dyDescent="0.25">
      <c r="A51" s="82" t="e">
        <f>#REF!</f>
        <v>#REF!</v>
      </c>
      <c r="B51" s="88" t="e">
        <f>#REF!</f>
        <v>#REF!</v>
      </c>
      <c r="C51" s="88" t="e">
        <f>#REF!</f>
        <v>#REF!</v>
      </c>
      <c r="D51" s="88" t="e">
        <f>#REF!</f>
        <v>#REF!</v>
      </c>
      <c r="E51" s="88" t="e">
        <f>#REF!</f>
        <v>#REF!</v>
      </c>
      <c r="F51" s="79"/>
    </row>
    <row r="52" spans="1:33" x14ac:dyDescent="0.25">
      <c r="A52" s="82" t="e">
        <f>#REF!</f>
        <v>#REF!</v>
      </c>
      <c r="B52" s="88" t="e">
        <f>#REF!</f>
        <v>#REF!</v>
      </c>
      <c r="C52" s="88" t="e">
        <f>#REF!</f>
        <v>#REF!</v>
      </c>
      <c r="D52" s="88" t="e">
        <f>#REF!</f>
        <v>#REF!</v>
      </c>
      <c r="E52" s="88" t="e">
        <f>#REF!</f>
        <v>#REF!</v>
      </c>
      <c r="F52" s="79"/>
    </row>
    <row r="53" spans="1:33" x14ac:dyDescent="0.25">
      <c r="A53" s="82"/>
      <c r="B53" s="88"/>
      <c r="C53" s="88"/>
      <c r="D53" s="88"/>
      <c r="E53" s="88"/>
      <c r="F53" s="79"/>
    </row>
    <row r="54" spans="1:33" x14ac:dyDescent="0.25">
      <c r="A54" s="82" t="e">
        <f>#REF!</f>
        <v>#REF!</v>
      </c>
      <c r="B54" s="88" t="e">
        <f>#REF!</f>
        <v>#REF!</v>
      </c>
      <c r="C54" s="88" t="e">
        <f>#REF!</f>
        <v>#REF!</v>
      </c>
      <c r="D54" s="88" t="e">
        <f>#REF!</f>
        <v>#REF!</v>
      </c>
      <c r="E54" s="88" t="e">
        <f>#REF!</f>
        <v>#REF!</v>
      </c>
      <c r="F54" s="79"/>
    </row>
    <row r="55" spans="1:33" x14ac:dyDescent="0.25">
      <c r="A55" s="82" t="e">
        <f>#REF!</f>
        <v>#REF!</v>
      </c>
      <c r="B55" s="88" t="e">
        <f>#REF!</f>
        <v>#REF!</v>
      </c>
      <c r="C55" s="88" t="e">
        <f>#REF!</f>
        <v>#REF!</v>
      </c>
      <c r="D55" s="88" t="e">
        <f>#REF!</f>
        <v>#REF!</v>
      </c>
      <c r="E55" s="88" t="e">
        <f>#REF!</f>
        <v>#REF!</v>
      </c>
      <c r="F55" s="79"/>
    </row>
    <row r="56" spans="1:33" s="465" customFormat="1" x14ac:dyDescent="0.25">
      <c r="A56" s="462" t="e">
        <f>#REF!</f>
        <v>#REF!</v>
      </c>
      <c r="B56" s="463" t="e">
        <f>#REF!</f>
        <v>#REF!</v>
      </c>
      <c r="C56" s="463" t="e">
        <f>#REF!</f>
        <v>#REF!</v>
      </c>
      <c r="D56" s="463" t="e">
        <f>#REF!</f>
        <v>#REF!</v>
      </c>
      <c r="E56" s="463" t="e">
        <f>#REF!</f>
        <v>#REF!</v>
      </c>
      <c r="F56" s="464"/>
    </row>
    <row r="57" spans="1:33" s="412" customFormat="1" ht="3.75" customHeight="1" x14ac:dyDescent="0.15">
      <c r="A57" s="409"/>
      <c r="B57" s="410"/>
      <c r="C57" s="410"/>
      <c r="D57" s="410"/>
      <c r="E57" s="410"/>
      <c r="F57" s="411"/>
      <c r="S57" s="413"/>
      <c r="T57" s="414"/>
      <c r="U57" s="414">
        <f>'KB 01'!B16</f>
        <v>2019</v>
      </c>
      <c r="V57" s="414">
        <f>'KB 01'!C16</f>
        <v>2020</v>
      </c>
      <c r="W57" s="414">
        <f>'KB 01'!D16</f>
        <v>2021</v>
      </c>
      <c r="X57" s="414">
        <f>'KB 01'!E16</f>
        <v>2022</v>
      </c>
      <c r="Y57" s="414">
        <f>'KB 01'!F16</f>
        <v>2023</v>
      </c>
      <c r="Z57" s="414">
        <f>'KB 01'!G16</f>
        <v>2024</v>
      </c>
      <c r="AB57" s="414">
        <f t="shared" ref="AB57:AG57" si="22">U57</f>
        <v>2019</v>
      </c>
      <c r="AC57" s="414">
        <f t="shared" si="22"/>
        <v>2020</v>
      </c>
      <c r="AD57" s="414">
        <f t="shared" si="22"/>
        <v>2021</v>
      </c>
      <c r="AE57" s="414">
        <f t="shared" si="22"/>
        <v>2022</v>
      </c>
      <c r="AF57" s="414">
        <f t="shared" si="22"/>
        <v>2023</v>
      </c>
      <c r="AG57" s="414">
        <f t="shared" si="22"/>
        <v>2024</v>
      </c>
    </row>
    <row r="58" spans="1:33" s="412" customFormat="1" ht="3.75" customHeight="1" x14ac:dyDescent="0.15">
      <c r="A58" s="409" t="e">
        <f>#REF!</f>
        <v>#REF!</v>
      </c>
      <c r="B58" s="410" t="e">
        <f>#REF!</f>
        <v>#REF!</v>
      </c>
      <c r="C58" s="410" t="e">
        <f>#REF!</f>
        <v>#REF!</v>
      </c>
      <c r="D58" s="410" t="e">
        <f>#REF!</f>
        <v>#REF!</v>
      </c>
      <c r="E58" s="410" t="e">
        <f>#REF!</f>
        <v>#REF!</v>
      </c>
      <c r="F58" s="411"/>
      <c r="S58" s="413"/>
      <c r="U58" s="415" t="s">
        <v>712</v>
      </c>
      <c r="V58" s="416"/>
      <c r="W58" s="416"/>
      <c r="X58" s="416"/>
      <c r="Y58" s="416"/>
      <c r="Z58" s="417"/>
      <c r="AB58" s="418" t="s">
        <v>713</v>
      </c>
      <c r="AC58" s="419"/>
      <c r="AD58" s="419"/>
      <c r="AE58" s="419"/>
      <c r="AF58" s="419"/>
      <c r="AG58" s="420"/>
    </row>
    <row r="59" spans="1:33" s="412" customFormat="1" ht="3.75" customHeight="1" x14ac:dyDescent="0.15">
      <c r="A59" s="409" t="e">
        <f>#REF!</f>
        <v>#REF!</v>
      </c>
      <c r="B59" s="410" t="e">
        <f>#REF!</f>
        <v>#REF!</v>
      </c>
      <c r="C59" s="410" t="e">
        <f>#REF!</f>
        <v>#REF!</v>
      </c>
      <c r="D59" s="410" t="e">
        <f>#REF!</f>
        <v>#REF!</v>
      </c>
      <c r="E59" s="410" t="e">
        <f>#REF!</f>
        <v>#REF!</v>
      </c>
      <c r="F59" s="411"/>
      <c r="R59" s="412">
        <v>1</v>
      </c>
      <c r="S59" s="413" t="str">
        <f>'KB 01'!I6</f>
        <v>E detyrueshme</v>
      </c>
      <c r="T59" s="413" t="str">
        <f>'KB 01'!L6</f>
        <v>I veti</v>
      </c>
      <c r="U59" s="412">
        <f>'KB 01'!B$72</f>
        <v>188973007</v>
      </c>
      <c r="V59" s="412">
        <f>'KB 01'!C$72</f>
        <v>300083152</v>
      </c>
      <c r="W59" s="412">
        <f>'KB 01'!D$72</f>
        <v>423241564</v>
      </c>
      <c r="X59" s="412">
        <f>'KB 01'!E$72</f>
        <v>370648688</v>
      </c>
      <c r="Y59" s="412">
        <f>'KB 01'!F$72</f>
        <v>312104860</v>
      </c>
      <c r="Z59" s="412">
        <f>'KB 01'!G$72</f>
        <v>311465283</v>
      </c>
      <c r="AB59" s="412">
        <f>'KB 01'!J$82</f>
        <v>127176986</v>
      </c>
      <c r="AC59" s="412">
        <f>'KB 01'!K$82</f>
        <v>8642732</v>
      </c>
      <c r="AD59" s="412">
        <f>'KB 01'!L$82</f>
        <v>343914366</v>
      </c>
      <c r="AE59" s="412">
        <f>'KB 01'!M$82</f>
        <v>0</v>
      </c>
      <c r="AF59" s="412">
        <f>'KB 01'!N$82</f>
        <v>0</v>
      </c>
      <c r="AG59" s="412">
        <f>'KB 01'!O$82</f>
        <v>0</v>
      </c>
    </row>
    <row r="60" spans="1:33" s="412" customFormat="1" ht="3.75" customHeight="1" x14ac:dyDescent="0.15">
      <c r="A60" s="409" t="e">
        <f>#REF!</f>
        <v>#REF!</v>
      </c>
      <c r="B60" s="410" t="e">
        <f>#REF!</f>
        <v>#REF!</v>
      </c>
      <c r="C60" s="410" t="e">
        <f>#REF!</f>
        <v>#REF!</v>
      </c>
      <c r="D60" s="410" t="e">
        <f>#REF!</f>
        <v>#REF!</v>
      </c>
      <c r="E60" s="410" t="e">
        <f>#REF!</f>
        <v>#REF!</v>
      </c>
      <c r="F60" s="411"/>
      <c r="S60" s="413" t="str">
        <f>'KB 01'!I7</f>
        <v>E detyrueshme</v>
      </c>
      <c r="T60" s="413" t="str">
        <f>'KB 01'!L7</f>
        <v>I veti</v>
      </c>
      <c r="U60" s="410">
        <f>'KB 01'!B$111</f>
        <v>0</v>
      </c>
      <c r="V60" s="410">
        <f>'KB 01'!C$111</f>
        <v>0</v>
      </c>
      <c r="W60" s="410">
        <f>'KB 01'!D$111</f>
        <v>0</v>
      </c>
      <c r="X60" s="410">
        <f>'KB 01'!E$111</f>
        <v>0</v>
      </c>
      <c r="Y60" s="410">
        <f>'KB 01'!F$111</f>
        <v>0</v>
      </c>
      <c r="Z60" s="410">
        <f>'KB 01'!G$111</f>
        <v>0</v>
      </c>
      <c r="AA60" s="410"/>
      <c r="AB60" s="410">
        <f>'KB 01'!J$121</f>
        <v>0</v>
      </c>
      <c r="AC60" s="410">
        <f>'KB 01'!K$121</f>
        <v>0</v>
      </c>
      <c r="AD60" s="410">
        <f>'KB 01'!L$121</f>
        <v>0</v>
      </c>
      <c r="AE60" s="410">
        <f>'KB 01'!M$121</f>
        <v>0</v>
      </c>
      <c r="AF60" s="410">
        <f>'KB 01'!N$121</f>
        <v>0</v>
      </c>
      <c r="AG60" s="410">
        <f>'KB 01'!O$121</f>
        <v>0</v>
      </c>
    </row>
    <row r="61" spans="1:33" s="412" customFormat="1" ht="3.75" customHeight="1" x14ac:dyDescent="0.15">
      <c r="A61" s="409"/>
      <c r="B61" s="410"/>
      <c r="C61" s="410"/>
      <c r="D61" s="410"/>
      <c r="E61" s="410"/>
      <c r="F61" s="411"/>
      <c r="S61" s="413" t="str">
        <f>'KB 01'!I8</f>
        <v>E detyrueshme</v>
      </c>
      <c r="T61" s="413" t="str">
        <f>'KB 01'!L8</f>
        <v>I veti</v>
      </c>
      <c r="U61" s="410">
        <f>'KB 01'!B$150</f>
        <v>0</v>
      </c>
      <c r="V61" s="410">
        <f>'KB 01'!C$150</f>
        <v>0</v>
      </c>
      <c r="W61" s="410">
        <f>'KB 01'!D$150</f>
        <v>0</v>
      </c>
      <c r="X61" s="410">
        <f>'KB 01'!E$150</f>
        <v>0</v>
      </c>
      <c r="Y61" s="410">
        <f>'KB 01'!F$150</f>
        <v>0</v>
      </c>
      <c r="Z61" s="410">
        <f>'KB 01'!G$150</f>
        <v>0</v>
      </c>
      <c r="AA61" s="410"/>
      <c r="AB61" s="410">
        <f>'KB 01'!J$160</f>
        <v>0</v>
      </c>
      <c r="AC61" s="410">
        <f>'KB 01'!K$160</f>
        <v>0</v>
      </c>
      <c r="AD61" s="410">
        <f>'KB 01'!L$160</f>
        <v>0</v>
      </c>
      <c r="AE61" s="410">
        <f>'KB 01'!M$160</f>
        <v>0</v>
      </c>
      <c r="AF61" s="410">
        <f>'KB 01'!N$160</f>
        <v>0</v>
      </c>
      <c r="AG61" s="410">
        <f>'KB 01'!O$160</f>
        <v>0</v>
      </c>
    </row>
    <row r="62" spans="1:33" s="412" customFormat="1" ht="3.75" customHeight="1" x14ac:dyDescent="0.15">
      <c r="A62" s="409"/>
      <c r="B62" s="410"/>
      <c r="C62" s="410"/>
      <c r="D62" s="410"/>
      <c r="E62" s="410"/>
      <c r="F62" s="411"/>
      <c r="S62" s="413" t="str">
        <f>'KB 01'!I9</f>
        <v>E detyrueshme</v>
      </c>
      <c r="T62" s="413" t="str">
        <f>'KB 01'!L9</f>
        <v>I deleguar</v>
      </c>
      <c r="U62" s="410">
        <f>'KB 01'!B$189</f>
        <v>7819958</v>
      </c>
      <c r="V62" s="410">
        <f>'KB 01'!C$189</f>
        <v>10459216</v>
      </c>
      <c r="W62" s="410">
        <f>'KB 01'!D$189</f>
        <v>8084000</v>
      </c>
      <c r="X62" s="410">
        <f>'KB 01'!E$189</f>
        <v>8084000</v>
      </c>
      <c r="Y62" s="410">
        <f>'KB 01'!F$189</f>
        <v>8084000</v>
      </c>
      <c r="Z62" s="410">
        <f>'KB 01'!G$189</f>
        <v>8084000</v>
      </c>
      <c r="AA62" s="410"/>
      <c r="AB62" s="410">
        <f>'KB 01'!J$199</f>
        <v>7903000</v>
      </c>
      <c r="AC62" s="410">
        <f>'KB 01'!K$199</f>
        <v>11596216</v>
      </c>
      <c r="AD62" s="410">
        <f>'KB 01'!L$199</f>
        <v>8084000</v>
      </c>
      <c r="AE62" s="410">
        <f>'KB 01'!M$199</f>
        <v>8004000</v>
      </c>
      <c r="AF62" s="410">
        <f>'KB 01'!N$199</f>
        <v>8004000</v>
      </c>
      <c r="AG62" s="410">
        <f>'KB 01'!O$199</f>
        <v>8004000</v>
      </c>
    </row>
    <row r="63" spans="1:33" s="412" customFormat="1" ht="3.75" customHeight="1" x14ac:dyDescent="0.15">
      <c r="A63" s="409"/>
      <c r="B63" s="410"/>
      <c r="C63" s="410"/>
      <c r="D63" s="410"/>
      <c r="E63" s="410"/>
      <c r="F63" s="411"/>
      <c r="S63" s="413">
        <f>'KB 01'!I10</f>
        <v>0</v>
      </c>
      <c r="T63" s="413">
        <f>'KB 01'!L10</f>
        <v>0</v>
      </c>
      <c r="U63" s="410">
        <f>'KB 01'!B$228</f>
        <v>0</v>
      </c>
      <c r="V63" s="410">
        <f>'KB 01'!C$228</f>
        <v>0</v>
      </c>
      <c r="W63" s="410">
        <f>'KB 01'!D$228</f>
        <v>0</v>
      </c>
      <c r="X63" s="410">
        <f>'KB 01'!E$228</f>
        <v>0</v>
      </c>
      <c r="Y63" s="410">
        <f>'KB 01'!F$228</f>
        <v>0</v>
      </c>
      <c r="Z63" s="410">
        <f>'KB 01'!G$228</f>
        <v>0</v>
      </c>
      <c r="AA63" s="410"/>
      <c r="AB63" s="410">
        <f>'KB 01'!J$238</f>
        <v>0</v>
      </c>
      <c r="AC63" s="410">
        <f>'KB 01'!K$238</f>
        <v>0</v>
      </c>
      <c r="AD63" s="410">
        <f>'KB 01'!L$238</f>
        <v>0</v>
      </c>
      <c r="AE63" s="410">
        <f>'KB 01'!M$238</f>
        <v>0</v>
      </c>
      <c r="AF63" s="410">
        <f>'KB 01'!N$238</f>
        <v>0</v>
      </c>
      <c r="AG63" s="410">
        <f>'KB 01'!O$238</f>
        <v>0</v>
      </c>
    </row>
    <row r="64" spans="1:33" s="412" customFormat="1" ht="3.75" customHeight="1" x14ac:dyDescent="0.15">
      <c r="A64" s="409"/>
      <c r="B64" s="410"/>
      <c r="C64" s="410"/>
      <c r="D64" s="410"/>
      <c r="E64" s="410"/>
      <c r="F64" s="411"/>
      <c r="S64" s="413">
        <f>'KB 01'!I11</f>
        <v>0</v>
      </c>
      <c r="T64" s="413">
        <f>'KB 01'!L11</f>
        <v>0</v>
      </c>
      <c r="U64" s="412">
        <f>'KB 01'!B$267</f>
        <v>0</v>
      </c>
      <c r="V64" s="412">
        <f>'KB 01'!C$267</f>
        <v>0</v>
      </c>
      <c r="W64" s="412">
        <f>'KB 01'!D$267</f>
        <v>0</v>
      </c>
      <c r="X64" s="412">
        <f>'KB 01'!E$267</f>
        <v>0</v>
      </c>
      <c r="Y64" s="412">
        <f>'KB 01'!F$267</f>
        <v>0</v>
      </c>
      <c r="Z64" s="412">
        <f>'KB 01'!G$267</f>
        <v>0</v>
      </c>
      <c r="AB64" s="412">
        <f>'KB 01'!J$277</f>
        <v>0</v>
      </c>
      <c r="AC64" s="412">
        <f>'KB 01'!K$277</f>
        <v>0</v>
      </c>
      <c r="AD64" s="412">
        <f>'KB 01'!L$277</f>
        <v>0</v>
      </c>
      <c r="AE64" s="412">
        <f>'KB 01'!M$277</f>
        <v>0</v>
      </c>
      <c r="AF64" s="412">
        <f>'KB 01'!N$277</f>
        <v>0</v>
      </c>
      <c r="AG64" s="412">
        <f>'KB 01'!O$277</f>
        <v>0</v>
      </c>
    </row>
    <row r="65" spans="1:33" s="412" customFormat="1" ht="3.75" customHeight="1" x14ac:dyDescent="0.15">
      <c r="A65" s="409" t="e">
        <f>#REF!</f>
        <v>#REF!</v>
      </c>
      <c r="B65" s="410" t="e">
        <f>#REF!</f>
        <v>#REF!</v>
      </c>
      <c r="C65" s="410" t="e">
        <f>#REF!</f>
        <v>#REF!</v>
      </c>
      <c r="D65" s="410" t="e">
        <f>#REF!</f>
        <v>#REF!</v>
      </c>
      <c r="E65" s="410" t="e">
        <f>#REF!</f>
        <v>#REF!</v>
      </c>
      <c r="F65" s="411"/>
      <c r="S65" s="413"/>
      <c r="T65" s="413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</row>
    <row r="66" spans="1:33" s="412" customFormat="1" ht="3.75" customHeight="1" x14ac:dyDescent="0.15">
      <c r="A66" s="409" t="e">
        <f>#REF!</f>
        <v>#REF!</v>
      </c>
      <c r="B66" s="410" t="e">
        <f>#REF!</f>
        <v>#REF!</v>
      </c>
      <c r="C66" s="410" t="e">
        <f>#REF!</f>
        <v>#REF!</v>
      </c>
      <c r="D66" s="410" t="e">
        <f>#REF!</f>
        <v>#REF!</v>
      </c>
      <c r="E66" s="410" t="e">
        <f>#REF!</f>
        <v>#REF!</v>
      </c>
      <c r="F66" s="411"/>
      <c r="R66" s="412">
        <v>2</v>
      </c>
      <c r="S66" s="413" t="str">
        <f>'KB 02'!I6</f>
        <v>E detyrueshme</v>
      </c>
      <c r="T66" s="413" t="str">
        <f>'KB 02'!L6</f>
        <v>I veti</v>
      </c>
      <c r="U66" s="412">
        <f>'KB 02'!B$72</f>
        <v>0</v>
      </c>
      <c r="V66" s="412">
        <f>'KB 02'!C$72</f>
        <v>0</v>
      </c>
      <c r="W66" s="412">
        <f>'KB 02'!D$72</f>
        <v>0</v>
      </c>
      <c r="X66" s="412">
        <f>'KB 02'!E$72</f>
        <v>0</v>
      </c>
      <c r="Y66" s="412">
        <f>'KB 02'!F$72</f>
        <v>0</v>
      </c>
      <c r="Z66" s="412">
        <f>'KB 02'!G$72</f>
        <v>0</v>
      </c>
      <c r="AB66" s="412">
        <f>'KB 02'!J$82</f>
        <v>0</v>
      </c>
      <c r="AC66" s="412">
        <f>'KB 02'!K$82</f>
        <v>0</v>
      </c>
      <c r="AD66" s="412">
        <f>'KB 02'!L$82</f>
        <v>0</v>
      </c>
      <c r="AE66" s="412">
        <f>'KB 02'!M$82</f>
        <v>0</v>
      </c>
      <c r="AF66" s="412">
        <f>'KB 02'!N$82</f>
        <v>0</v>
      </c>
      <c r="AG66" s="412">
        <f>'KB 02'!O$82</f>
        <v>0</v>
      </c>
    </row>
    <row r="67" spans="1:33" s="412" customFormat="1" ht="3.75" customHeight="1" x14ac:dyDescent="0.15">
      <c r="A67" s="409" t="e">
        <f>#REF!</f>
        <v>#REF!</v>
      </c>
      <c r="B67" s="410" t="e">
        <f>#REF!</f>
        <v>#REF!</v>
      </c>
      <c r="C67" s="410" t="e">
        <f>#REF!</f>
        <v>#REF!</v>
      </c>
      <c r="D67" s="410" t="e">
        <f>#REF!</f>
        <v>#REF!</v>
      </c>
      <c r="E67" s="410" t="e">
        <f>#REF!</f>
        <v>#REF!</v>
      </c>
      <c r="F67" s="411"/>
      <c r="S67" s="413" t="str">
        <f>'KB 02'!I7</f>
        <v>E detyrueshme</v>
      </c>
      <c r="T67" s="413" t="str">
        <f>'KB 02'!L7</f>
        <v>I veti</v>
      </c>
      <c r="U67" s="410">
        <f>'KB 02'!B$111</f>
        <v>0</v>
      </c>
      <c r="V67" s="410">
        <f>'KB 02'!C$111</f>
        <v>0</v>
      </c>
      <c r="W67" s="410">
        <f>'KB 02'!D$111</f>
        <v>0</v>
      </c>
      <c r="X67" s="410">
        <f>'KB 02'!E$111</f>
        <v>0</v>
      </c>
      <c r="Y67" s="410">
        <f>'KB 02'!F$111</f>
        <v>0</v>
      </c>
      <c r="Z67" s="410">
        <f>'KB 02'!G$111</f>
        <v>0</v>
      </c>
      <c r="AA67" s="410"/>
      <c r="AB67" s="410">
        <f>'KB 02'!J$121</f>
        <v>0</v>
      </c>
      <c r="AC67" s="410">
        <f>'KB 02'!K$121</f>
        <v>0</v>
      </c>
      <c r="AD67" s="410">
        <f>'KB 02'!L$121</f>
        <v>0</v>
      </c>
      <c r="AE67" s="410">
        <f>'KB 02'!M$121</f>
        <v>0</v>
      </c>
      <c r="AF67" s="410">
        <f>'KB 02'!N$121</f>
        <v>0</v>
      </c>
      <c r="AG67" s="410">
        <f>'KB 02'!O$121</f>
        <v>0</v>
      </c>
    </row>
    <row r="68" spans="1:33" s="412" customFormat="1" ht="3.75" customHeight="1" x14ac:dyDescent="0.15">
      <c r="A68" s="409"/>
      <c r="B68" s="410"/>
      <c r="C68" s="410"/>
      <c r="D68" s="410"/>
      <c r="E68" s="410"/>
      <c r="F68" s="411"/>
      <c r="S68" s="413" t="str">
        <f>'KB 02'!I8</f>
        <v>E detyrueshme</v>
      </c>
      <c r="T68" s="413" t="str">
        <f>'KB 02'!L8</f>
        <v>I veti</v>
      </c>
      <c r="U68" s="410">
        <f>'KB 02'!B$150</f>
        <v>0</v>
      </c>
      <c r="V68" s="410">
        <f>'KB 02'!C$150</f>
        <v>0</v>
      </c>
      <c r="W68" s="410">
        <f>'KB 02'!D$150</f>
        <v>0</v>
      </c>
      <c r="X68" s="410">
        <f>'KB 02'!E$150</f>
        <v>0</v>
      </c>
      <c r="Y68" s="410">
        <f>'KB 02'!F$150</f>
        <v>0</v>
      </c>
      <c r="Z68" s="410">
        <f>'KB 02'!G$150</f>
        <v>0</v>
      </c>
      <c r="AA68" s="410"/>
      <c r="AB68" s="410">
        <f>'KB 02'!J$160</f>
        <v>0</v>
      </c>
      <c r="AC68" s="410">
        <f>'KB 02'!K$160</f>
        <v>0</v>
      </c>
      <c r="AD68" s="410">
        <f>'KB 02'!L$160</f>
        <v>0</v>
      </c>
      <c r="AE68" s="410">
        <f>'KB 02'!M$160</f>
        <v>0</v>
      </c>
      <c r="AF68" s="410">
        <f>'KB 02'!N$160</f>
        <v>0</v>
      </c>
      <c r="AG68" s="410">
        <f>'KB 02'!O$160</f>
        <v>0</v>
      </c>
    </row>
    <row r="69" spans="1:33" s="412" customFormat="1" ht="3.75" customHeight="1" x14ac:dyDescent="0.15">
      <c r="A69" s="409"/>
      <c r="B69" s="410"/>
      <c r="C69" s="410"/>
      <c r="D69" s="410"/>
      <c r="E69" s="410"/>
      <c r="F69" s="411"/>
      <c r="S69" s="413" t="str">
        <f>'KB 02'!I9</f>
        <v>E detyrueshme</v>
      </c>
      <c r="T69" s="413" t="str">
        <f>'KB 02'!L9</f>
        <v>I veti</v>
      </c>
      <c r="U69" s="410">
        <f>'KB 02'!B$189</f>
        <v>4415703</v>
      </c>
      <c r="V69" s="410">
        <f>'KB 02'!C$189</f>
        <v>5108041</v>
      </c>
      <c r="W69" s="410">
        <f>'KB 02'!D$189</f>
        <v>900000</v>
      </c>
      <c r="X69" s="410">
        <f>'KB 02'!E$189</f>
        <v>0</v>
      </c>
      <c r="Y69" s="410">
        <f>'KB 02'!F$189</f>
        <v>0</v>
      </c>
      <c r="Z69" s="410">
        <f>'KB 02'!G$189</f>
        <v>0</v>
      </c>
      <c r="AA69" s="410"/>
      <c r="AB69" s="410">
        <f>'KB 02'!J$199</f>
        <v>0</v>
      </c>
      <c r="AC69" s="410">
        <f>'KB 02'!K$199</f>
        <v>0</v>
      </c>
      <c r="AD69" s="410">
        <f>'KB 02'!L$199</f>
        <v>0</v>
      </c>
      <c r="AE69" s="410">
        <f>'KB 02'!M$199</f>
        <v>0</v>
      </c>
      <c r="AF69" s="410">
        <f>'KB 02'!N$199</f>
        <v>0</v>
      </c>
      <c r="AG69" s="410">
        <f>'KB 02'!O$199</f>
        <v>0</v>
      </c>
    </row>
    <row r="70" spans="1:33" s="412" customFormat="1" ht="3.75" customHeight="1" x14ac:dyDescent="0.15">
      <c r="A70" s="409"/>
      <c r="B70" s="410"/>
      <c r="C70" s="410"/>
      <c r="D70" s="410"/>
      <c r="E70" s="410"/>
      <c r="F70" s="411"/>
      <c r="S70" s="413">
        <f>'KB 02'!I10</f>
        <v>0</v>
      </c>
      <c r="T70" s="413">
        <f>'KB 02'!L10</f>
        <v>0</v>
      </c>
      <c r="U70" s="410">
        <f>'KB 02'!B$228</f>
        <v>0</v>
      </c>
      <c r="V70" s="410">
        <f>'KB 02'!C$228</f>
        <v>0</v>
      </c>
      <c r="W70" s="410">
        <f>'KB 02'!D$228</f>
        <v>0</v>
      </c>
      <c r="X70" s="410">
        <f>'KB 02'!E$228</f>
        <v>0</v>
      </c>
      <c r="Y70" s="410">
        <f>'KB 02'!F$228</f>
        <v>0</v>
      </c>
      <c r="Z70" s="410">
        <f>'KB 02'!G$228</f>
        <v>0</v>
      </c>
      <c r="AA70" s="410"/>
      <c r="AB70" s="410">
        <f>'KB 02'!J$238</f>
        <v>0</v>
      </c>
      <c r="AC70" s="410">
        <f>'KB 02'!K$238</f>
        <v>0</v>
      </c>
      <c r="AD70" s="410">
        <f>'KB 02'!L$238</f>
        <v>0</v>
      </c>
      <c r="AE70" s="410">
        <f>'KB 02'!M$238</f>
        <v>0</v>
      </c>
      <c r="AF70" s="410">
        <f>'KB 02'!N$238</f>
        <v>0</v>
      </c>
      <c r="AG70" s="410">
        <f>'KB 02'!O$238</f>
        <v>0</v>
      </c>
    </row>
    <row r="71" spans="1:33" s="412" customFormat="1" ht="3.75" customHeight="1" x14ac:dyDescent="0.15">
      <c r="A71" s="409"/>
      <c r="B71" s="410"/>
      <c r="C71" s="410"/>
      <c r="D71" s="410"/>
      <c r="E71" s="410"/>
      <c r="F71" s="411"/>
      <c r="S71" s="413">
        <f>'KB 02'!I11</f>
        <v>0</v>
      </c>
      <c r="T71" s="413">
        <f>'KB 02'!L11</f>
        <v>0</v>
      </c>
      <c r="U71" s="412">
        <f>'KB 02'!B$266</f>
        <v>0</v>
      </c>
      <c r="V71" s="412">
        <f>'KB 02'!C$266</f>
        <v>0</v>
      </c>
      <c r="W71" s="412">
        <f>'KB 02'!D$266</f>
        <v>0</v>
      </c>
      <c r="X71" s="412">
        <f>'KB 02'!E$266</f>
        <v>0</v>
      </c>
      <c r="Y71" s="412">
        <f>'KB 02'!F$266</f>
        <v>0</v>
      </c>
      <c r="Z71" s="412">
        <f>'KB 02'!G$266</f>
        <v>0</v>
      </c>
      <c r="AB71" s="412">
        <f>'KB 02'!J$276</f>
        <v>0</v>
      </c>
      <c r="AC71" s="412">
        <f>'KB 02'!K$276</f>
        <v>0</v>
      </c>
      <c r="AD71" s="412">
        <f>'KB 02'!L$276</f>
        <v>0</v>
      </c>
      <c r="AE71" s="412">
        <f>'KB 02'!M$276</f>
        <v>0</v>
      </c>
      <c r="AF71" s="412">
        <f>'KB 02'!N$276</f>
        <v>0</v>
      </c>
      <c r="AG71" s="412">
        <f>'KB 02'!O$276</f>
        <v>0</v>
      </c>
    </row>
    <row r="72" spans="1:33" s="412" customFormat="1" ht="3.75" customHeight="1" x14ac:dyDescent="0.15">
      <c r="A72" s="409" t="e">
        <f>#REF!</f>
        <v>#REF!</v>
      </c>
      <c r="B72" s="410" t="e">
        <f>#REF!</f>
        <v>#REF!</v>
      </c>
      <c r="C72" s="410" t="e">
        <f>#REF!</f>
        <v>#REF!</v>
      </c>
      <c r="D72" s="410" t="e">
        <f>#REF!</f>
        <v>#REF!</v>
      </c>
      <c r="E72" s="410" t="e">
        <f>#REF!</f>
        <v>#REF!</v>
      </c>
      <c r="F72" s="411"/>
      <c r="S72" s="413"/>
      <c r="T72" s="413"/>
      <c r="U72" s="410"/>
      <c r="V72" s="410"/>
      <c r="W72" s="410"/>
      <c r="X72" s="410"/>
      <c r="Y72" s="410"/>
      <c r="Z72" s="410"/>
      <c r="AA72" s="410"/>
      <c r="AB72" s="410"/>
      <c r="AC72" s="410"/>
      <c r="AD72" s="410"/>
      <c r="AE72" s="410"/>
      <c r="AF72" s="410"/>
      <c r="AG72" s="410"/>
    </row>
    <row r="73" spans="1:33" s="412" customFormat="1" ht="3.75" customHeight="1" x14ac:dyDescent="0.15">
      <c r="A73" s="421"/>
      <c r="B73" s="422"/>
      <c r="C73" s="422"/>
      <c r="D73" s="422"/>
      <c r="E73" s="422"/>
      <c r="F73" s="411"/>
      <c r="R73" s="412">
        <v>3</v>
      </c>
      <c r="S73" s="413" t="str">
        <f>'KB 03'!I6</f>
        <v>E detyrueshme</v>
      </c>
      <c r="T73" s="413" t="str">
        <f>'KB 03'!L6</f>
        <v>I veti</v>
      </c>
      <c r="U73" s="412">
        <f>'KB 03'!B$72</f>
        <v>0</v>
      </c>
      <c r="V73" s="412">
        <f>'KB 03'!C$72</f>
        <v>0</v>
      </c>
      <c r="W73" s="412">
        <f>'KB 03'!D$72</f>
        <v>0</v>
      </c>
      <c r="X73" s="412">
        <f>'KB 03'!E$72</f>
        <v>0</v>
      </c>
      <c r="Y73" s="412">
        <f>'KB 03'!F$72</f>
        <v>0</v>
      </c>
      <c r="Z73" s="412">
        <f>'KB 03'!G$72</f>
        <v>0</v>
      </c>
      <c r="AB73" s="412">
        <f>'KB 03'!J$82</f>
        <v>0</v>
      </c>
      <c r="AC73" s="412">
        <f>'KB 03'!K$82</f>
        <v>0</v>
      </c>
      <c r="AD73" s="412">
        <f>'KB 03'!L$82</f>
        <v>0</v>
      </c>
      <c r="AE73" s="412">
        <f>'KB 03'!M$82</f>
        <v>0</v>
      </c>
      <c r="AF73" s="412">
        <f>'KB 03'!N$82</f>
        <v>0</v>
      </c>
      <c r="AG73" s="412">
        <f>'KB 03'!O$82</f>
        <v>0</v>
      </c>
    </row>
    <row r="74" spans="1:33" s="412" customFormat="1" ht="3.75" customHeight="1" x14ac:dyDescent="0.15">
      <c r="A74" s="413"/>
      <c r="B74" s="423"/>
      <c r="C74" s="423"/>
      <c r="D74" s="423"/>
      <c r="E74" s="423"/>
      <c r="F74" s="412" t="s">
        <v>62</v>
      </c>
      <c r="S74" s="413">
        <f>'KB 03'!I7</f>
        <v>0</v>
      </c>
      <c r="T74" s="413">
        <f>'KB 03'!L7</f>
        <v>0</v>
      </c>
      <c r="U74" s="410">
        <f>'KB 03'!B$111</f>
        <v>0</v>
      </c>
      <c r="V74" s="410">
        <f>'KB 03'!C$111</f>
        <v>0</v>
      </c>
      <c r="W74" s="410">
        <f>'KB 03'!D$111</f>
        <v>0</v>
      </c>
      <c r="X74" s="410">
        <f>'KB 03'!E$111</f>
        <v>0</v>
      </c>
      <c r="Y74" s="410">
        <f>'KB 03'!F$111</f>
        <v>0</v>
      </c>
      <c r="Z74" s="410">
        <f>'KB 03'!G$111</f>
        <v>0</v>
      </c>
      <c r="AA74" s="410"/>
      <c r="AB74" s="410">
        <f>'KB 03'!J$121</f>
        <v>0</v>
      </c>
      <c r="AC74" s="410">
        <f>'KB 03'!K$121</f>
        <v>0</v>
      </c>
      <c r="AD74" s="410">
        <f>'KB 03'!L$121</f>
        <v>0</v>
      </c>
      <c r="AE74" s="410">
        <f>'KB 03'!M$121</f>
        <v>0</v>
      </c>
      <c r="AF74" s="410">
        <f>'KB 03'!N$121</f>
        <v>0</v>
      </c>
      <c r="AG74" s="410">
        <f>'KB 03'!O$121</f>
        <v>0</v>
      </c>
    </row>
    <row r="75" spans="1:33" s="412" customFormat="1" ht="3.75" customHeight="1" thickBot="1" x14ac:dyDescent="0.2">
      <c r="A75" s="409"/>
      <c r="B75" s="410"/>
      <c r="C75" s="410"/>
      <c r="D75" s="410"/>
      <c r="E75" s="410"/>
      <c r="F75" s="411"/>
      <c r="S75" s="413">
        <f>'KB 03'!I8</f>
        <v>0</v>
      </c>
      <c r="T75" s="413">
        <f>'KB 03'!L8</f>
        <v>0</v>
      </c>
      <c r="U75" s="410">
        <f>'KB 03'!B$150</f>
        <v>0</v>
      </c>
      <c r="V75" s="410">
        <f>'KB 03'!C$150</f>
        <v>0</v>
      </c>
      <c r="W75" s="410">
        <f>'KB 03'!D$150</f>
        <v>0</v>
      </c>
      <c r="X75" s="410">
        <f>'KB 03'!E$150</f>
        <v>0</v>
      </c>
      <c r="Y75" s="410">
        <f>'KB 03'!F$150</f>
        <v>0</v>
      </c>
      <c r="Z75" s="410">
        <f>'KB 03'!G$150</f>
        <v>0</v>
      </c>
      <c r="AA75" s="410"/>
      <c r="AB75" s="410">
        <f>'KB 03'!J$160</f>
        <v>0</v>
      </c>
      <c r="AC75" s="410">
        <f>'KB 03'!K$160</f>
        <v>0</v>
      </c>
      <c r="AD75" s="410">
        <f>'KB 03'!L$160</f>
        <v>0</v>
      </c>
      <c r="AE75" s="410">
        <f>'KB 03'!M$160</f>
        <v>0</v>
      </c>
      <c r="AF75" s="410">
        <f>'KB 03'!N$160</f>
        <v>0</v>
      </c>
      <c r="AG75" s="410">
        <f>'KB 03'!O$160</f>
        <v>0</v>
      </c>
    </row>
    <row r="76" spans="1:33" s="412" customFormat="1" ht="3.75" customHeight="1" x14ac:dyDescent="0.15">
      <c r="A76" s="424"/>
      <c r="B76" s="425"/>
      <c r="C76" s="425"/>
      <c r="D76" s="425"/>
      <c r="E76" s="426"/>
      <c r="S76" s="413">
        <f>'KB 03'!I9</f>
        <v>0</v>
      </c>
      <c r="T76" s="413">
        <f>'KB 03'!L9</f>
        <v>0</v>
      </c>
      <c r="U76" s="410">
        <f>'KB 03'!B$188</f>
        <v>0</v>
      </c>
      <c r="V76" s="410">
        <f>'KB 03'!C$188</f>
        <v>0</v>
      </c>
      <c r="W76" s="410">
        <f>'KB 03'!D$188</f>
        <v>0</v>
      </c>
      <c r="X76" s="410">
        <f>'KB 03'!E$188</f>
        <v>0</v>
      </c>
      <c r="Y76" s="410">
        <f>'KB 03'!F$188</f>
        <v>0</v>
      </c>
      <c r="Z76" s="410">
        <f>'KB 03'!G$188</f>
        <v>0</v>
      </c>
      <c r="AA76" s="410"/>
      <c r="AB76" s="410">
        <f>'KB 03'!J$198</f>
        <v>0</v>
      </c>
      <c r="AC76" s="410">
        <f>'KB 03'!K$198</f>
        <v>0</v>
      </c>
      <c r="AD76" s="410">
        <f>'KB 03'!L$198</f>
        <v>0</v>
      </c>
      <c r="AE76" s="410">
        <f>'KB 03'!M$198</f>
        <v>0</v>
      </c>
      <c r="AF76" s="410">
        <f>'KB 03'!N$198</f>
        <v>0</v>
      </c>
      <c r="AG76" s="410">
        <f>'KB 03'!O$198</f>
        <v>0</v>
      </c>
    </row>
    <row r="77" spans="1:33" s="412" customFormat="1" ht="3.75" customHeight="1" x14ac:dyDescent="0.15">
      <c r="A77" s="409" t="e">
        <f>#REF!</f>
        <v>#REF!</v>
      </c>
      <c r="B77" s="427" t="e">
        <f>#REF!</f>
        <v>#REF!</v>
      </c>
      <c r="C77" s="427" t="e">
        <f>#REF!</f>
        <v>#REF!</v>
      </c>
      <c r="D77" s="427" t="e">
        <f>#REF!</f>
        <v>#REF!</v>
      </c>
      <c r="E77" s="427" t="e">
        <f>#REF!</f>
        <v>#REF!</v>
      </c>
      <c r="S77" s="413">
        <f>'KB 03'!I10</f>
        <v>0</v>
      </c>
      <c r="T77" s="413">
        <f>'KB 03'!L10</f>
        <v>0</v>
      </c>
      <c r="U77" s="410">
        <f>'KB 03'!B$226</f>
        <v>0</v>
      </c>
      <c r="V77" s="410">
        <f>'KB 03'!C$226</f>
        <v>0</v>
      </c>
      <c r="W77" s="410">
        <f>'KB 03'!D$226</f>
        <v>0</v>
      </c>
      <c r="X77" s="410">
        <f>'KB 03'!E$226</f>
        <v>0</v>
      </c>
      <c r="Y77" s="410">
        <f>'KB 03'!F$226</f>
        <v>0</v>
      </c>
      <c r="Z77" s="410">
        <f>'KB 03'!G$226</f>
        <v>0</v>
      </c>
      <c r="AA77" s="410"/>
      <c r="AB77" s="410">
        <f>'KB 03'!J$236</f>
        <v>0</v>
      </c>
      <c r="AC77" s="410">
        <f>'KB 03'!K$236</f>
        <v>0</v>
      </c>
      <c r="AD77" s="410">
        <f>'KB 03'!L$236</f>
        <v>0</v>
      </c>
      <c r="AE77" s="410">
        <f>'KB 03'!M$236</f>
        <v>0</v>
      </c>
      <c r="AF77" s="410">
        <f>'KB 03'!N$236</f>
        <v>0</v>
      </c>
      <c r="AG77" s="410">
        <f>'KB 03'!O$236</f>
        <v>0</v>
      </c>
    </row>
    <row r="78" spans="1:33" s="412" customFormat="1" ht="3.75" customHeight="1" x14ac:dyDescent="0.15">
      <c r="A78" s="409" t="e">
        <f>#REF!</f>
        <v>#REF!</v>
      </c>
      <c r="B78" s="427" t="e">
        <f>#REF!</f>
        <v>#REF!</v>
      </c>
      <c r="C78" s="427" t="e">
        <f>#REF!</f>
        <v>#REF!</v>
      </c>
      <c r="D78" s="427" t="e">
        <f>#REF!</f>
        <v>#REF!</v>
      </c>
      <c r="E78" s="427" t="e">
        <f>#REF!</f>
        <v>#REF!</v>
      </c>
      <c r="S78" s="413">
        <f>'KB 03'!I11</f>
        <v>0</v>
      </c>
      <c r="T78" s="413">
        <f>'KB 03'!L11</f>
        <v>0</v>
      </c>
      <c r="U78" s="412">
        <f>'KB 03'!B$264</f>
        <v>0</v>
      </c>
      <c r="V78" s="412">
        <f>'KB 03'!C$264</f>
        <v>0</v>
      </c>
      <c r="W78" s="412">
        <f>'KB 03'!D$264</f>
        <v>0</v>
      </c>
      <c r="X78" s="412">
        <f>'KB 03'!E$264</f>
        <v>0</v>
      </c>
      <c r="Y78" s="412">
        <f>'KB 03'!F$264</f>
        <v>0</v>
      </c>
      <c r="Z78" s="412">
        <f>'KB 03'!G$264</f>
        <v>0</v>
      </c>
      <c r="AB78" s="412">
        <f>'KB 03'!J$274</f>
        <v>0</v>
      </c>
      <c r="AC78" s="412">
        <f>'KB 03'!K$274</f>
        <v>0</v>
      </c>
      <c r="AD78" s="412">
        <f>'KB 03'!L$274</f>
        <v>0</v>
      </c>
      <c r="AE78" s="412">
        <f>'KB 03'!M$274</f>
        <v>0</v>
      </c>
      <c r="AF78" s="412">
        <f>'KB 03'!N$274</f>
        <v>0</v>
      </c>
      <c r="AG78" s="412">
        <f>'KB 03'!O$274</f>
        <v>0</v>
      </c>
    </row>
    <row r="79" spans="1:33" s="412" customFormat="1" ht="3.75" customHeight="1" outlineLevel="1" x14ac:dyDescent="0.15">
      <c r="A79" s="409" t="e">
        <f>#REF!</f>
        <v>#REF!</v>
      </c>
      <c r="B79" s="410" t="e">
        <f>#REF!</f>
        <v>#REF!</v>
      </c>
      <c r="C79" s="410" t="e">
        <f>#REF!</f>
        <v>#REF!</v>
      </c>
      <c r="D79" s="410" t="e">
        <f>#REF!</f>
        <v>#REF!</v>
      </c>
      <c r="E79" s="410" t="e">
        <f>#REF!</f>
        <v>#REF!</v>
      </c>
      <c r="S79" s="413"/>
      <c r="T79" s="413"/>
      <c r="U79" s="410"/>
      <c r="V79" s="410"/>
      <c r="W79" s="410"/>
      <c r="X79" s="410"/>
      <c r="Y79" s="410"/>
      <c r="Z79" s="410"/>
      <c r="AA79" s="410"/>
      <c r="AB79" s="410"/>
      <c r="AC79" s="410"/>
      <c r="AD79" s="410"/>
      <c r="AE79" s="410"/>
      <c r="AF79" s="410"/>
      <c r="AG79" s="410"/>
    </row>
    <row r="80" spans="1:33" s="412" customFormat="1" ht="3.75" customHeight="1" x14ac:dyDescent="0.15">
      <c r="A80" s="409"/>
      <c r="B80" s="410"/>
      <c r="C80" s="410"/>
      <c r="D80" s="410"/>
      <c r="E80" s="410"/>
      <c r="F80" s="411"/>
      <c r="R80" s="412">
        <v>4</v>
      </c>
      <c r="S80" s="413" t="str">
        <f>'KB 04'!I6</f>
        <v>E detyrueshme</v>
      </c>
      <c r="T80" s="413" t="str">
        <f>'KB 04'!L6</f>
        <v>Transferuar</v>
      </c>
      <c r="U80" s="412">
        <f>'KB 04'!B$72</f>
        <v>11570753</v>
      </c>
      <c r="V80" s="412">
        <f>'KB 04'!C$72</f>
        <v>13488330</v>
      </c>
      <c r="W80" s="412">
        <f>'KB 04'!D$72</f>
        <v>20596534</v>
      </c>
      <c r="X80" s="412">
        <f>'KB 04'!E$72</f>
        <v>17429650</v>
      </c>
      <c r="Y80" s="412">
        <f>'KB 04'!F$72</f>
        <v>17429650</v>
      </c>
      <c r="Z80" s="412">
        <f>'KB 04'!G$72</f>
        <v>17429650</v>
      </c>
      <c r="AB80" s="412">
        <f>'KB 04'!J$82</f>
        <v>18048879</v>
      </c>
      <c r="AC80" s="412">
        <f>'KB 04'!K$82</f>
        <v>20252132</v>
      </c>
      <c r="AD80" s="412">
        <f>'KB 04'!L$82</f>
        <v>14282000</v>
      </c>
      <c r="AE80" s="412">
        <f>'KB 04'!M$82</f>
        <v>14082000</v>
      </c>
      <c r="AF80" s="412">
        <f>'KB 04'!N$82</f>
        <v>14082000</v>
      </c>
      <c r="AG80" s="412">
        <f>'KB 04'!O$82</f>
        <v>14082000</v>
      </c>
    </row>
    <row r="81" spans="1:33" s="412" customFormat="1" ht="3.75" customHeight="1" outlineLevel="1" x14ac:dyDescent="0.15">
      <c r="A81" s="409"/>
      <c r="B81" s="410"/>
      <c r="C81" s="410"/>
      <c r="D81" s="410"/>
      <c r="E81" s="410"/>
      <c r="S81" s="413">
        <f>'KB 04'!I7</f>
        <v>0</v>
      </c>
      <c r="T81" s="413">
        <f>'KB 04'!L7</f>
        <v>0</v>
      </c>
      <c r="U81" s="410">
        <f>'KB 04'!B$111</f>
        <v>0</v>
      </c>
      <c r="V81" s="410">
        <f>'KB 04'!C$111</f>
        <v>0</v>
      </c>
      <c r="W81" s="410">
        <f>'KB 04'!D$111</f>
        <v>0</v>
      </c>
      <c r="X81" s="410">
        <f>'KB 04'!E$111</f>
        <v>0</v>
      </c>
      <c r="Y81" s="410">
        <f>'KB 04'!F$111</f>
        <v>0</v>
      </c>
      <c r="Z81" s="410">
        <f>'KB 04'!G$111</f>
        <v>0</v>
      </c>
      <c r="AA81" s="410"/>
      <c r="AB81" s="410">
        <f>'KB 04'!J$121</f>
        <v>0</v>
      </c>
      <c r="AC81" s="410">
        <f>'KB 04'!K$121</f>
        <v>0</v>
      </c>
      <c r="AD81" s="410">
        <f>'KB 04'!L$121</f>
        <v>0</v>
      </c>
      <c r="AE81" s="410">
        <f>'KB 04'!M$121</f>
        <v>0</v>
      </c>
      <c r="AF81" s="410">
        <f>'KB 04'!N$121</f>
        <v>0</v>
      </c>
      <c r="AG81" s="410">
        <f>'KB 04'!O$121</f>
        <v>0</v>
      </c>
    </row>
    <row r="82" spans="1:33" s="412" customFormat="1" ht="3.75" customHeight="1" outlineLevel="1" x14ac:dyDescent="0.15">
      <c r="A82" s="409" t="e">
        <f>#REF!</f>
        <v>#REF!</v>
      </c>
      <c r="B82" s="410" t="e">
        <f>#REF!</f>
        <v>#REF!</v>
      </c>
      <c r="C82" s="410" t="e">
        <f>#REF!</f>
        <v>#REF!</v>
      </c>
      <c r="D82" s="410" t="e">
        <f>#REF!</f>
        <v>#REF!</v>
      </c>
      <c r="E82" s="410" t="e">
        <f>#REF!</f>
        <v>#REF!</v>
      </c>
      <c r="S82" s="413">
        <f>'KB 04'!I8</f>
        <v>0</v>
      </c>
      <c r="T82" s="413">
        <f>'KB 04'!L8</f>
        <v>0</v>
      </c>
      <c r="U82" s="410">
        <f>'KB 04'!B$150</f>
        <v>0</v>
      </c>
      <c r="V82" s="410">
        <f>'KB 04'!C$150</f>
        <v>0</v>
      </c>
      <c r="W82" s="410">
        <f>'KB 04'!D$150</f>
        <v>0</v>
      </c>
      <c r="X82" s="410">
        <f>'KB 04'!E$150</f>
        <v>0</v>
      </c>
      <c r="Y82" s="410">
        <f>'KB 04'!F$150</f>
        <v>0</v>
      </c>
      <c r="Z82" s="410">
        <f>'KB 04'!G$150</f>
        <v>0</v>
      </c>
      <c r="AA82" s="410"/>
      <c r="AB82" s="410">
        <f>'KB 04'!J$160</f>
        <v>0</v>
      </c>
      <c r="AC82" s="410">
        <f>'KB 04'!K$160</f>
        <v>0</v>
      </c>
      <c r="AD82" s="410">
        <f>'KB 04'!L$160</f>
        <v>0</v>
      </c>
      <c r="AE82" s="410">
        <f>'KB 04'!M$160</f>
        <v>0</v>
      </c>
      <c r="AF82" s="410">
        <f>'KB 04'!N$160</f>
        <v>0</v>
      </c>
      <c r="AG82" s="410">
        <f>'KB 04'!O$160</f>
        <v>0</v>
      </c>
    </row>
    <row r="83" spans="1:33" s="412" customFormat="1" ht="3.75" customHeight="1" outlineLevel="1" x14ac:dyDescent="0.15">
      <c r="A83" s="409" t="e">
        <f>#REF!</f>
        <v>#REF!</v>
      </c>
      <c r="B83" s="410" t="e">
        <f>#REF!</f>
        <v>#REF!</v>
      </c>
      <c r="C83" s="410" t="e">
        <f>#REF!</f>
        <v>#REF!</v>
      </c>
      <c r="D83" s="410" t="e">
        <f>#REF!</f>
        <v>#REF!</v>
      </c>
      <c r="E83" s="410" t="e">
        <f>#REF!</f>
        <v>#REF!</v>
      </c>
      <c r="S83" s="413">
        <f>'KB 04'!I9</f>
        <v>0</v>
      </c>
      <c r="T83" s="413">
        <f>'KB 04'!L9</f>
        <v>0</v>
      </c>
      <c r="U83" s="410">
        <f>'KB 04'!B$188</f>
        <v>0</v>
      </c>
      <c r="V83" s="410">
        <f>'KB 04'!C$188</f>
        <v>0</v>
      </c>
      <c r="W83" s="410">
        <f>'KB 04'!D$188</f>
        <v>0</v>
      </c>
      <c r="X83" s="410">
        <f>'KB 04'!E$188</f>
        <v>0</v>
      </c>
      <c r="Y83" s="410">
        <f>'KB 04'!F$188</f>
        <v>0</v>
      </c>
      <c r="Z83" s="410">
        <f>'KB 04'!G$188</f>
        <v>0</v>
      </c>
      <c r="AA83" s="410"/>
      <c r="AB83" s="410">
        <f>'KB 04'!J$198</f>
        <v>0</v>
      </c>
      <c r="AC83" s="410">
        <f>'KB 04'!K$198</f>
        <v>0</v>
      </c>
      <c r="AD83" s="410">
        <f>'KB 04'!L$198</f>
        <v>0</v>
      </c>
      <c r="AE83" s="410">
        <f>'KB 04'!M$198</f>
        <v>0</v>
      </c>
      <c r="AF83" s="410">
        <f>'KB 04'!N$198</f>
        <v>0</v>
      </c>
      <c r="AG83" s="410">
        <f>'KB 04'!O$198</f>
        <v>0</v>
      </c>
    </row>
    <row r="84" spans="1:33" s="412" customFormat="1" ht="3.75" customHeight="1" outlineLevel="1" x14ac:dyDescent="0.15">
      <c r="A84" s="409" t="e">
        <f>#REF!</f>
        <v>#REF!</v>
      </c>
      <c r="B84" s="410" t="e">
        <f>#REF!</f>
        <v>#REF!</v>
      </c>
      <c r="C84" s="410" t="e">
        <f>#REF!</f>
        <v>#REF!</v>
      </c>
      <c r="D84" s="410" t="e">
        <f>#REF!</f>
        <v>#REF!</v>
      </c>
      <c r="E84" s="410" t="e">
        <f>#REF!</f>
        <v>#REF!</v>
      </c>
      <c r="S84" s="413">
        <f>'KB 04'!I10</f>
        <v>0</v>
      </c>
      <c r="T84" s="413">
        <f>'KB 04'!L10</f>
        <v>0</v>
      </c>
      <c r="U84" s="410">
        <f>'KB 04'!B$226</f>
        <v>0</v>
      </c>
      <c r="V84" s="410">
        <f>'KB 04'!C$226</f>
        <v>0</v>
      </c>
      <c r="W84" s="410">
        <f>'KB 04'!D$226</f>
        <v>0</v>
      </c>
      <c r="X84" s="410">
        <f>'KB 04'!E$226</f>
        <v>0</v>
      </c>
      <c r="Y84" s="410">
        <f>'KB 04'!F$226</f>
        <v>0</v>
      </c>
      <c r="Z84" s="410">
        <f>'KB 04'!G$226</f>
        <v>0</v>
      </c>
      <c r="AA84" s="410"/>
      <c r="AB84" s="410">
        <f>'KB 04'!J$236</f>
        <v>0</v>
      </c>
      <c r="AC84" s="410">
        <f>'KB 04'!K$236</f>
        <v>0</v>
      </c>
      <c r="AD84" s="410">
        <f>'KB 04'!L$236</f>
        <v>0</v>
      </c>
      <c r="AE84" s="410">
        <f>'KB 04'!M$236</f>
        <v>0</v>
      </c>
      <c r="AF84" s="410">
        <f>'KB 04'!N$236</f>
        <v>0</v>
      </c>
      <c r="AG84" s="410">
        <f>'KB 04'!O$236</f>
        <v>0</v>
      </c>
    </row>
    <row r="85" spans="1:33" s="412" customFormat="1" ht="3.75" customHeight="1" outlineLevel="1" x14ac:dyDescent="0.15">
      <c r="A85" s="409"/>
      <c r="B85" s="410"/>
      <c r="C85" s="410"/>
      <c r="D85" s="410"/>
      <c r="E85" s="410"/>
      <c r="S85" s="413">
        <f>'KB 04'!I11</f>
        <v>0</v>
      </c>
      <c r="T85" s="413">
        <f>'KB 04'!L11</f>
        <v>0</v>
      </c>
      <c r="U85" s="412">
        <f>'KB 04'!B$264</f>
        <v>0</v>
      </c>
      <c r="V85" s="412">
        <f>'KB 04'!C$264</f>
        <v>0</v>
      </c>
      <c r="W85" s="412">
        <f>'KB 04'!D$264</f>
        <v>0</v>
      </c>
      <c r="X85" s="412">
        <f>'KB 04'!E$264</f>
        <v>0</v>
      </c>
      <c r="Y85" s="412">
        <f>'KB 04'!F$264</f>
        <v>0</v>
      </c>
      <c r="Z85" s="412">
        <f>'KB 04'!G$264</f>
        <v>0</v>
      </c>
      <c r="AB85" s="412">
        <f>'KB 04'!J$274</f>
        <v>0</v>
      </c>
      <c r="AC85" s="412">
        <f>'KB 04'!K$274</f>
        <v>0</v>
      </c>
      <c r="AD85" s="412">
        <f>'KB 04'!L$274</f>
        <v>0</v>
      </c>
      <c r="AE85" s="412">
        <f>'KB 04'!M$274</f>
        <v>0</v>
      </c>
      <c r="AF85" s="412">
        <f>'KB 04'!N$274</f>
        <v>0</v>
      </c>
      <c r="AG85" s="412">
        <f>'KB 04'!O$274</f>
        <v>0</v>
      </c>
    </row>
    <row r="86" spans="1:33" s="412" customFormat="1" ht="3.75" customHeight="1" outlineLevel="1" x14ac:dyDescent="0.15">
      <c r="A86" s="409" t="e">
        <f>#REF!</f>
        <v>#REF!</v>
      </c>
      <c r="B86" s="410" t="e">
        <f>#REF!</f>
        <v>#REF!</v>
      </c>
      <c r="C86" s="410" t="e">
        <f>#REF!</f>
        <v>#REF!</v>
      </c>
      <c r="D86" s="410" t="e">
        <f>#REF!</f>
        <v>#REF!</v>
      </c>
      <c r="E86" s="410" t="e">
        <f>#REF!</f>
        <v>#REF!</v>
      </c>
      <c r="S86" s="413"/>
      <c r="T86" s="413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410"/>
      <c r="AG86" s="410"/>
    </row>
    <row r="87" spans="1:33" s="412" customFormat="1" ht="3.75" customHeight="1" outlineLevel="1" x14ac:dyDescent="0.15">
      <c r="A87" s="409" t="e">
        <f>#REF!</f>
        <v>#REF!</v>
      </c>
      <c r="B87" s="410" t="e">
        <f>#REF!</f>
        <v>#REF!</v>
      </c>
      <c r="C87" s="410" t="e">
        <f>#REF!</f>
        <v>#REF!</v>
      </c>
      <c r="D87" s="410" t="e">
        <f>#REF!</f>
        <v>#REF!</v>
      </c>
      <c r="E87" s="410" t="e">
        <f>#REF!</f>
        <v>#REF!</v>
      </c>
      <c r="R87" s="412">
        <v>5</v>
      </c>
      <c r="S87" s="413" t="str">
        <f>'KB 05'!I6</f>
        <v>E detyrueshme</v>
      </c>
      <c r="T87" s="413" t="str">
        <f>'KB 05'!L6</f>
        <v>I veti</v>
      </c>
      <c r="U87" s="412">
        <f>'KB 05'!B$72</f>
        <v>0</v>
      </c>
      <c r="V87" s="412">
        <f>'KB 05'!C$72</f>
        <v>0</v>
      </c>
      <c r="W87" s="412">
        <f>'KB 05'!D$72</f>
        <v>0</v>
      </c>
      <c r="X87" s="412">
        <f>'KB 05'!E$72</f>
        <v>0</v>
      </c>
      <c r="Y87" s="412">
        <f>'KB 05'!F$72</f>
        <v>0</v>
      </c>
      <c r="Z87" s="412">
        <f>'KB 05'!G$72</f>
        <v>0</v>
      </c>
      <c r="AB87" s="412">
        <f>'KB 05'!J$82</f>
        <v>0</v>
      </c>
      <c r="AC87" s="412">
        <f>'KB 05'!K$82</f>
        <v>0</v>
      </c>
      <c r="AD87" s="412">
        <f>'KB 05'!L$82</f>
        <v>0</v>
      </c>
      <c r="AE87" s="412">
        <f>'KB 05'!M$82</f>
        <v>0</v>
      </c>
      <c r="AF87" s="412">
        <f>'KB 05'!N$82</f>
        <v>0</v>
      </c>
      <c r="AG87" s="412">
        <f>'KB 05'!O$82</f>
        <v>0</v>
      </c>
    </row>
    <row r="88" spans="1:33" s="412" customFormat="1" ht="3.75" customHeight="1" outlineLevel="1" x14ac:dyDescent="0.15">
      <c r="A88" s="409" t="e">
        <f>#REF!</f>
        <v>#REF!</v>
      </c>
      <c r="B88" s="410" t="e">
        <f>#REF!</f>
        <v>#REF!</v>
      </c>
      <c r="C88" s="410" t="e">
        <f>#REF!</f>
        <v>#REF!</v>
      </c>
      <c r="D88" s="410" t="e">
        <f>#REF!</f>
        <v>#REF!</v>
      </c>
      <c r="E88" s="410" t="e">
        <f>#REF!</f>
        <v>#REF!</v>
      </c>
      <c r="S88" s="413" t="str">
        <f>'KB 05'!I7</f>
        <v>E detyrueshme</v>
      </c>
      <c r="T88" s="413" t="str">
        <f>'KB 05'!L7</f>
        <v>I veti</v>
      </c>
      <c r="U88" s="410">
        <f>'KB 05'!B$111</f>
        <v>0</v>
      </c>
      <c r="V88" s="410">
        <f>'KB 05'!C$111</f>
        <v>0</v>
      </c>
      <c r="W88" s="410">
        <f>'KB 05'!D$111</f>
        <v>0</v>
      </c>
      <c r="X88" s="410">
        <f>'KB 05'!E$111</f>
        <v>0</v>
      </c>
      <c r="Y88" s="410">
        <f>'KB 05'!F$111</f>
        <v>0</v>
      </c>
      <c r="Z88" s="410">
        <f>'KB 05'!G$111</f>
        <v>0</v>
      </c>
      <c r="AA88" s="410"/>
      <c r="AB88" s="410">
        <f>'KB 05'!J$121</f>
        <v>0</v>
      </c>
      <c r="AC88" s="410">
        <f>'KB 05'!K$121</f>
        <v>0</v>
      </c>
      <c r="AD88" s="410">
        <f>'KB 05'!L$121</f>
        <v>0</v>
      </c>
      <c r="AE88" s="410">
        <f>'KB 05'!M$121</f>
        <v>0</v>
      </c>
      <c r="AF88" s="410">
        <f>'KB 05'!N$121</f>
        <v>0</v>
      </c>
      <c r="AG88" s="410">
        <f>'KB 05'!O$121</f>
        <v>0</v>
      </c>
    </row>
    <row r="89" spans="1:33" s="412" customFormat="1" ht="3.75" customHeight="1" outlineLevel="1" x14ac:dyDescent="0.15">
      <c r="A89" s="409"/>
      <c r="B89" s="410"/>
      <c r="C89" s="410"/>
      <c r="D89" s="410"/>
      <c r="E89" s="410"/>
      <c r="S89" s="413">
        <f>'KB 05'!I8</f>
        <v>0</v>
      </c>
      <c r="T89" s="413">
        <f>'KB 05'!L8</f>
        <v>0</v>
      </c>
      <c r="U89" s="410">
        <f>'KB 05'!B$150</f>
        <v>0</v>
      </c>
      <c r="V89" s="410">
        <f>'KB 05'!C$150</f>
        <v>0</v>
      </c>
      <c r="W89" s="410">
        <f>'KB 05'!D$150</f>
        <v>0</v>
      </c>
      <c r="X89" s="410">
        <f>'KB 05'!E$150</f>
        <v>0</v>
      </c>
      <c r="Y89" s="410">
        <f>'KB 05'!F$150</f>
        <v>0</v>
      </c>
      <c r="Z89" s="410">
        <f>'KB 05'!G$150</f>
        <v>0</v>
      </c>
      <c r="AA89" s="410"/>
      <c r="AB89" s="410">
        <f>'KB 05'!J$160</f>
        <v>0</v>
      </c>
      <c r="AC89" s="410">
        <f>'KB 05'!K$160</f>
        <v>0</v>
      </c>
      <c r="AD89" s="410">
        <f>'KB 05'!L$160</f>
        <v>0</v>
      </c>
      <c r="AE89" s="410">
        <f>'KB 05'!M$160</f>
        <v>0</v>
      </c>
      <c r="AF89" s="410">
        <f>'KB 05'!N$160</f>
        <v>0</v>
      </c>
      <c r="AG89" s="410">
        <f>'KB 05'!O$160</f>
        <v>0</v>
      </c>
    </row>
    <row r="90" spans="1:33" s="412" customFormat="1" ht="3.75" customHeight="1" outlineLevel="1" x14ac:dyDescent="0.15">
      <c r="A90" s="409" t="e">
        <f>#REF!</f>
        <v>#REF!</v>
      </c>
      <c r="B90" s="410" t="e">
        <f>#REF!</f>
        <v>#REF!</v>
      </c>
      <c r="C90" s="410" t="e">
        <f>#REF!</f>
        <v>#REF!</v>
      </c>
      <c r="D90" s="410" t="e">
        <f>#REF!</f>
        <v>#REF!</v>
      </c>
      <c r="E90" s="410" t="e">
        <f>#REF!</f>
        <v>#REF!</v>
      </c>
      <c r="S90" s="413">
        <f>'KB 05'!I9</f>
        <v>0</v>
      </c>
      <c r="T90" s="413">
        <f>'KB 05'!L9</f>
        <v>0</v>
      </c>
      <c r="U90" s="410">
        <f>'KB 05'!B$188</f>
        <v>0</v>
      </c>
      <c r="V90" s="410">
        <f>'KB 05'!C$188</f>
        <v>0</v>
      </c>
      <c r="W90" s="410">
        <f>'KB 05'!D$188</f>
        <v>0</v>
      </c>
      <c r="X90" s="410">
        <f>'KB 05'!E$188</f>
        <v>0</v>
      </c>
      <c r="Y90" s="410">
        <f>'KB 05'!F$188</f>
        <v>0</v>
      </c>
      <c r="Z90" s="410">
        <f>'KB 05'!G$188</f>
        <v>0</v>
      </c>
      <c r="AA90" s="410"/>
      <c r="AB90" s="410">
        <f>'KB 05'!J$198</f>
        <v>0</v>
      </c>
      <c r="AC90" s="410">
        <f>'KB 05'!K$198</f>
        <v>0</v>
      </c>
      <c r="AD90" s="410">
        <f>'KB 05'!L$198</f>
        <v>0</v>
      </c>
      <c r="AE90" s="410">
        <f>'KB 05'!M$198</f>
        <v>0</v>
      </c>
      <c r="AF90" s="410">
        <f>'KB 05'!N$198</f>
        <v>0</v>
      </c>
      <c r="AG90" s="410">
        <f>'KB 05'!O$198</f>
        <v>0</v>
      </c>
    </row>
    <row r="91" spans="1:33" s="412" customFormat="1" ht="3.75" customHeight="1" outlineLevel="1" x14ac:dyDescent="0.15">
      <c r="A91" s="409" t="e">
        <f>#REF!</f>
        <v>#REF!</v>
      </c>
      <c r="B91" s="410" t="e">
        <f>#REF!</f>
        <v>#REF!</v>
      </c>
      <c r="C91" s="410" t="e">
        <f>#REF!</f>
        <v>#REF!</v>
      </c>
      <c r="D91" s="410" t="e">
        <f>#REF!</f>
        <v>#REF!</v>
      </c>
      <c r="E91" s="410" t="e">
        <f>#REF!</f>
        <v>#REF!</v>
      </c>
      <c r="S91" s="413">
        <f>'KB 05'!I10</f>
        <v>0</v>
      </c>
      <c r="T91" s="413">
        <f>'KB 05'!L10</f>
        <v>0</v>
      </c>
      <c r="U91" s="410">
        <f>'KB 05'!B$226</f>
        <v>0</v>
      </c>
      <c r="V91" s="410">
        <f>'KB 05'!C$226</f>
        <v>0</v>
      </c>
      <c r="W91" s="410">
        <f>'KB 05'!D$226</f>
        <v>0</v>
      </c>
      <c r="X91" s="410">
        <f>'KB 05'!E$226</f>
        <v>0</v>
      </c>
      <c r="Y91" s="410">
        <f>'KB 05'!F$226</f>
        <v>0</v>
      </c>
      <c r="Z91" s="410">
        <f>'KB 05'!G$226</f>
        <v>0</v>
      </c>
      <c r="AA91" s="410"/>
      <c r="AB91" s="410">
        <f>'KB 05'!J$236</f>
        <v>0</v>
      </c>
      <c r="AC91" s="410">
        <f>'KB 05'!K$236</f>
        <v>0</v>
      </c>
      <c r="AD91" s="410">
        <f>'KB 05'!L$236</f>
        <v>0</v>
      </c>
      <c r="AE91" s="410">
        <f>'KB 05'!M$236</f>
        <v>0</v>
      </c>
      <c r="AF91" s="410">
        <f>'KB 05'!N$236</f>
        <v>0</v>
      </c>
      <c r="AG91" s="410">
        <f>'KB 05'!O$236</f>
        <v>0</v>
      </c>
    </row>
    <row r="92" spans="1:33" s="412" customFormat="1" ht="3.75" customHeight="1" outlineLevel="1" x14ac:dyDescent="0.15">
      <c r="A92" s="409" t="e">
        <f>#REF!</f>
        <v>#REF!</v>
      </c>
      <c r="B92" s="410" t="e">
        <f>#REF!</f>
        <v>#REF!</v>
      </c>
      <c r="C92" s="410" t="e">
        <f>#REF!</f>
        <v>#REF!</v>
      </c>
      <c r="D92" s="410" t="e">
        <f>#REF!</f>
        <v>#REF!</v>
      </c>
      <c r="E92" s="410" t="e">
        <f>#REF!</f>
        <v>#REF!</v>
      </c>
      <c r="S92" s="413">
        <f>'KB 05'!I11</f>
        <v>0</v>
      </c>
      <c r="T92" s="413">
        <f>'KB 05'!L11</f>
        <v>0</v>
      </c>
      <c r="U92" s="412">
        <f>'KB 05'!B$264</f>
        <v>0</v>
      </c>
      <c r="V92" s="412">
        <f>'KB 05'!C$264</f>
        <v>0</v>
      </c>
      <c r="W92" s="412">
        <f>'KB 05'!D$264</f>
        <v>0</v>
      </c>
      <c r="X92" s="412">
        <f>'KB 05'!E$264</f>
        <v>0</v>
      </c>
      <c r="Y92" s="412">
        <f>'KB 05'!F$264</f>
        <v>0</v>
      </c>
      <c r="Z92" s="412">
        <f>'KB 05'!G$264</f>
        <v>0</v>
      </c>
      <c r="AB92" s="412">
        <f>'KB 05'!J$274</f>
        <v>0</v>
      </c>
      <c r="AC92" s="412">
        <f>'KB 05'!K$274</f>
        <v>0</v>
      </c>
      <c r="AD92" s="412">
        <f>'KB 05'!L$274</f>
        <v>0</v>
      </c>
      <c r="AE92" s="412">
        <f>'KB 05'!M$274</f>
        <v>0</v>
      </c>
      <c r="AF92" s="412">
        <f>'KB 05'!N$274</f>
        <v>0</v>
      </c>
      <c r="AG92" s="412">
        <f>'KB 05'!O$274</f>
        <v>0</v>
      </c>
    </row>
    <row r="93" spans="1:33" s="412" customFormat="1" ht="3.75" customHeight="1" outlineLevel="1" x14ac:dyDescent="0.15">
      <c r="A93" s="409"/>
      <c r="B93" s="410"/>
      <c r="C93" s="410"/>
      <c r="D93" s="410"/>
      <c r="E93" s="410"/>
      <c r="S93" s="413"/>
      <c r="T93" s="413"/>
      <c r="U93" s="410"/>
      <c r="V93" s="410"/>
      <c r="W93" s="410"/>
      <c r="X93" s="410"/>
      <c r="Y93" s="410"/>
      <c r="Z93" s="410"/>
      <c r="AA93" s="410"/>
      <c r="AB93" s="410"/>
      <c r="AC93" s="410"/>
      <c r="AD93" s="410"/>
      <c r="AE93" s="410"/>
      <c r="AF93" s="410"/>
      <c r="AG93" s="410"/>
    </row>
    <row r="94" spans="1:33" s="412" customFormat="1" ht="3.75" customHeight="1" outlineLevel="1" x14ac:dyDescent="0.15">
      <c r="A94" s="409" t="e">
        <f>#REF!</f>
        <v>#REF!</v>
      </c>
      <c r="B94" s="410" t="e">
        <f>#REF!</f>
        <v>#REF!</v>
      </c>
      <c r="C94" s="410" t="e">
        <f>#REF!</f>
        <v>#REF!</v>
      </c>
      <c r="D94" s="410" t="e">
        <f>#REF!</f>
        <v>#REF!</v>
      </c>
      <c r="E94" s="410" t="e">
        <f>#REF!</f>
        <v>#REF!</v>
      </c>
      <c r="R94" s="412">
        <v>6</v>
      </c>
      <c r="S94" s="413" t="str">
        <f>'KB 06'!I6</f>
        <v>E detyrueshme</v>
      </c>
      <c r="T94" s="413" t="str">
        <f>'KB 06'!L6</f>
        <v>I veti</v>
      </c>
      <c r="U94" s="412">
        <f>'KB 06'!B$72</f>
        <v>0</v>
      </c>
      <c r="V94" s="412">
        <f>'KB 06'!C$72</f>
        <v>0</v>
      </c>
      <c r="W94" s="412">
        <f>'KB 06'!D$72</f>
        <v>0</v>
      </c>
      <c r="X94" s="412">
        <f>'KB 06'!E$72</f>
        <v>0</v>
      </c>
      <c r="Y94" s="412">
        <f>'KB 06'!F$72</f>
        <v>0</v>
      </c>
      <c r="Z94" s="412">
        <f>'KB 06'!G$72</f>
        <v>0</v>
      </c>
      <c r="AB94" s="412">
        <f>'KB 06'!J$82</f>
        <v>0</v>
      </c>
      <c r="AC94" s="412">
        <f>'KB 06'!K$82</f>
        <v>0</v>
      </c>
      <c r="AD94" s="412">
        <f>'KB 06'!L$82</f>
        <v>0</v>
      </c>
      <c r="AE94" s="412">
        <f>'KB 06'!M$82</f>
        <v>0</v>
      </c>
      <c r="AF94" s="412">
        <f>'KB 06'!N$82</f>
        <v>0</v>
      </c>
      <c r="AG94" s="412">
        <f>'KB 06'!O$82</f>
        <v>0</v>
      </c>
    </row>
    <row r="95" spans="1:33" s="412" customFormat="1" ht="3.75" customHeight="1" outlineLevel="1" x14ac:dyDescent="0.15">
      <c r="A95" s="409" t="e">
        <f>#REF!</f>
        <v>#REF!</v>
      </c>
      <c r="B95" s="410" t="e">
        <f>#REF!</f>
        <v>#REF!</v>
      </c>
      <c r="C95" s="410" t="e">
        <f>#REF!</f>
        <v>#REF!</v>
      </c>
      <c r="D95" s="410" t="e">
        <f>#REF!</f>
        <v>#REF!</v>
      </c>
      <c r="E95" s="410" t="e">
        <f>#REF!</f>
        <v>#REF!</v>
      </c>
      <c r="S95" s="413" t="str">
        <f>'KB 06'!I7</f>
        <v>E detyrueshme</v>
      </c>
      <c r="T95" s="413" t="str">
        <f>'KB 06'!L7</f>
        <v>I veti</v>
      </c>
      <c r="U95" s="410">
        <f>'KB 06'!B$111</f>
        <v>1585692</v>
      </c>
      <c r="V95" s="410">
        <f>'KB 06'!C$111</f>
        <v>1603935</v>
      </c>
      <c r="W95" s="410">
        <f>'KB 06'!D$111</f>
        <v>1675575</v>
      </c>
      <c r="X95" s="410">
        <f>'KB 06'!E$111</f>
        <v>1710000</v>
      </c>
      <c r="Y95" s="410">
        <f>'KB 06'!F$111</f>
        <v>1725000</v>
      </c>
      <c r="Z95" s="410">
        <f>'KB 06'!G$111</f>
        <v>1770000</v>
      </c>
      <c r="AA95" s="410"/>
      <c r="AB95" s="410">
        <f>'KB 06'!J$121</f>
        <v>1667733</v>
      </c>
      <c r="AC95" s="410">
        <f>'KB 06'!K$121</f>
        <v>1675575</v>
      </c>
      <c r="AD95" s="410">
        <f>'KB 06'!L$121</f>
        <v>1675575</v>
      </c>
      <c r="AE95" s="410">
        <f>'KB 06'!M$121</f>
        <v>1710000</v>
      </c>
      <c r="AF95" s="410">
        <f>'KB 06'!N$121</f>
        <v>1725000</v>
      </c>
      <c r="AG95" s="410">
        <f>'KB 06'!O$121</f>
        <v>1770000</v>
      </c>
    </row>
    <row r="96" spans="1:33" s="412" customFormat="1" ht="3.75" customHeight="1" outlineLevel="1" x14ac:dyDescent="0.15">
      <c r="A96" s="409" t="e">
        <f>#REF!</f>
        <v>#REF!</v>
      </c>
      <c r="B96" s="410" t="e">
        <f>#REF!</f>
        <v>#REF!</v>
      </c>
      <c r="C96" s="410" t="e">
        <f>#REF!</f>
        <v>#REF!</v>
      </c>
      <c r="D96" s="410" t="e">
        <f>#REF!</f>
        <v>#REF!</v>
      </c>
      <c r="E96" s="410" t="e">
        <f>#REF!</f>
        <v>#REF!</v>
      </c>
      <c r="S96" s="413" t="str">
        <f>'KB 06'!I8</f>
        <v>E detyrueshme</v>
      </c>
      <c r="T96" s="413" t="str">
        <f>'KB 06'!L8</f>
        <v>I veti</v>
      </c>
      <c r="U96" s="410">
        <f>'KB 06'!B$150</f>
        <v>0</v>
      </c>
      <c r="V96" s="410">
        <f>'KB 06'!C$150</f>
        <v>0</v>
      </c>
      <c r="W96" s="410">
        <f>'KB 06'!D$150</f>
        <v>0</v>
      </c>
      <c r="X96" s="410">
        <f>'KB 06'!E$150</f>
        <v>0</v>
      </c>
      <c r="Y96" s="410">
        <f>'KB 06'!F$150</f>
        <v>0</v>
      </c>
      <c r="Z96" s="410">
        <f>'KB 06'!G$150</f>
        <v>0</v>
      </c>
      <c r="AA96" s="410"/>
      <c r="AB96" s="410">
        <f>'KB 06'!J$160</f>
        <v>0</v>
      </c>
      <c r="AC96" s="410">
        <f>'KB 06'!K$160</f>
        <v>0</v>
      </c>
      <c r="AD96" s="410">
        <f>'KB 06'!L$160</f>
        <v>0</v>
      </c>
      <c r="AE96" s="410">
        <f>'KB 06'!M$160</f>
        <v>0</v>
      </c>
      <c r="AF96" s="410">
        <f>'KB 06'!N$160</f>
        <v>0</v>
      </c>
      <c r="AG96" s="410">
        <f>'KB 06'!O$160</f>
        <v>0</v>
      </c>
    </row>
    <row r="97" spans="1:33" s="412" customFormat="1" ht="3.75" customHeight="1" outlineLevel="1" x14ac:dyDescent="0.15">
      <c r="A97" s="409"/>
      <c r="B97" s="410"/>
      <c r="C97" s="410"/>
      <c r="D97" s="410"/>
      <c r="E97" s="410"/>
      <c r="S97" s="413" t="str">
        <f>'KB 06'!I9</f>
        <v>E detyrueshme</v>
      </c>
      <c r="T97" s="413" t="str">
        <f>'KB 06'!L9</f>
        <v>I veti</v>
      </c>
      <c r="U97" s="410">
        <f>'KB 06'!B$189</f>
        <v>0</v>
      </c>
      <c r="V97" s="410">
        <f>'KB 06'!C$189</f>
        <v>0</v>
      </c>
      <c r="W97" s="410">
        <f>'KB 06'!D$189</f>
        <v>0</v>
      </c>
      <c r="X97" s="410">
        <f>'KB 06'!E$189</f>
        <v>0</v>
      </c>
      <c r="Y97" s="410">
        <f>'KB 06'!F$189</f>
        <v>0</v>
      </c>
      <c r="Z97" s="410">
        <f>'KB 06'!G$189</f>
        <v>0</v>
      </c>
      <c r="AA97" s="410"/>
      <c r="AB97" s="410">
        <f>'KB 06'!J$199</f>
        <v>0</v>
      </c>
      <c r="AC97" s="410">
        <f>'KB 06'!K$199</f>
        <v>0</v>
      </c>
      <c r="AD97" s="410">
        <f>'KB 06'!L$199</f>
        <v>0</v>
      </c>
      <c r="AE97" s="410">
        <f>'KB 06'!M$199</f>
        <v>0</v>
      </c>
      <c r="AF97" s="410">
        <f>'KB 06'!N$199</f>
        <v>0</v>
      </c>
      <c r="AG97" s="410">
        <f>'KB 06'!O$199</f>
        <v>0</v>
      </c>
    </row>
    <row r="98" spans="1:33" s="412" customFormat="1" ht="3.75" customHeight="1" outlineLevel="1" x14ac:dyDescent="0.15">
      <c r="A98" s="409" t="e">
        <f>#REF!</f>
        <v>#REF!</v>
      </c>
      <c r="B98" s="410" t="e">
        <f>#REF!</f>
        <v>#REF!</v>
      </c>
      <c r="C98" s="410" t="e">
        <f>#REF!</f>
        <v>#REF!</v>
      </c>
      <c r="D98" s="410" t="e">
        <f>#REF!</f>
        <v>#REF!</v>
      </c>
      <c r="E98" s="410" t="e">
        <f>#REF!</f>
        <v>#REF!</v>
      </c>
      <c r="S98" s="413" t="str">
        <f>'KB 06'!I10</f>
        <v>E detyrueshme</v>
      </c>
      <c r="T98" s="413" t="str">
        <f>'KB 06'!L10</f>
        <v>I veti</v>
      </c>
      <c r="U98" s="410">
        <f>'KB 06'!B$228</f>
        <v>0</v>
      </c>
      <c r="V98" s="410">
        <f>'KB 06'!C$228</f>
        <v>0</v>
      </c>
      <c r="W98" s="410">
        <f>'KB 06'!D$228</f>
        <v>0</v>
      </c>
      <c r="X98" s="410">
        <f>'KB 06'!E$228</f>
        <v>0</v>
      </c>
      <c r="Y98" s="410">
        <f>'KB 06'!F$228</f>
        <v>0</v>
      </c>
      <c r="Z98" s="410">
        <f>'KB 06'!G$228</f>
        <v>0</v>
      </c>
      <c r="AA98" s="410"/>
      <c r="AB98" s="410">
        <f>'KB 06'!J$238</f>
        <v>0</v>
      </c>
      <c r="AC98" s="410">
        <f>'KB 06'!K$238</f>
        <v>0</v>
      </c>
      <c r="AD98" s="410">
        <f>'KB 06'!L$238</f>
        <v>0</v>
      </c>
      <c r="AE98" s="410">
        <f>'KB 06'!M$238</f>
        <v>0</v>
      </c>
      <c r="AF98" s="410">
        <f>'KB 06'!N$238</f>
        <v>0</v>
      </c>
      <c r="AG98" s="410">
        <f>'KB 06'!O$238</f>
        <v>0</v>
      </c>
    </row>
    <row r="99" spans="1:33" s="412" customFormat="1" ht="3.75" customHeight="1" outlineLevel="1" x14ac:dyDescent="0.15">
      <c r="A99" s="409" t="e">
        <f>#REF!</f>
        <v>#REF!</v>
      </c>
      <c r="B99" s="410" t="e">
        <f>#REF!</f>
        <v>#REF!</v>
      </c>
      <c r="C99" s="410" t="e">
        <f>#REF!</f>
        <v>#REF!</v>
      </c>
      <c r="D99" s="410" t="e">
        <f>#REF!</f>
        <v>#REF!</v>
      </c>
      <c r="E99" s="410" t="e">
        <f>#REF!</f>
        <v>#REF!</v>
      </c>
      <c r="S99" s="413">
        <f>'KB 06'!I11</f>
        <v>0</v>
      </c>
      <c r="T99" s="413">
        <f>'KB 06'!L11</f>
        <v>0</v>
      </c>
      <c r="U99" s="412">
        <f>'KB 06'!B$267</f>
        <v>0</v>
      </c>
      <c r="V99" s="412">
        <f>'KB 06'!C$267</f>
        <v>0</v>
      </c>
      <c r="W99" s="412">
        <f>'KB 06'!D$267</f>
        <v>0</v>
      </c>
      <c r="X99" s="412">
        <f>'KB 06'!E$267</f>
        <v>0</v>
      </c>
      <c r="Y99" s="412">
        <f>'KB 06'!F$267</f>
        <v>0</v>
      </c>
      <c r="Z99" s="412">
        <f>'KB 06'!G$267</f>
        <v>0</v>
      </c>
      <c r="AB99" s="412">
        <f>'KB 06'!J$277</f>
        <v>0</v>
      </c>
      <c r="AC99" s="412">
        <f>'KB 06'!K$277</f>
        <v>0</v>
      </c>
      <c r="AD99" s="412">
        <f>'KB 06'!L$277</f>
        <v>0</v>
      </c>
      <c r="AE99" s="412">
        <f>'KB 06'!M$277</f>
        <v>0</v>
      </c>
      <c r="AF99" s="412">
        <f>'KB 06'!N$277</f>
        <v>0</v>
      </c>
      <c r="AG99" s="412">
        <f>'KB 06'!O$277</f>
        <v>0</v>
      </c>
    </row>
    <row r="100" spans="1:33" s="412" customFormat="1" ht="3.75" customHeight="1" thickBot="1" x14ac:dyDescent="0.2">
      <c r="A100" s="428"/>
      <c r="B100" s="429"/>
      <c r="C100" s="429"/>
      <c r="D100" s="429"/>
      <c r="E100" s="429"/>
      <c r="F100" s="430"/>
      <c r="S100" s="413"/>
      <c r="T100" s="413"/>
      <c r="U100" s="410"/>
      <c r="V100" s="410"/>
      <c r="W100" s="410"/>
      <c r="X100" s="410"/>
      <c r="Y100" s="410"/>
      <c r="Z100" s="410"/>
      <c r="AA100" s="410"/>
      <c r="AB100" s="410"/>
      <c r="AC100" s="410"/>
      <c r="AD100" s="410"/>
      <c r="AE100" s="410"/>
      <c r="AF100" s="410"/>
      <c r="AG100" s="410"/>
    </row>
    <row r="101" spans="1:33" s="412" customFormat="1" ht="3.75" customHeight="1" x14ac:dyDescent="0.15">
      <c r="A101" s="409"/>
      <c r="B101" s="427"/>
      <c r="C101" s="427"/>
      <c r="D101" s="427"/>
      <c r="E101" s="427"/>
      <c r="F101" s="411"/>
      <c r="R101" s="412">
        <v>7</v>
      </c>
      <c r="S101" s="413" t="str">
        <f>'KB 07'!I6</f>
        <v>E detyrueshme</v>
      </c>
      <c r="T101" s="413" t="str">
        <f>'KB 07'!L6</f>
        <v>I veti</v>
      </c>
      <c r="U101" s="412">
        <f>'KB 07'!B$72</f>
        <v>0</v>
      </c>
      <c r="V101" s="412">
        <f>'KB 07'!C$72</f>
        <v>0</v>
      </c>
      <c r="W101" s="412">
        <f>'KB 07'!D$72</f>
        <v>0</v>
      </c>
      <c r="X101" s="412">
        <f>'KB 07'!E$72</f>
        <v>0</v>
      </c>
      <c r="Y101" s="412">
        <f>'KB 07'!F$72</f>
        <v>0</v>
      </c>
      <c r="Z101" s="412">
        <f>'KB 07'!G$72</f>
        <v>0</v>
      </c>
      <c r="AB101" s="412">
        <f>'KB 07'!J$82</f>
        <v>0</v>
      </c>
      <c r="AC101" s="412">
        <f>'KB 07'!K$82</f>
        <v>0</v>
      </c>
      <c r="AD101" s="412">
        <f>'KB 07'!L$82</f>
        <v>0</v>
      </c>
      <c r="AE101" s="412">
        <f>'KB 07'!M$82</f>
        <v>0</v>
      </c>
      <c r="AF101" s="412">
        <f>'KB 07'!N$82</f>
        <v>0</v>
      </c>
      <c r="AG101" s="412">
        <f>'KB 07'!O$82</f>
        <v>0</v>
      </c>
    </row>
    <row r="102" spans="1:33" s="412" customFormat="1" ht="3.75" customHeight="1" x14ac:dyDescent="0.15">
      <c r="A102" s="409" t="e">
        <f>#REF!</f>
        <v>#REF!</v>
      </c>
      <c r="B102" s="427" t="e">
        <f>#REF!</f>
        <v>#REF!</v>
      </c>
      <c r="C102" s="427" t="e">
        <f>#REF!</f>
        <v>#REF!</v>
      </c>
      <c r="D102" s="427" t="e">
        <f>#REF!</f>
        <v>#REF!</v>
      </c>
      <c r="E102" s="427" t="e">
        <f>#REF!</f>
        <v>#REF!</v>
      </c>
      <c r="F102" s="411"/>
      <c r="S102" s="413" t="str">
        <f>'KB 07'!I7</f>
        <v>E detyrueshme</v>
      </c>
      <c r="T102" s="413" t="str">
        <f>'KB 07'!L7</f>
        <v>I veti</v>
      </c>
      <c r="U102" s="410">
        <f>'KB 07'!B$111</f>
        <v>0</v>
      </c>
      <c r="V102" s="410">
        <f>'KB 07'!C$111</f>
        <v>0</v>
      </c>
      <c r="W102" s="410">
        <f>'KB 07'!D$111</f>
        <v>0</v>
      </c>
      <c r="X102" s="410">
        <f>'KB 07'!E$111</f>
        <v>0</v>
      </c>
      <c r="Y102" s="410">
        <f>'KB 07'!F$111</f>
        <v>0</v>
      </c>
      <c r="Z102" s="410">
        <f>'KB 07'!G$111</f>
        <v>0</v>
      </c>
      <c r="AA102" s="410"/>
      <c r="AB102" s="410">
        <f>'KB 07'!J$121</f>
        <v>0</v>
      </c>
      <c r="AC102" s="410">
        <f>'KB 07'!K$121</f>
        <v>0</v>
      </c>
      <c r="AD102" s="410">
        <f>'KB 07'!L$121</f>
        <v>0</v>
      </c>
      <c r="AE102" s="410">
        <f>'KB 07'!M$121</f>
        <v>0</v>
      </c>
      <c r="AF102" s="410">
        <f>'KB 07'!N$121</f>
        <v>0</v>
      </c>
      <c r="AG102" s="410">
        <f>'KB 07'!O$121</f>
        <v>0</v>
      </c>
    </row>
    <row r="103" spans="1:33" s="412" customFormat="1" ht="3.75" customHeight="1" x14ac:dyDescent="0.15">
      <c r="A103" s="409" t="e">
        <f>#REF!</f>
        <v>#REF!</v>
      </c>
      <c r="B103" s="410" t="e">
        <f>#REF!</f>
        <v>#REF!</v>
      </c>
      <c r="C103" s="410" t="e">
        <f>#REF!</f>
        <v>#REF!</v>
      </c>
      <c r="D103" s="410" t="e">
        <f>#REF!</f>
        <v>#REF!</v>
      </c>
      <c r="E103" s="410" t="e">
        <f>#REF!</f>
        <v>#REF!</v>
      </c>
      <c r="F103" s="411"/>
      <c r="S103" s="413" t="str">
        <f>'KB 07'!I8</f>
        <v>E detyrueshme</v>
      </c>
      <c r="T103" s="413" t="str">
        <f>'KB 07'!L8</f>
        <v>I veti</v>
      </c>
      <c r="U103" s="410">
        <f>'KB 07'!B$150</f>
        <v>0</v>
      </c>
      <c r="V103" s="410">
        <f>'KB 07'!C$150</f>
        <v>0</v>
      </c>
      <c r="W103" s="410">
        <f>'KB 07'!D$150</f>
        <v>0</v>
      </c>
      <c r="X103" s="410">
        <f>'KB 07'!E$150</f>
        <v>0</v>
      </c>
      <c r="Y103" s="410">
        <f>'KB 07'!F$150</f>
        <v>0</v>
      </c>
      <c r="Z103" s="410">
        <f>'KB 07'!G$150</f>
        <v>0</v>
      </c>
      <c r="AA103" s="410"/>
      <c r="AB103" s="410">
        <f>'KB 07'!J$160</f>
        <v>0</v>
      </c>
      <c r="AC103" s="410">
        <f>'KB 07'!K$160</f>
        <v>0</v>
      </c>
      <c r="AD103" s="410">
        <f>'KB 07'!L$160</f>
        <v>0</v>
      </c>
      <c r="AE103" s="410">
        <f>'KB 07'!M$160</f>
        <v>0</v>
      </c>
      <c r="AF103" s="410">
        <f>'KB 07'!N$160</f>
        <v>0</v>
      </c>
      <c r="AG103" s="410">
        <f>'KB 07'!O$160</f>
        <v>0</v>
      </c>
    </row>
    <row r="104" spans="1:33" s="412" customFormat="1" ht="3.75" customHeight="1" x14ac:dyDescent="0.15">
      <c r="A104" s="409" t="e">
        <f>#REF!</f>
        <v>#REF!</v>
      </c>
      <c r="B104" s="410" t="e">
        <f>#REF!</f>
        <v>#REF!</v>
      </c>
      <c r="C104" s="410" t="e">
        <f>#REF!</f>
        <v>#REF!</v>
      </c>
      <c r="D104" s="410" t="e">
        <f>#REF!</f>
        <v>#REF!</v>
      </c>
      <c r="E104" s="410" t="e">
        <f>#REF!</f>
        <v>#REF!</v>
      </c>
      <c r="F104" s="411"/>
      <c r="S104" s="413" t="str">
        <f>'KB 07'!I9</f>
        <v>E detyrueshme</v>
      </c>
      <c r="T104" s="413" t="str">
        <f>'KB 07'!L9</f>
        <v>Transferuar</v>
      </c>
      <c r="U104" s="410">
        <f>'KB 07'!B$189</f>
        <v>4526866</v>
      </c>
      <c r="V104" s="410">
        <f>'KB 07'!C$189</f>
        <v>9893759</v>
      </c>
      <c r="W104" s="410">
        <f>'KB 07'!D$189</f>
        <v>15646730</v>
      </c>
      <c r="X104" s="410">
        <f>'KB 07'!E$189</f>
        <v>11588278</v>
      </c>
      <c r="Y104" s="410">
        <f>'KB 07'!F$189</f>
        <v>12161878</v>
      </c>
      <c r="Z104" s="410">
        <f>'KB 07'!G$189</f>
        <v>13968133</v>
      </c>
      <c r="AA104" s="410"/>
      <c r="AB104" s="410">
        <f>'KB 07'!J$199</f>
        <v>15092222</v>
      </c>
      <c r="AC104" s="410">
        <f>'KB 07'!K$199</f>
        <v>10634541</v>
      </c>
      <c r="AD104" s="410">
        <f>'KB 07'!L$199</f>
        <v>11399000</v>
      </c>
      <c r="AE104" s="410">
        <f>'KB 07'!M$199</f>
        <v>10899000</v>
      </c>
      <c r="AF104" s="410">
        <f>'KB 07'!N$199</f>
        <v>10899000</v>
      </c>
      <c r="AG104" s="410">
        <f>'KB 07'!O$199</f>
        <v>10899000</v>
      </c>
    </row>
    <row r="105" spans="1:33" s="412" customFormat="1" ht="3.75" customHeight="1" x14ac:dyDescent="0.15">
      <c r="A105" s="409"/>
      <c r="B105" s="410"/>
      <c r="C105" s="410"/>
      <c r="D105" s="410"/>
      <c r="E105" s="410"/>
      <c r="F105" s="411"/>
      <c r="S105" s="413" t="str">
        <f>'KB 07'!I10</f>
        <v>E detyrueshme</v>
      </c>
      <c r="T105" s="413" t="str">
        <f>'KB 07'!L10</f>
        <v>Transferuar</v>
      </c>
      <c r="U105" s="410">
        <f>'KB 07'!B$228</f>
        <v>1403256</v>
      </c>
      <c r="V105" s="410">
        <f>'KB 07'!C$228</f>
        <v>18106291</v>
      </c>
      <c r="W105" s="410">
        <f>'KB 07'!D$228</f>
        <v>34703759</v>
      </c>
      <c r="X105" s="410">
        <f>'KB 07'!E$228</f>
        <v>30756322</v>
      </c>
      <c r="Y105" s="410">
        <f>'KB 07'!F$228</f>
        <v>32014582</v>
      </c>
      <c r="Z105" s="410">
        <f>'KB 07'!G$228</f>
        <v>32081107</v>
      </c>
      <c r="AA105" s="410"/>
      <c r="AB105" s="410">
        <f>'KB 07'!J$238</f>
        <v>8090604</v>
      </c>
      <c r="AC105" s="410">
        <f>'KB 07'!K$238</f>
        <v>13046831</v>
      </c>
      <c r="AD105" s="410">
        <f>'KB 07'!L$238</f>
        <v>14039000</v>
      </c>
      <c r="AE105" s="410">
        <f>'KB 07'!M$238</f>
        <v>12539000</v>
      </c>
      <c r="AF105" s="410">
        <f>'KB 07'!N$238</f>
        <v>12539000</v>
      </c>
      <c r="AG105" s="410">
        <f>'KB 07'!O$238</f>
        <v>12539000</v>
      </c>
    </row>
    <row r="106" spans="1:33" s="412" customFormat="1" ht="3.75" customHeight="1" x14ac:dyDescent="0.15">
      <c r="A106" s="409" t="e">
        <f>#REF!</f>
        <v>#REF!</v>
      </c>
      <c r="B106" s="410" t="e">
        <f>#REF!</f>
        <v>#REF!</v>
      </c>
      <c r="C106" s="410" t="e">
        <f>#REF!</f>
        <v>#REF!</v>
      </c>
      <c r="D106" s="410" t="e">
        <f>#REF!</f>
        <v>#REF!</v>
      </c>
      <c r="E106" s="410" t="e">
        <f>#REF!</f>
        <v>#REF!</v>
      </c>
      <c r="F106" s="411"/>
      <c r="S106" s="413">
        <f>'KB 07'!I11</f>
        <v>0</v>
      </c>
      <c r="T106" s="413">
        <f>'KB 07'!L11</f>
        <v>0</v>
      </c>
      <c r="U106" s="412">
        <f>'KB 07'!B$267</f>
        <v>0</v>
      </c>
      <c r="V106" s="412">
        <f>'KB 07'!C$267</f>
        <v>0</v>
      </c>
      <c r="W106" s="412">
        <f>'KB 07'!D$267</f>
        <v>0</v>
      </c>
      <c r="X106" s="412">
        <f>'KB 07'!E$267</f>
        <v>0</v>
      </c>
      <c r="Y106" s="412">
        <f>'KB 07'!F$267</f>
        <v>0</v>
      </c>
      <c r="Z106" s="412">
        <f>'KB 07'!G$267</f>
        <v>0</v>
      </c>
      <c r="AB106" s="412">
        <f>'KB 07'!J$277</f>
        <v>0</v>
      </c>
      <c r="AC106" s="412">
        <f>'KB 07'!K$277</f>
        <v>0</v>
      </c>
      <c r="AD106" s="412">
        <f>'KB 07'!L$277</f>
        <v>0</v>
      </c>
      <c r="AE106" s="412">
        <f>'KB 07'!M$277</f>
        <v>0</v>
      </c>
      <c r="AF106" s="412">
        <f>'KB 07'!N$277</f>
        <v>0</v>
      </c>
      <c r="AG106" s="412">
        <f>'KB 07'!O$277</f>
        <v>0</v>
      </c>
    </row>
    <row r="107" spans="1:33" s="412" customFormat="1" ht="3.75" customHeight="1" x14ac:dyDescent="0.15">
      <c r="A107" s="409" t="e">
        <f>#REF!</f>
        <v>#REF!</v>
      </c>
      <c r="B107" s="410" t="e">
        <f>#REF!</f>
        <v>#REF!</v>
      </c>
      <c r="C107" s="410" t="e">
        <f>#REF!</f>
        <v>#REF!</v>
      </c>
      <c r="D107" s="410" t="e">
        <f>#REF!</f>
        <v>#REF!</v>
      </c>
      <c r="E107" s="410" t="e">
        <f>#REF!</f>
        <v>#REF!</v>
      </c>
      <c r="F107" s="411"/>
      <c r="S107" s="413"/>
      <c r="T107" s="413"/>
      <c r="U107" s="410"/>
      <c r="V107" s="410"/>
      <c r="W107" s="410"/>
      <c r="X107" s="410"/>
      <c r="Y107" s="410"/>
      <c r="Z107" s="410"/>
      <c r="AA107" s="410"/>
      <c r="AB107" s="410"/>
      <c r="AC107" s="410"/>
      <c r="AD107" s="410"/>
      <c r="AE107" s="410"/>
      <c r="AF107" s="410"/>
      <c r="AG107" s="410"/>
    </row>
    <row r="108" spans="1:33" s="412" customFormat="1" ht="3.75" customHeight="1" x14ac:dyDescent="0.15">
      <c r="A108" s="409" t="e">
        <f>#REF!</f>
        <v>#REF!</v>
      </c>
      <c r="B108" s="410" t="e">
        <f>#REF!</f>
        <v>#REF!</v>
      </c>
      <c r="C108" s="410" t="e">
        <f>#REF!</f>
        <v>#REF!</v>
      </c>
      <c r="D108" s="410" t="e">
        <f>#REF!</f>
        <v>#REF!</v>
      </c>
      <c r="E108" s="410" t="e">
        <f>#REF!</f>
        <v>#REF!</v>
      </c>
      <c r="F108" s="411"/>
      <c r="R108" s="412">
        <v>8</v>
      </c>
      <c r="S108" s="413" t="str">
        <f>'KB 08'!I6</f>
        <v>E detyrueshme</v>
      </c>
      <c r="T108" s="413" t="str">
        <f>'KB 08'!L6</f>
        <v>Transferuar</v>
      </c>
      <c r="U108" s="412">
        <f>'KB 08'!B$72</f>
        <v>213152994</v>
      </c>
      <c r="V108" s="412">
        <f>'KB 08'!C$72</f>
        <v>32485173</v>
      </c>
      <c r="W108" s="412">
        <f>'KB 08'!D$72</f>
        <v>47482899</v>
      </c>
      <c r="X108" s="412">
        <f>'KB 08'!E$72</f>
        <v>205545310</v>
      </c>
      <c r="Y108" s="412">
        <f>'KB 08'!F$72</f>
        <v>208462000</v>
      </c>
      <c r="Z108" s="412">
        <f>'KB 08'!G$72</f>
        <v>214454600</v>
      </c>
      <c r="AB108" s="412">
        <f>'KB 08'!J$82</f>
        <v>29945230</v>
      </c>
      <c r="AC108" s="412">
        <f>'KB 08'!K$82</f>
        <v>21303000</v>
      </c>
      <c r="AD108" s="412">
        <f>'KB 08'!L$82</f>
        <v>25303000</v>
      </c>
      <c r="AE108" s="412">
        <f>'KB 08'!M$82</f>
        <v>20303000</v>
      </c>
      <c r="AF108" s="412">
        <f>'KB 08'!N$82</f>
        <v>20303000</v>
      </c>
      <c r="AG108" s="412">
        <f>'KB 08'!O$82</f>
        <v>20303000</v>
      </c>
    </row>
    <row r="109" spans="1:33" s="412" customFormat="1" ht="3.75" customHeight="1" x14ac:dyDescent="0.15">
      <c r="A109" s="409"/>
      <c r="B109" s="410"/>
      <c r="C109" s="410"/>
      <c r="D109" s="410"/>
      <c r="E109" s="410"/>
      <c r="F109" s="411"/>
      <c r="S109" s="413" t="str">
        <f>'KB 08'!I7</f>
        <v>E detyrueshme</v>
      </c>
      <c r="T109" s="413" t="str">
        <f>'KB 08'!L7</f>
        <v>I veti</v>
      </c>
      <c r="U109" s="410">
        <f>'KB 08'!B$111</f>
        <v>0</v>
      </c>
      <c r="V109" s="410">
        <f>'KB 08'!C$111</f>
        <v>52253884</v>
      </c>
      <c r="W109" s="410">
        <f>'KB 08'!D$111</f>
        <v>128440000</v>
      </c>
      <c r="X109" s="410">
        <f>'KB 08'!E$111</f>
        <v>0</v>
      </c>
      <c r="Y109" s="410">
        <f>'KB 08'!F$111</f>
        <v>0</v>
      </c>
      <c r="Z109" s="410">
        <f>'KB 08'!G$111</f>
        <v>0</v>
      </c>
      <c r="AA109" s="410"/>
      <c r="AB109" s="410">
        <f>'KB 08'!J$121</f>
        <v>0</v>
      </c>
      <c r="AC109" s="410">
        <f>'KB 08'!K$121</f>
        <v>42778290</v>
      </c>
      <c r="AD109" s="410">
        <f>'KB 08'!L$121</f>
        <v>0</v>
      </c>
      <c r="AE109" s="410">
        <f>'KB 08'!M$121</f>
        <v>0</v>
      </c>
      <c r="AF109" s="410">
        <f>'KB 08'!N$121</f>
        <v>0</v>
      </c>
      <c r="AG109" s="410">
        <f>'KB 08'!O$121</f>
        <v>0</v>
      </c>
    </row>
    <row r="110" spans="1:33" s="412" customFormat="1" ht="3.75" customHeight="1" x14ac:dyDescent="0.15">
      <c r="A110" s="409" t="e">
        <f>#REF!</f>
        <v>#REF!</v>
      </c>
      <c r="B110" s="410" t="e">
        <f>#REF!</f>
        <v>#REF!</v>
      </c>
      <c r="C110" s="410" t="e">
        <f>#REF!</f>
        <v>#REF!</v>
      </c>
      <c r="D110" s="410" t="e">
        <f>#REF!</f>
        <v>#REF!</v>
      </c>
      <c r="E110" s="410" t="e">
        <f>#REF!</f>
        <v>#REF!</v>
      </c>
      <c r="F110" s="411"/>
      <c r="S110" s="413" t="str">
        <f>'KB 08'!I8</f>
        <v>E detyrueshme</v>
      </c>
      <c r="T110" s="413" t="str">
        <f>'KB 08'!L8</f>
        <v>I veti</v>
      </c>
      <c r="U110" s="410">
        <f>'KB 08'!B$150</f>
        <v>0</v>
      </c>
      <c r="V110" s="410">
        <f>'KB 08'!C$150</f>
        <v>0</v>
      </c>
      <c r="W110" s="410">
        <f>'KB 08'!D$150</f>
        <v>0</v>
      </c>
      <c r="X110" s="410">
        <f>'KB 08'!E$150</f>
        <v>0</v>
      </c>
      <c r="Y110" s="410">
        <f>'KB 08'!F$150</f>
        <v>0</v>
      </c>
      <c r="Z110" s="410">
        <f>'KB 08'!G$150</f>
        <v>0</v>
      </c>
      <c r="AA110" s="410"/>
      <c r="AB110" s="410">
        <f>'KB 08'!J$160</f>
        <v>0</v>
      </c>
      <c r="AC110" s="410">
        <f>'KB 08'!K$160</f>
        <v>0</v>
      </c>
      <c r="AD110" s="410">
        <f>'KB 08'!L$160</f>
        <v>0</v>
      </c>
      <c r="AE110" s="410">
        <f>'KB 08'!M$160</f>
        <v>0</v>
      </c>
      <c r="AF110" s="410">
        <f>'KB 08'!N$160</f>
        <v>0</v>
      </c>
      <c r="AG110" s="410">
        <f>'KB 08'!O$160</f>
        <v>0</v>
      </c>
    </row>
    <row r="111" spans="1:33" s="412" customFormat="1" ht="3.75" customHeight="1" x14ac:dyDescent="0.15">
      <c r="A111" s="409" t="e">
        <f>#REF!</f>
        <v>#REF!</v>
      </c>
      <c r="B111" s="410" t="e">
        <f>#REF!</f>
        <v>#REF!</v>
      </c>
      <c r="C111" s="410" t="e">
        <f>#REF!</f>
        <v>#REF!</v>
      </c>
      <c r="D111" s="410" t="e">
        <f>#REF!</f>
        <v>#REF!</v>
      </c>
      <c r="E111" s="410" t="e">
        <f>#REF!</f>
        <v>#REF!</v>
      </c>
      <c r="F111" s="411"/>
      <c r="S111" s="413">
        <f>'KB 08'!I9</f>
        <v>0</v>
      </c>
      <c r="T111" s="413">
        <f>'KB 08'!L9</f>
        <v>0</v>
      </c>
      <c r="U111" s="410">
        <f>'KB 08'!B$189</f>
        <v>0</v>
      </c>
      <c r="V111" s="410">
        <f>'KB 08'!C$189</f>
        <v>0</v>
      </c>
      <c r="W111" s="410">
        <f>'KB 08'!D$189</f>
        <v>0</v>
      </c>
      <c r="X111" s="410">
        <f>'KB 08'!E$189</f>
        <v>0</v>
      </c>
      <c r="Y111" s="410">
        <f>'KB 08'!F$189</f>
        <v>0</v>
      </c>
      <c r="Z111" s="410">
        <f>'KB 08'!G$189</f>
        <v>0</v>
      </c>
      <c r="AA111" s="410"/>
      <c r="AB111" s="410">
        <f>'KB 08'!J$199</f>
        <v>0</v>
      </c>
      <c r="AC111" s="410">
        <f>'KB 08'!K$199</f>
        <v>0</v>
      </c>
      <c r="AD111" s="410">
        <f>'KB 08'!L$199</f>
        <v>0</v>
      </c>
      <c r="AE111" s="410">
        <f>'KB 08'!M$199</f>
        <v>0</v>
      </c>
      <c r="AF111" s="410">
        <f>'KB 08'!N$199</f>
        <v>0</v>
      </c>
      <c r="AG111" s="410">
        <f>'KB 08'!O$199</f>
        <v>0</v>
      </c>
    </row>
    <row r="112" spans="1:33" s="412" customFormat="1" ht="3.75" customHeight="1" x14ac:dyDescent="0.15">
      <c r="A112" s="409" t="e">
        <f>#REF!</f>
        <v>#REF!</v>
      </c>
      <c r="B112" s="410" t="e">
        <f>#REF!</f>
        <v>#REF!</v>
      </c>
      <c r="C112" s="410" t="e">
        <f>#REF!</f>
        <v>#REF!</v>
      </c>
      <c r="D112" s="410" t="e">
        <f>#REF!</f>
        <v>#REF!</v>
      </c>
      <c r="E112" s="410" t="e">
        <f>#REF!</f>
        <v>#REF!</v>
      </c>
      <c r="F112" s="411"/>
      <c r="S112" s="413">
        <f>'KB 08'!I10</f>
        <v>0</v>
      </c>
      <c r="T112" s="413">
        <f>'KB 08'!L10</f>
        <v>0</v>
      </c>
      <c r="U112" s="410">
        <f>'KB 08'!B$227</f>
        <v>0</v>
      </c>
      <c r="V112" s="410">
        <f>'KB 08'!C$227</f>
        <v>0</v>
      </c>
      <c r="W112" s="410">
        <f>'KB 08'!D$227</f>
        <v>0</v>
      </c>
      <c r="X112" s="410">
        <f>'KB 08'!E$227</f>
        <v>0</v>
      </c>
      <c r="Y112" s="410">
        <f>'KB 08'!F$227</f>
        <v>0</v>
      </c>
      <c r="Z112" s="410">
        <f>'KB 08'!G$227</f>
        <v>0</v>
      </c>
      <c r="AA112" s="410"/>
      <c r="AB112" s="410">
        <f>'KB 08'!J$237</f>
        <v>0</v>
      </c>
      <c r="AC112" s="410">
        <f>'KB 08'!K$237</f>
        <v>0</v>
      </c>
      <c r="AD112" s="410">
        <f>'KB 08'!L$237</f>
        <v>0</v>
      </c>
      <c r="AE112" s="410">
        <f>'KB 08'!M$237</f>
        <v>0</v>
      </c>
      <c r="AF112" s="410">
        <f>'KB 08'!N$237</f>
        <v>0</v>
      </c>
      <c r="AG112" s="410">
        <f>'KB 08'!O$237</f>
        <v>0</v>
      </c>
    </row>
    <row r="113" spans="1:33" s="412" customFormat="1" ht="3.75" customHeight="1" x14ac:dyDescent="0.15">
      <c r="A113" s="409"/>
      <c r="B113" s="410"/>
      <c r="C113" s="410"/>
      <c r="D113" s="410"/>
      <c r="E113" s="410"/>
      <c r="F113" s="411"/>
      <c r="S113" s="413">
        <f>'KB 08'!I11</f>
        <v>0</v>
      </c>
      <c r="T113" s="413">
        <f>'KB 08'!L11</f>
        <v>0</v>
      </c>
      <c r="U113" s="412">
        <f>'KB 08'!B$265</f>
        <v>0</v>
      </c>
      <c r="V113" s="412">
        <f>'KB 08'!C$265</f>
        <v>0</v>
      </c>
      <c r="W113" s="412">
        <f>'KB 08'!D$265</f>
        <v>0</v>
      </c>
      <c r="X113" s="412">
        <f>'KB 08'!E$265</f>
        <v>0</v>
      </c>
      <c r="Y113" s="412">
        <f>'KB 08'!F$265</f>
        <v>0</v>
      </c>
      <c r="Z113" s="412">
        <f>'KB 08'!G$265</f>
        <v>0</v>
      </c>
      <c r="AB113" s="412">
        <f>'KB 08'!J$275</f>
        <v>0</v>
      </c>
      <c r="AC113" s="412">
        <f>'KB 08'!K$275</f>
        <v>0</v>
      </c>
      <c r="AD113" s="412">
        <f>'KB 08'!L$275</f>
        <v>0</v>
      </c>
      <c r="AE113" s="412">
        <f>'KB 08'!M$275</f>
        <v>0</v>
      </c>
      <c r="AF113" s="412">
        <f>'KB 08'!N$275</f>
        <v>0</v>
      </c>
      <c r="AG113" s="412">
        <f>'KB 08'!O$275</f>
        <v>0</v>
      </c>
    </row>
    <row r="114" spans="1:33" s="412" customFormat="1" ht="3.75" customHeight="1" x14ac:dyDescent="0.15">
      <c r="A114" s="409" t="e">
        <f>#REF!</f>
        <v>#REF!</v>
      </c>
      <c r="B114" s="410" t="e">
        <f>#REF!</f>
        <v>#REF!</v>
      </c>
      <c r="C114" s="410" t="e">
        <f>#REF!</f>
        <v>#REF!</v>
      </c>
      <c r="D114" s="410" t="e">
        <f>#REF!</f>
        <v>#REF!</v>
      </c>
      <c r="E114" s="410" t="e">
        <f>#REF!</f>
        <v>#REF!</v>
      </c>
      <c r="F114" s="411"/>
      <c r="S114" s="413"/>
      <c r="T114" s="413"/>
    </row>
    <row r="115" spans="1:33" s="412" customFormat="1" ht="3.75" customHeight="1" x14ac:dyDescent="0.15">
      <c r="A115" s="409" t="e">
        <f>#REF!</f>
        <v>#REF!</v>
      </c>
      <c r="B115" s="410" t="e">
        <f>#REF!</f>
        <v>#REF!</v>
      </c>
      <c r="C115" s="410" t="e">
        <f>#REF!</f>
        <v>#REF!</v>
      </c>
      <c r="D115" s="410" t="e">
        <f>#REF!</f>
        <v>#REF!</v>
      </c>
      <c r="E115" s="410" t="e">
        <f>#REF!</f>
        <v>#REF!</v>
      </c>
      <c r="F115" s="411"/>
      <c r="R115" s="412">
        <v>9</v>
      </c>
      <c r="S115" s="413" t="str">
        <f>'KB 09'!I6</f>
        <v>E detyrueshme</v>
      </c>
      <c r="T115" s="413" t="str">
        <f>'KB 09'!L6</f>
        <v>I veti</v>
      </c>
      <c r="U115" s="412">
        <f>'KB 09'!B$72</f>
        <v>0</v>
      </c>
      <c r="V115" s="412">
        <f>'KB 09'!C$72</f>
        <v>0</v>
      </c>
      <c r="W115" s="412">
        <f>'KB 09'!D$72</f>
        <v>0</v>
      </c>
      <c r="X115" s="412">
        <f>'KB 09'!E$72</f>
        <v>0</v>
      </c>
      <c r="Y115" s="412">
        <f>'KB 09'!F$72</f>
        <v>0</v>
      </c>
      <c r="Z115" s="412">
        <f>'KB 09'!G$72</f>
        <v>0</v>
      </c>
      <c r="AB115" s="412">
        <f>'KB 09'!J$82</f>
        <v>0</v>
      </c>
      <c r="AC115" s="412">
        <f>'KB 09'!K$82</f>
        <v>0</v>
      </c>
      <c r="AD115" s="412">
        <f>'KB 09'!L$82</f>
        <v>0</v>
      </c>
      <c r="AE115" s="412">
        <f>'KB 09'!M$82</f>
        <v>0</v>
      </c>
      <c r="AF115" s="412">
        <f>'KB 09'!N$82</f>
        <v>0</v>
      </c>
      <c r="AG115" s="412">
        <f>'KB 09'!O$82</f>
        <v>0</v>
      </c>
    </row>
    <row r="116" spans="1:33" s="412" customFormat="1" ht="3.75" customHeight="1" x14ac:dyDescent="0.15">
      <c r="A116" s="409" t="e">
        <f>#REF!</f>
        <v>#REF!</v>
      </c>
      <c r="B116" s="410" t="e">
        <f>#REF!</f>
        <v>#REF!</v>
      </c>
      <c r="C116" s="410" t="e">
        <f>#REF!</f>
        <v>#REF!</v>
      </c>
      <c r="D116" s="410" t="e">
        <f>#REF!</f>
        <v>#REF!</v>
      </c>
      <c r="E116" s="410" t="e">
        <f>#REF!</f>
        <v>#REF!</v>
      </c>
      <c r="F116" s="411"/>
      <c r="S116" s="413" t="str">
        <f>'KB 09'!I7</f>
        <v>E detyrueshme</v>
      </c>
      <c r="T116" s="413" t="str">
        <f>'KB 09'!L7</f>
        <v>I veti</v>
      </c>
      <c r="U116" s="410">
        <f>'KB 09'!B$111</f>
        <v>0</v>
      </c>
      <c r="V116" s="410">
        <f>'KB 09'!C$111</f>
        <v>0</v>
      </c>
      <c r="W116" s="410">
        <f>'KB 09'!D$111</f>
        <v>0</v>
      </c>
      <c r="X116" s="410">
        <f>'KB 09'!E$111</f>
        <v>0</v>
      </c>
      <c r="Y116" s="410">
        <f>'KB 09'!F$111</f>
        <v>0</v>
      </c>
      <c r="Z116" s="410">
        <f>'KB 09'!G$111</f>
        <v>0</v>
      </c>
      <c r="AA116" s="410"/>
      <c r="AB116" s="410">
        <f>'KB 09'!J$121</f>
        <v>0</v>
      </c>
      <c r="AC116" s="410">
        <f>'KB 09'!K$121</f>
        <v>0</v>
      </c>
      <c r="AD116" s="410">
        <f>'KB 09'!L$121</f>
        <v>0</v>
      </c>
      <c r="AE116" s="410">
        <f>'KB 09'!M$121</f>
        <v>0</v>
      </c>
      <c r="AF116" s="410">
        <f>'KB 09'!N$121</f>
        <v>0</v>
      </c>
      <c r="AG116" s="410">
        <f>'KB 09'!O$121</f>
        <v>0</v>
      </c>
    </row>
    <row r="117" spans="1:33" s="412" customFormat="1" ht="3.75" customHeight="1" x14ac:dyDescent="0.15">
      <c r="A117" s="409" t="e">
        <f>#REF!</f>
        <v>#REF!</v>
      </c>
      <c r="B117" s="410" t="e">
        <f>#REF!</f>
        <v>#REF!</v>
      </c>
      <c r="C117" s="410" t="e">
        <f>#REF!</f>
        <v>#REF!</v>
      </c>
      <c r="D117" s="410" t="e">
        <f>#REF!</f>
        <v>#REF!</v>
      </c>
      <c r="E117" s="410" t="e">
        <f>#REF!</f>
        <v>#REF!</v>
      </c>
      <c r="F117" s="411"/>
      <c r="S117" s="413" t="str">
        <f>'KB 09'!I8</f>
        <v>E detyrueshme</v>
      </c>
      <c r="T117" s="413" t="str">
        <f>'KB 09'!L8</f>
        <v>I veti</v>
      </c>
      <c r="U117" s="410">
        <f>'KB 09'!B$150</f>
        <v>0</v>
      </c>
      <c r="V117" s="410">
        <f>'KB 09'!C$150</f>
        <v>0</v>
      </c>
      <c r="W117" s="410">
        <f>'KB 09'!D$150</f>
        <v>0</v>
      </c>
      <c r="X117" s="410">
        <f>'KB 09'!E$150</f>
        <v>0</v>
      </c>
      <c r="Y117" s="410">
        <f>'KB 09'!F$150</f>
        <v>0</v>
      </c>
      <c r="Z117" s="410">
        <f>'KB 09'!G$150</f>
        <v>0</v>
      </c>
      <c r="AA117" s="410"/>
      <c r="AB117" s="410">
        <f>'KB 09'!J$160</f>
        <v>0</v>
      </c>
      <c r="AC117" s="410">
        <f>'KB 09'!K$160</f>
        <v>0</v>
      </c>
      <c r="AD117" s="410">
        <f>'KB 09'!L$160</f>
        <v>0</v>
      </c>
      <c r="AE117" s="410">
        <f>'KB 09'!M$160</f>
        <v>0</v>
      </c>
      <c r="AF117" s="410">
        <f>'KB 09'!N$160</f>
        <v>0</v>
      </c>
      <c r="AG117" s="410">
        <f>'KB 09'!O$160</f>
        <v>0</v>
      </c>
    </row>
    <row r="118" spans="1:33" s="412" customFormat="1" ht="3.75" customHeight="1" x14ac:dyDescent="0.15">
      <c r="A118" s="409" t="e">
        <f>#REF!</f>
        <v>#REF!</v>
      </c>
      <c r="B118" s="410" t="e">
        <f>#REF!</f>
        <v>#REF!</v>
      </c>
      <c r="C118" s="410" t="e">
        <f>#REF!</f>
        <v>#REF!</v>
      </c>
      <c r="D118" s="410" t="e">
        <f>#REF!</f>
        <v>#REF!</v>
      </c>
      <c r="E118" s="410" t="e">
        <f>#REF!</f>
        <v>#REF!</v>
      </c>
      <c r="F118" s="411"/>
      <c r="S118" s="413">
        <f>'KB 09'!I9</f>
        <v>0</v>
      </c>
      <c r="T118" s="413">
        <f>'KB 09'!L9</f>
        <v>0</v>
      </c>
      <c r="U118" s="410">
        <f>'KB 09'!B$189</f>
        <v>0</v>
      </c>
      <c r="V118" s="410">
        <f>'KB 09'!C$189</f>
        <v>0</v>
      </c>
      <c r="W118" s="410">
        <f>'KB 09'!D$189</f>
        <v>0</v>
      </c>
      <c r="X118" s="410">
        <f>'KB 09'!E$189</f>
        <v>0</v>
      </c>
      <c r="Y118" s="410">
        <f>'KB 09'!F$189</f>
        <v>0</v>
      </c>
      <c r="Z118" s="410">
        <f>'KB 09'!G$189</f>
        <v>0</v>
      </c>
      <c r="AA118" s="410"/>
      <c r="AB118" s="410">
        <f>'KB 09'!J$199</f>
        <v>0</v>
      </c>
      <c r="AC118" s="410">
        <f>'KB 09'!K$199</f>
        <v>0</v>
      </c>
      <c r="AD118" s="410">
        <f>'KB 09'!L$199</f>
        <v>0</v>
      </c>
      <c r="AE118" s="410">
        <f>'KB 09'!M$199</f>
        <v>0</v>
      </c>
      <c r="AF118" s="410">
        <f>'KB 09'!N$199</f>
        <v>0</v>
      </c>
      <c r="AG118" s="410">
        <f>'KB 09'!O$199</f>
        <v>0</v>
      </c>
    </row>
    <row r="119" spans="1:33" s="412" customFormat="1" ht="3.75" customHeight="1" x14ac:dyDescent="0.15">
      <c r="A119" s="409" t="e">
        <f>#REF!</f>
        <v>#REF!</v>
      </c>
      <c r="B119" s="410" t="e">
        <f>#REF!</f>
        <v>#REF!</v>
      </c>
      <c r="C119" s="410" t="e">
        <f>#REF!</f>
        <v>#REF!</v>
      </c>
      <c r="D119" s="410" t="e">
        <f>#REF!</f>
        <v>#REF!</v>
      </c>
      <c r="E119" s="410" t="e">
        <f>#REF!</f>
        <v>#REF!</v>
      </c>
      <c r="F119" s="411"/>
      <c r="S119" s="413">
        <f>'KB 09'!I10</f>
        <v>0</v>
      </c>
      <c r="T119" s="413">
        <f>'KB 09'!L10</f>
        <v>0</v>
      </c>
      <c r="U119" s="410">
        <f>'KB 09'!B$227</f>
        <v>0</v>
      </c>
      <c r="V119" s="410">
        <f>'KB 09'!C$227</f>
        <v>0</v>
      </c>
      <c r="W119" s="410">
        <f>'KB 09'!D$227</f>
        <v>0</v>
      </c>
      <c r="X119" s="410">
        <f>'KB 09'!E$227</f>
        <v>0</v>
      </c>
      <c r="Y119" s="410">
        <f>'KB 09'!F$227</f>
        <v>0</v>
      </c>
      <c r="Z119" s="410">
        <f>'KB 09'!G$227</f>
        <v>0</v>
      </c>
      <c r="AA119" s="410"/>
      <c r="AB119" s="410">
        <f>'KB 09'!J$237</f>
        <v>0</v>
      </c>
      <c r="AC119" s="410">
        <f>'KB 09'!K$237</f>
        <v>0</v>
      </c>
      <c r="AD119" s="410">
        <f>'KB 09'!L$237</f>
        <v>0</v>
      </c>
      <c r="AE119" s="410">
        <f>'KB 09'!M$237</f>
        <v>0</v>
      </c>
      <c r="AF119" s="410">
        <f>'KB 09'!N$237</f>
        <v>0</v>
      </c>
      <c r="AG119" s="410">
        <f>'KB 09'!O$237</f>
        <v>0</v>
      </c>
    </row>
    <row r="120" spans="1:33" s="412" customFormat="1" ht="3.75" customHeight="1" x14ac:dyDescent="0.15">
      <c r="A120" s="409"/>
      <c r="B120" s="410"/>
      <c r="C120" s="410"/>
      <c r="D120" s="410"/>
      <c r="E120" s="410"/>
      <c r="F120" s="411"/>
      <c r="S120" s="413">
        <f>'KB 09'!I11</f>
        <v>0</v>
      </c>
      <c r="T120" s="413">
        <f>'KB 09'!L11</f>
        <v>0</v>
      </c>
      <c r="U120" s="412">
        <f>'KB 09'!B$265</f>
        <v>0</v>
      </c>
      <c r="V120" s="412">
        <f>'KB 09'!C$265</f>
        <v>0</v>
      </c>
      <c r="W120" s="412">
        <f>'KB 09'!D$265</f>
        <v>0</v>
      </c>
      <c r="X120" s="412">
        <f>'KB 09'!E$265</f>
        <v>0</v>
      </c>
      <c r="Y120" s="412">
        <f>'KB 09'!F$265</f>
        <v>0</v>
      </c>
      <c r="Z120" s="412">
        <f>'KB 09'!G$265</f>
        <v>0</v>
      </c>
      <c r="AB120" s="412">
        <f>'KB 09'!J$275</f>
        <v>0</v>
      </c>
      <c r="AC120" s="412">
        <f>'KB 09'!K$275</f>
        <v>0</v>
      </c>
      <c r="AD120" s="412">
        <f>'KB 09'!L$275</f>
        <v>0</v>
      </c>
      <c r="AE120" s="412">
        <f>'KB 09'!M$275</f>
        <v>0</v>
      </c>
      <c r="AF120" s="412">
        <f>'KB 09'!N$275</f>
        <v>0</v>
      </c>
      <c r="AG120" s="412">
        <f>'KB 09'!O$275</f>
        <v>0</v>
      </c>
    </row>
    <row r="121" spans="1:33" s="412" customFormat="1" ht="3.75" customHeight="1" x14ac:dyDescent="0.15">
      <c r="A121" s="409" t="e">
        <f>#REF!</f>
        <v>#REF!</v>
      </c>
      <c r="B121" s="410" t="e">
        <f>#REF!</f>
        <v>#REF!</v>
      </c>
      <c r="C121" s="410" t="e">
        <f>#REF!</f>
        <v>#REF!</v>
      </c>
      <c r="D121" s="410" t="e">
        <f>#REF!</f>
        <v>#REF!</v>
      </c>
      <c r="E121" s="410" t="e">
        <f>#REF!</f>
        <v>#REF!</v>
      </c>
      <c r="F121" s="411"/>
      <c r="S121" s="413"/>
      <c r="T121" s="413"/>
      <c r="U121" s="410"/>
      <c r="V121" s="410"/>
      <c r="W121" s="410"/>
      <c r="X121" s="410"/>
      <c r="Y121" s="410"/>
      <c r="Z121" s="410"/>
      <c r="AA121" s="410"/>
      <c r="AB121" s="410"/>
      <c r="AC121" s="410"/>
      <c r="AD121" s="410"/>
      <c r="AE121" s="410"/>
      <c r="AF121" s="410"/>
      <c r="AG121" s="410"/>
    </row>
    <row r="122" spans="1:33" s="412" customFormat="1" ht="3.75" customHeight="1" x14ac:dyDescent="0.15">
      <c r="A122" s="421"/>
      <c r="B122" s="422"/>
      <c r="C122" s="422"/>
      <c r="D122" s="422"/>
      <c r="E122" s="422"/>
      <c r="F122" s="411"/>
      <c r="R122" s="412">
        <v>10</v>
      </c>
      <c r="S122" s="413" t="str">
        <f>'KB 10'!I6</f>
        <v>E detyrueshme</v>
      </c>
      <c r="T122" s="413" t="str">
        <f>'KB 10'!L6</f>
        <v>I veti</v>
      </c>
      <c r="U122" s="412">
        <f>'KB 10'!B$72</f>
        <v>37620677</v>
      </c>
      <c r="V122" s="412">
        <f>'KB 10'!C$72</f>
        <v>105911830</v>
      </c>
      <c r="W122" s="412">
        <f>'KB 10'!D$72</f>
        <v>140388286</v>
      </c>
      <c r="X122" s="412">
        <f>'KB 10'!E$72</f>
        <v>150000000</v>
      </c>
      <c r="Y122" s="412">
        <f>'KB 10'!F$72</f>
        <v>150000000</v>
      </c>
      <c r="Z122" s="412">
        <f>'KB 10'!G$72</f>
        <v>150000000</v>
      </c>
      <c r="AB122" s="412">
        <f>'KB 10'!J$82</f>
        <v>74919468</v>
      </c>
      <c r="AC122" s="412">
        <f>'KB 10'!K$82</f>
        <v>77760684</v>
      </c>
      <c r="AD122" s="412">
        <f>'KB 10'!L$82</f>
        <v>123100000</v>
      </c>
      <c r="AE122" s="412">
        <f>'KB 10'!M$82</f>
        <v>122346375</v>
      </c>
      <c r="AF122" s="412">
        <f>'KB 10'!N$82</f>
        <v>124181570</v>
      </c>
      <c r="AG122" s="412">
        <f>'KB 10'!O$82</f>
        <v>126044294</v>
      </c>
    </row>
    <row r="123" spans="1:33" s="412" customFormat="1" ht="3.75" customHeight="1" x14ac:dyDescent="0.15">
      <c r="A123" s="409" t="e">
        <f>#REF!</f>
        <v>#REF!</v>
      </c>
      <c r="B123" s="427" t="e">
        <f>#REF!</f>
        <v>#REF!</v>
      </c>
      <c r="C123" s="427" t="e">
        <f>#REF!</f>
        <v>#REF!</v>
      </c>
      <c r="D123" s="427" t="e">
        <f>#REF!</f>
        <v>#REF!</v>
      </c>
      <c r="E123" s="427" t="e">
        <f>#REF!</f>
        <v>#REF!</v>
      </c>
      <c r="F123" s="411"/>
      <c r="S123" s="413">
        <f>'KB 10'!I7</f>
        <v>0</v>
      </c>
      <c r="T123" s="413">
        <f>'KB 10'!L7</f>
        <v>0</v>
      </c>
      <c r="U123" s="410">
        <f>'KB 10'!B$111</f>
        <v>0</v>
      </c>
      <c r="V123" s="410">
        <f>'KB 10'!C$111</f>
        <v>0</v>
      </c>
      <c r="W123" s="410">
        <f>'KB 10'!D$111</f>
        <v>0</v>
      </c>
      <c r="X123" s="410">
        <f>'KB 10'!E$111</f>
        <v>0</v>
      </c>
      <c r="Y123" s="410">
        <f>'KB 10'!F$111</f>
        <v>0</v>
      </c>
      <c r="Z123" s="410">
        <f>'KB 10'!G$111</f>
        <v>0</v>
      </c>
      <c r="AA123" s="410"/>
      <c r="AB123" s="410">
        <f>'KB 10'!J$121</f>
        <v>0</v>
      </c>
      <c r="AC123" s="410">
        <f>'KB 10'!K$121</f>
        <v>0</v>
      </c>
      <c r="AD123" s="410">
        <f>'KB 10'!L$121</f>
        <v>0</v>
      </c>
      <c r="AE123" s="410">
        <f>'KB 10'!M$121</f>
        <v>0</v>
      </c>
      <c r="AF123" s="410">
        <f>'KB 10'!N$121</f>
        <v>0</v>
      </c>
      <c r="AG123" s="410">
        <f>'KB 10'!O$121</f>
        <v>0</v>
      </c>
    </row>
    <row r="124" spans="1:33" s="412" customFormat="1" ht="3.75" customHeight="1" x14ac:dyDescent="0.15">
      <c r="A124" s="409"/>
      <c r="B124" s="427"/>
      <c r="C124" s="427"/>
      <c r="D124" s="427"/>
      <c r="E124" s="427"/>
      <c r="F124" s="411"/>
      <c r="S124" s="413">
        <f>'KB 10'!I8</f>
        <v>0</v>
      </c>
      <c r="T124" s="413">
        <f>'KB 10'!L8</f>
        <v>0</v>
      </c>
      <c r="U124" s="410">
        <f>'KB 10'!B$150</f>
        <v>0</v>
      </c>
      <c r="V124" s="410">
        <f>'KB 10'!C$150</f>
        <v>0</v>
      </c>
      <c r="W124" s="410">
        <f>'KB 10'!D$150</f>
        <v>0</v>
      </c>
      <c r="X124" s="410">
        <f>'KB 10'!E$150</f>
        <v>0</v>
      </c>
      <c r="Y124" s="410">
        <f>'KB 10'!F$150</f>
        <v>0</v>
      </c>
      <c r="Z124" s="410">
        <f>'KB 10'!G$150</f>
        <v>0</v>
      </c>
      <c r="AA124" s="410"/>
      <c r="AB124" s="410">
        <f>'KB 10'!J$160</f>
        <v>0</v>
      </c>
      <c r="AC124" s="410">
        <f>'KB 10'!K$160</f>
        <v>0</v>
      </c>
      <c r="AD124" s="410">
        <f>'KB 10'!L$160</f>
        <v>0</v>
      </c>
      <c r="AE124" s="410">
        <f>'KB 10'!M$160</f>
        <v>0</v>
      </c>
      <c r="AF124" s="410">
        <f>'KB 10'!N$160</f>
        <v>0</v>
      </c>
      <c r="AG124" s="410">
        <f>'KB 10'!O$160</f>
        <v>0</v>
      </c>
    </row>
    <row r="125" spans="1:33" s="412" customFormat="1" ht="3.75" customHeight="1" x14ac:dyDescent="0.15">
      <c r="A125" s="409" t="e">
        <f>#REF!</f>
        <v>#REF!</v>
      </c>
      <c r="B125" s="410" t="e">
        <f>#REF!</f>
        <v>#REF!</v>
      </c>
      <c r="C125" s="410" t="e">
        <f>#REF!</f>
        <v>#REF!</v>
      </c>
      <c r="D125" s="410" t="e">
        <f>#REF!</f>
        <v>#REF!</v>
      </c>
      <c r="E125" s="410" t="e">
        <f>#REF!</f>
        <v>#REF!</v>
      </c>
      <c r="F125" s="411"/>
      <c r="S125" s="413">
        <f>'KB 10'!I9</f>
        <v>0</v>
      </c>
      <c r="T125" s="413">
        <f>'KB 10'!L9</f>
        <v>0</v>
      </c>
      <c r="U125" s="410">
        <f>'KB 10'!B$188</f>
        <v>0</v>
      </c>
      <c r="V125" s="410">
        <f>'KB 10'!C$188</f>
        <v>0</v>
      </c>
      <c r="W125" s="410">
        <f>'KB 10'!D$188</f>
        <v>0</v>
      </c>
      <c r="X125" s="410">
        <f>'KB 10'!E$188</f>
        <v>0</v>
      </c>
      <c r="Y125" s="410">
        <f>'KB 10'!F$188</f>
        <v>0</v>
      </c>
      <c r="Z125" s="410">
        <f>'KB 10'!G$188</f>
        <v>0</v>
      </c>
      <c r="AA125" s="410"/>
      <c r="AB125" s="410">
        <f>'KB 10'!J$198</f>
        <v>0</v>
      </c>
      <c r="AC125" s="410">
        <f>'KB 10'!K$198</f>
        <v>0</v>
      </c>
      <c r="AD125" s="410">
        <f>'KB 10'!L$198</f>
        <v>0</v>
      </c>
      <c r="AE125" s="410">
        <f>'KB 10'!M$198</f>
        <v>0</v>
      </c>
      <c r="AF125" s="410">
        <f>'KB 10'!N$198</f>
        <v>0</v>
      </c>
      <c r="AG125" s="410">
        <f>'KB 10'!O$198</f>
        <v>0</v>
      </c>
    </row>
    <row r="126" spans="1:33" s="412" customFormat="1" ht="3.75" customHeight="1" x14ac:dyDescent="0.15">
      <c r="A126" s="409" t="e">
        <f>#REF!</f>
        <v>#REF!</v>
      </c>
      <c r="B126" s="410" t="e">
        <f>#REF!</f>
        <v>#REF!</v>
      </c>
      <c r="C126" s="410" t="e">
        <f>#REF!</f>
        <v>#REF!</v>
      </c>
      <c r="D126" s="410" t="e">
        <f>#REF!</f>
        <v>#REF!</v>
      </c>
      <c r="E126" s="410" t="e">
        <f>#REF!</f>
        <v>#REF!</v>
      </c>
      <c r="F126" s="411"/>
      <c r="S126" s="413">
        <f>'KB 10'!I10</f>
        <v>0</v>
      </c>
      <c r="T126" s="413">
        <f>'KB 10'!L10</f>
        <v>0</v>
      </c>
      <c r="U126" s="410">
        <f>'KB 10'!B$226</f>
        <v>0</v>
      </c>
      <c r="V126" s="410">
        <f>'KB 10'!C$226</f>
        <v>0</v>
      </c>
      <c r="W126" s="410">
        <f>'KB 10'!D$226</f>
        <v>0</v>
      </c>
      <c r="X126" s="410">
        <f>'KB 10'!E$226</f>
        <v>0</v>
      </c>
      <c r="Y126" s="410">
        <f>'KB 10'!F$226</f>
        <v>0</v>
      </c>
      <c r="Z126" s="410">
        <f>'KB 10'!G$226</f>
        <v>0</v>
      </c>
      <c r="AA126" s="410"/>
      <c r="AB126" s="410">
        <f>'KB 10'!J$236</f>
        <v>0</v>
      </c>
      <c r="AC126" s="410">
        <f>'KB 10'!K$236</f>
        <v>0</v>
      </c>
      <c r="AD126" s="410">
        <f>'KB 10'!L$236</f>
        <v>0</v>
      </c>
      <c r="AE126" s="410">
        <f>'KB 10'!M$236</f>
        <v>0</v>
      </c>
      <c r="AF126" s="410">
        <f>'KB 10'!N$236</f>
        <v>0</v>
      </c>
      <c r="AG126" s="410">
        <f>'KB 10'!O$236</f>
        <v>0</v>
      </c>
    </row>
    <row r="127" spans="1:33" s="412" customFormat="1" ht="3.75" customHeight="1" x14ac:dyDescent="0.15">
      <c r="A127" s="409" t="e">
        <f>#REF!</f>
        <v>#REF!</v>
      </c>
      <c r="B127" s="410" t="e">
        <f>#REF!</f>
        <v>#REF!</v>
      </c>
      <c r="C127" s="410" t="e">
        <f>#REF!</f>
        <v>#REF!</v>
      </c>
      <c r="D127" s="410" t="e">
        <f>#REF!</f>
        <v>#REF!</v>
      </c>
      <c r="E127" s="410" t="e">
        <f>#REF!</f>
        <v>#REF!</v>
      </c>
      <c r="F127" s="411"/>
      <c r="S127" s="413">
        <f>'KB 10'!I11</f>
        <v>0</v>
      </c>
      <c r="T127" s="413">
        <f>'KB 10'!L11</f>
        <v>0</v>
      </c>
      <c r="U127" s="412">
        <f>'KB 10'!B$264</f>
        <v>0</v>
      </c>
      <c r="V127" s="412">
        <f>'KB 10'!C$264</f>
        <v>0</v>
      </c>
      <c r="W127" s="412">
        <f>'KB 10'!D$264</f>
        <v>0</v>
      </c>
      <c r="X127" s="412">
        <f>'KB 10'!E$264</f>
        <v>0</v>
      </c>
      <c r="Y127" s="412">
        <f>'KB 10'!F$264</f>
        <v>0</v>
      </c>
      <c r="Z127" s="412">
        <f>'KB 10'!G$264</f>
        <v>0</v>
      </c>
      <c r="AB127" s="412">
        <f>'KB 10'!J$274</f>
        <v>0</v>
      </c>
      <c r="AC127" s="412">
        <f>'KB 10'!K$274</f>
        <v>0</v>
      </c>
      <c r="AD127" s="412">
        <f>'KB 10'!L$274</f>
        <v>0</v>
      </c>
      <c r="AE127" s="412">
        <f>'KB 10'!M$274</f>
        <v>0</v>
      </c>
      <c r="AF127" s="412">
        <f>'KB 10'!N$274</f>
        <v>0</v>
      </c>
      <c r="AG127" s="412">
        <f>'KB 10'!O$274</f>
        <v>0</v>
      </c>
    </row>
    <row r="128" spans="1:33" s="412" customFormat="1" ht="3.75" customHeight="1" x14ac:dyDescent="0.15">
      <c r="A128" s="409"/>
      <c r="B128" s="410"/>
      <c r="C128" s="410"/>
      <c r="D128" s="410"/>
      <c r="E128" s="410"/>
      <c r="F128" s="411"/>
      <c r="S128" s="413"/>
      <c r="T128" s="413"/>
      <c r="U128" s="410"/>
      <c r="V128" s="410"/>
      <c r="W128" s="410"/>
      <c r="X128" s="410"/>
      <c r="Y128" s="410"/>
      <c r="Z128" s="410"/>
      <c r="AA128" s="410"/>
      <c r="AB128" s="410"/>
      <c r="AC128" s="410"/>
      <c r="AD128" s="410"/>
      <c r="AE128" s="410"/>
      <c r="AF128" s="410"/>
      <c r="AG128" s="410"/>
    </row>
    <row r="129" spans="1:33" s="412" customFormat="1" ht="3.75" customHeight="1" x14ac:dyDescent="0.15">
      <c r="A129" s="409"/>
      <c r="B129" s="410"/>
      <c r="C129" s="410"/>
      <c r="D129" s="410"/>
      <c r="E129" s="410"/>
      <c r="F129" s="411"/>
      <c r="R129" s="412">
        <v>11</v>
      </c>
      <c r="S129" s="413" t="str">
        <f>'KB 11'!I6</f>
        <v>E detyrueshme</v>
      </c>
      <c r="T129" s="413" t="str">
        <f>'KB 11'!L6</f>
        <v>I veti</v>
      </c>
      <c r="U129" s="412">
        <f>'KB 11'!B$72</f>
        <v>0</v>
      </c>
      <c r="V129" s="412">
        <f>'KB 11'!C$72</f>
        <v>0</v>
      </c>
      <c r="W129" s="412">
        <f>'KB 11'!D$72</f>
        <v>0</v>
      </c>
      <c r="X129" s="412">
        <f>'KB 11'!E$72</f>
        <v>0</v>
      </c>
      <c r="Y129" s="412">
        <f>'KB 11'!F$72</f>
        <v>0</v>
      </c>
      <c r="Z129" s="412">
        <f>'KB 11'!G$72</f>
        <v>0</v>
      </c>
      <c r="AB129" s="412">
        <f>'KB 11'!J$82</f>
        <v>0</v>
      </c>
      <c r="AC129" s="412">
        <f>'KB 11'!K$82</f>
        <v>0</v>
      </c>
      <c r="AD129" s="412">
        <f>'KB 11'!L$82</f>
        <v>0</v>
      </c>
      <c r="AE129" s="412">
        <f>'KB 11'!M$82</f>
        <v>0</v>
      </c>
      <c r="AF129" s="412">
        <f>'KB 11'!N$82</f>
        <v>0</v>
      </c>
      <c r="AG129" s="412">
        <f>'KB 11'!O$82</f>
        <v>0</v>
      </c>
    </row>
    <row r="130" spans="1:33" s="412" customFormat="1" ht="3.75" customHeight="1" x14ac:dyDescent="0.15">
      <c r="A130" s="409" t="e">
        <f>#REF!</f>
        <v>#REF!</v>
      </c>
      <c r="B130" s="410" t="e">
        <f>#REF!</f>
        <v>#REF!</v>
      </c>
      <c r="C130" s="410" t="e">
        <f>#REF!</f>
        <v>#REF!</v>
      </c>
      <c r="D130" s="410" t="e">
        <f>#REF!</f>
        <v>#REF!</v>
      </c>
      <c r="E130" s="410" t="e">
        <f>#REF!</f>
        <v>#REF!</v>
      </c>
      <c r="F130" s="411"/>
      <c r="S130" s="413">
        <f>'KB 11'!I7</f>
        <v>0</v>
      </c>
      <c r="T130" s="413">
        <f>'KB 11'!L7</f>
        <v>0</v>
      </c>
      <c r="U130" s="410">
        <f>'KB 11'!B$111</f>
        <v>0</v>
      </c>
      <c r="V130" s="410">
        <f>'KB 11'!C$111</f>
        <v>0</v>
      </c>
      <c r="W130" s="410">
        <f>'KB 11'!D$111</f>
        <v>0</v>
      </c>
      <c r="X130" s="410">
        <f>'KB 11'!E$111</f>
        <v>0</v>
      </c>
      <c r="Y130" s="410">
        <f>'KB 11'!F$111</f>
        <v>0</v>
      </c>
      <c r="Z130" s="410">
        <f>'KB 11'!G$111</f>
        <v>0</v>
      </c>
      <c r="AA130" s="410"/>
      <c r="AB130" s="410">
        <f>'KB 11'!J$121</f>
        <v>0</v>
      </c>
      <c r="AC130" s="410">
        <f>'KB 11'!K$121</f>
        <v>0</v>
      </c>
      <c r="AD130" s="410">
        <f>'KB 11'!L$121</f>
        <v>0</v>
      </c>
      <c r="AE130" s="410">
        <f>'KB 11'!M$121</f>
        <v>0</v>
      </c>
      <c r="AF130" s="410">
        <f>'KB 11'!N$121</f>
        <v>0</v>
      </c>
      <c r="AG130" s="410">
        <f>'KB 11'!O$121</f>
        <v>0</v>
      </c>
    </row>
    <row r="131" spans="1:33" s="412" customFormat="1" ht="3.75" customHeight="1" x14ac:dyDescent="0.15">
      <c r="A131" s="409" t="e">
        <f>#REF!</f>
        <v>#REF!</v>
      </c>
      <c r="B131" s="410" t="e">
        <f>#REF!</f>
        <v>#REF!</v>
      </c>
      <c r="C131" s="410" t="e">
        <f>#REF!</f>
        <v>#REF!</v>
      </c>
      <c r="D131" s="410" t="e">
        <f>#REF!</f>
        <v>#REF!</v>
      </c>
      <c r="E131" s="410" t="e">
        <f>#REF!</f>
        <v>#REF!</v>
      </c>
      <c r="F131" s="411"/>
      <c r="S131" s="413">
        <f>'KB 11'!I8</f>
        <v>0</v>
      </c>
      <c r="T131" s="413">
        <f>'KB 11'!L8</f>
        <v>0</v>
      </c>
      <c r="U131" s="410">
        <f>'KB 11'!B$150</f>
        <v>0</v>
      </c>
      <c r="V131" s="410">
        <f>'KB 11'!C$150</f>
        <v>0</v>
      </c>
      <c r="W131" s="410">
        <f>'KB 11'!D$150</f>
        <v>0</v>
      </c>
      <c r="X131" s="410">
        <f>'KB 11'!E$150</f>
        <v>0</v>
      </c>
      <c r="Y131" s="410">
        <f>'KB 11'!F$150</f>
        <v>0</v>
      </c>
      <c r="Z131" s="410">
        <f>'KB 11'!G$150</f>
        <v>0</v>
      </c>
      <c r="AA131" s="410"/>
      <c r="AB131" s="410">
        <f>'KB 11'!J$160</f>
        <v>0</v>
      </c>
      <c r="AC131" s="410">
        <f>'KB 11'!K$160</f>
        <v>0</v>
      </c>
      <c r="AD131" s="410">
        <f>'KB 11'!L$160</f>
        <v>0</v>
      </c>
      <c r="AE131" s="410">
        <f>'KB 11'!M$160</f>
        <v>0</v>
      </c>
      <c r="AF131" s="410">
        <f>'KB 11'!N$160</f>
        <v>0</v>
      </c>
      <c r="AG131" s="410">
        <f>'KB 11'!O$160</f>
        <v>0</v>
      </c>
    </row>
    <row r="132" spans="1:33" s="412" customFormat="1" ht="3.75" customHeight="1" x14ac:dyDescent="0.15">
      <c r="A132" s="409"/>
      <c r="B132" s="410"/>
      <c r="C132" s="410"/>
      <c r="D132" s="410"/>
      <c r="E132" s="410"/>
      <c r="F132" s="411"/>
      <c r="S132" s="413">
        <f>'KB 11'!I9</f>
        <v>0</v>
      </c>
      <c r="T132" s="413">
        <f>'KB 11'!L9</f>
        <v>0</v>
      </c>
      <c r="U132" s="410">
        <f>'KB 11'!B$188</f>
        <v>0</v>
      </c>
      <c r="V132" s="410">
        <f>'KB 11'!C$188</f>
        <v>0</v>
      </c>
      <c r="W132" s="410">
        <f>'KB 11'!D$188</f>
        <v>0</v>
      </c>
      <c r="X132" s="410">
        <f>'KB 11'!E$188</f>
        <v>0</v>
      </c>
      <c r="Y132" s="410">
        <f>'KB 11'!F$188</f>
        <v>0</v>
      </c>
      <c r="Z132" s="410">
        <f>'KB 11'!G$188</f>
        <v>0</v>
      </c>
      <c r="AA132" s="410"/>
      <c r="AB132" s="410">
        <f>'KB 11'!J$198</f>
        <v>0</v>
      </c>
      <c r="AC132" s="410">
        <f>'KB 11'!K$198</f>
        <v>0</v>
      </c>
      <c r="AD132" s="410">
        <f>'KB 11'!L$198</f>
        <v>0</v>
      </c>
      <c r="AE132" s="410">
        <f>'KB 11'!M$198</f>
        <v>0</v>
      </c>
      <c r="AF132" s="410">
        <f>'KB 11'!N$198</f>
        <v>0</v>
      </c>
      <c r="AG132" s="410">
        <f>'KB 11'!O$198</f>
        <v>0</v>
      </c>
    </row>
    <row r="133" spans="1:33" s="412" customFormat="1" ht="3.75" customHeight="1" x14ac:dyDescent="0.15">
      <c r="A133" s="409"/>
      <c r="B133" s="410"/>
      <c r="C133" s="410"/>
      <c r="D133" s="410"/>
      <c r="E133" s="410"/>
      <c r="F133" s="411"/>
      <c r="S133" s="413">
        <f>'KB 11'!I10</f>
        <v>0</v>
      </c>
      <c r="T133" s="413">
        <f>'KB 11'!L10</f>
        <v>0</v>
      </c>
      <c r="U133" s="410">
        <f>'KB 11'!B$226</f>
        <v>0</v>
      </c>
      <c r="V133" s="410">
        <f>'KB 11'!C$226</f>
        <v>0</v>
      </c>
      <c r="W133" s="410">
        <f>'KB 11'!D$226</f>
        <v>0</v>
      </c>
      <c r="X133" s="410">
        <f>'KB 11'!E$226</f>
        <v>0</v>
      </c>
      <c r="Y133" s="410">
        <f>'KB 11'!F$226</f>
        <v>0</v>
      </c>
      <c r="Z133" s="410">
        <f>'KB 11'!G$226</f>
        <v>0</v>
      </c>
      <c r="AA133" s="410"/>
      <c r="AB133" s="410">
        <f>'KB 11'!J$236</f>
        <v>0</v>
      </c>
      <c r="AC133" s="410">
        <f>'KB 11'!K$236</f>
        <v>0</v>
      </c>
      <c r="AD133" s="410">
        <f>'KB 11'!L$236</f>
        <v>0</v>
      </c>
      <c r="AE133" s="410">
        <f>'KB 11'!M$236</f>
        <v>0</v>
      </c>
      <c r="AF133" s="410">
        <f>'KB 11'!N$236</f>
        <v>0</v>
      </c>
      <c r="AG133" s="410">
        <f>'KB 11'!O$236</f>
        <v>0</v>
      </c>
    </row>
    <row r="134" spans="1:33" s="412" customFormat="1" ht="3.75" customHeight="1" x14ac:dyDescent="0.15">
      <c r="A134" s="409"/>
      <c r="B134" s="410"/>
      <c r="C134" s="410"/>
      <c r="D134" s="410"/>
      <c r="E134" s="410"/>
      <c r="F134" s="411"/>
      <c r="S134" s="413">
        <f>'KB 11'!I11</f>
        <v>0</v>
      </c>
      <c r="T134" s="413">
        <f>'KB 11'!L11</f>
        <v>0</v>
      </c>
      <c r="U134" s="412">
        <f>'KB 11'!B$264</f>
        <v>0</v>
      </c>
      <c r="V134" s="412">
        <f>'KB 11'!C$264</f>
        <v>0</v>
      </c>
      <c r="W134" s="412">
        <f>'KB 11'!D$264</f>
        <v>0</v>
      </c>
      <c r="X134" s="412">
        <f>'KB 11'!E$264</f>
        <v>0</v>
      </c>
      <c r="Y134" s="412">
        <f>'KB 11'!F$264</f>
        <v>0</v>
      </c>
      <c r="Z134" s="412">
        <f>'KB 11'!G$264</f>
        <v>0</v>
      </c>
      <c r="AB134" s="412">
        <f>'KB 11'!J$274</f>
        <v>0</v>
      </c>
      <c r="AC134" s="412">
        <f>'KB 11'!K$274</f>
        <v>0</v>
      </c>
      <c r="AD134" s="412">
        <f>'KB 11'!L$274</f>
        <v>0</v>
      </c>
      <c r="AE134" s="412">
        <f>'KB 11'!M$274</f>
        <v>0</v>
      </c>
      <c r="AF134" s="412">
        <f>'KB 11'!N$274</f>
        <v>0</v>
      </c>
      <c r="AG134" s="412">
        <f>'KB 11'!O$274</f>
        <v>0</v>
      </c>
    </row>
    <row r="135" spans="1:33" s="412" customFormat="1" ht="3.75" customHeight="1" x14ac:dyDescent="0.15">
      <c r="A135" s="409"/>
      <c r="B135" s="410"/>
      <c r="C135" s="410"/>
      <c r="D135" s="410"/>
      <c r="E135" s="410"/>
      <c r="F135" s="411"/>
      <c r="S135" s="413"/>
      <c r="T135" s="413"/>
      <c r="U135" s="410"/>
      <c r="V135" s="410"/>
      <c r="W135" s="410"/>
      <c r="X135" s="410"/>
      <c r="Y135" s="410"/>
      <c r="Z135" s="410"/>
      <c r="AA135" s="410"/>
      <c r="AB135" s="410"/>
      <c r="AC135" s="410"/>
      <c r="AD135" s="410"/>
      <c r="AE135" s="410"/>
      <c r="AF135" s="410"/>
      <c r="AG135" s="410"/>
    </row>
    <row r="136" spans="1:33" s="412" customFormat="1" ht="3.75" customHeight="1" x14ac:dyDescent="0.15">
      <c r="A136" s="409"/>
      <c r="B136" s="410"/>
      <c r="C136" s="410"/>
      <c r="D136" s="410"/>
      <c r="E136" s="410"/>
      <c r="F136" s="411"/>
      <c r="R136" s="412">
        <v>12</v>
      </c>
      <c r="S136" s="413" t="str">
        <f>'KB 12'!I6</f>
        <v>E detyrueshme</v>
      </c>
      <c r="T136" s="413" t="str">
        <f>'KB 12'!L6</f>
        <v>I veti</v>
      </c>
      <c r="U136" s="412">
        <f>'KB 12'!B$72</f>
        <v>0</v>
      </c>
      <c r="V136" s="412">
        <f>'KB 12'!C$72</f>
        <v>0</v>
      </c>
      <c r="W136" s="412">
        <f>'KB 12'!D$72</f>
        <v>0</v>
      </c>
      <c r="X136" s="412">
        <f>'KB 12'!E$72</f>
        <v>0</v>
      </c>
      <c r="Y136" s="412">
        <f>'KB 12'!F$72</f>
        <v>0</v>
      </c>
      <c r="Z136" s="412">
        <f>'KB 12'!G$72</f>
        <v>0</v>
      </c>
      <c r="AB136" s="412">
        <f>'KB 12'!J$82</f>
        <v>0</v>
      </c>
      <c r="AC136" s="412">
        <f>'KB 12'!K$82</f>
        <v>0</v>
      </c>
      <c r="AD136" s="412">
        <f>'KB 12'!L$82</f>
        <v>0</v>
      </c>
      <c r="AE136" s="412">
        <f>'KB 12'!M$82</f>
        <v>0</v>
      </c>
      <c r="AF136" s="412">
        <f>'KB 12'!N$82</f>
        <v>0</v>
      </c>
      <c r="AG136" s="412">
        <f>'KB 12'!O$82</f>
        <v>0</v>
      </c>
    </row>
    <row r="137" spans="1:33" s="412" customFormat="1" ht="3.75" customHeight="1" x14ac:dyDescent="0.15">
      <c r="A137" s="409"/>
      <c r="B137" s="410"/>
      <c r="C137" s="410"/>
      <c r="D137" s="410"/>
      <c r="E137" s="410"/>
      <c r="F137" s="411"/>
      <c r="S137" s="413">
        <f>'KB 12'!I7</f>
        <v>0</v>
      </c>
      <c r="T137" s="413">
        <f>'KB 12'!L7</f>
        <v>0</v>
      </c>
      <c r="U137" s="410">
        <f>'KB 12'!B$111</f>
        <v>0</v>
      </c>
      <c r="V137" s="410">
        <f>'KB 12'!C$111</f>
        <v>0</v>
      </c>
      <c r="W137" s="410">
        <f>'KB 12'!D$111</f>
        <v>0</v>
      </c>
      <c r="X137" s="410">
        <f>'KB 12'!E$111</f>
        <v>0</v>
      </c>
      <c r="Y137" s="410">
        <f>'KB 12'!F$111</f>
        <v>0</v>
      </c>
      <c r="Z137" s="410">
        <f>'KB 12'!G$111</f>
        <v>0</v>
      </c>
      <c r="AA137" s="410"/>
      <c r="AB137" s="410">
        <f>'KB 12'!J$121</f>
        <v>0</v>
      </c>
      <c r="AC137" s="410">
        <f>'KB 12'!K$121</f>
        <v>0</v>
      </c>
      <c r="AD137" s="410">
        <f>'KB 12'!L$121</f>
        <v>0</v>
      </c>
      <c r="AE137" s="410">
        <f>'KB 12'!M$121</f>
        <v>0</v>
      </c>
      <c r="AF137" s="410">
        <f>'KB 12'!N$121</f>
        <v>0</v>
      </c>
      <c r="AG137" s="410">
        <f>'KB 12'!O$121</f>
        <v>0</v>
      </c>
    </row>
    <row r="138" spans="1:33" s="412" customFormat="1" ht="3.75" customHeight="1" x14ac:dyDescent="0.15">
      <c r="A138" s="409"/>
      <c r="B138" s="410"/>
      <c r="C138" s="410"/>
      <c r="D138" s="410"/>
      <c r="E138" s="410"/>
      <c r="F138" s="411"/>
      <c r="S138" s="413">
        <f>'KB 12'!I8</f>
        <v>0</v>
      </c>
      <c r="T138" s="413">
        <f>'KB 12'!L8</f>
        <v>0</v>
      </c>
      <c r="U138" s="410">
        <f>'KB 12'!B$150</f>
        <v>0</v>
      </c>
      <c r="V138" s="410">
        <f>'KB 12'!C$150</f>
        <v>0</v>
      </c>
      <c r="W138" s="410">
        <f>'KB 12'!D$150</f>
        <v>0</v>
      </c>
      <c r="X138" s="410">
        <f>'KB 12'!E$150</f>
        <v>0</v>
      </c>
      <c r="Y138" s="410">
        <f>'KB 12'!F$150</f>
        <v>0</v>
      </c>
      <c r="Z138" s="410">
        <f>'KB 12'!G$150</f>
        <v>0</v>
      </c>
      <c r="AA138" s="410"/>
      <c r="AB138" s="410">
        <f>'KB 12'!J$160</f>
        <v>0</v>
      </c>
      <c r="AC138" s="410">
        <f>'KB 12'!K$160</f>
        <v>0</v>
      </c>
      <c r="AD138" s="410">
        <f>'KB 12'!L$160</f>
        <v>0</v>
      </c>
      <c r="AE138" s="410">
        <f>'KB 12'!M$160</f>
        <v>0</v>
      </c>
      <c r="AF138" s="410">
        <f>'KB 12'!N$160</f>
        <v>0</v>
      </c>
      <c r="AG138" s="410">
        <f>'KB 12'!O$160</f>
        <v>0</v>
      </c>
    </row>
    <row r="139" spans="1:33" s="412" customFormat="1" ht="3.75" customHeight="1" x14ac:dyDescent="0.15">
      <c r="A139" s="409"/>
      <c r="B139" s="410"/>
      <c r="C139" s="410"/>
      <c r="D139" s="410"/>
      <c r="E139" s="410"/>
      <c r="F139" s="411"/>
      <c r="S139" s="413">
        <f>'KB 12'!I9</f>
        <v>0</v>
      </c>
      <c r="T139" s="413">
        <f>'KB 12'!L9</f>
        <v>0</v>
      </c>
      <c r="U139" s="410">
        <f>'KB 12'!B$188</f>
        <v>0</v>
      </c>
      <c r="V139" s="410">
        <f>'KB 12'!C$188</f>
        <v>0</v>
      </c>
      <c r="W139" s="410">
        <f>'KB 12'!D$188</f>
        <v>0</v>
      </c>
      <c r="X139" s="410">
        <f>'KB 12'!E$188</f>
        <v>0</v>
      </c>
      <c r="Y139" s="410">
        <f>'KB 12'!F$188</f>
        <v>0</v>
      </c>
      <c r="Z139" s="410">
        <f>'KB 12'!G$188</f>
        <v>0</v>
      </c>
      <c r="AA139" s="410"/>
      <c r="AB139" s="410">
        <f>'KB 12'!J$198</f>
        <v>0</v>
      </c>
      <c r="AC139" s="410">
        <f>'KB 12'!K$198</f>
        <v>0</v>
      </c>
      <c r="AD139" s="410">
        <f>'KB 12'!L$198</f>
        <v>0</v>
      </c>
      <c r="AE139" s="410">
        <f>'KB 12'!M$198</f>
        <v>0</v>
      </c>
      <c r="AF139" s="410">
        <f>'KB 12'!N$198</f>
        <v>0</v>
      </c>
      <c r="AG139" s="410">
        <f>'KB 12'!O$198</f>
        <v>0</v>
      </c>
    </row>
    <row r="140" spans="1:33" s="412" customFormat="1" ht="3.75" customHeight="1" x14ac:dyDescent="0.15">
      <c r="A140" s="409"/>
      <c r="B140" s="410"/>
      <c r="C140" s="410"/>
      <c r="D140" s="410"/>
      <c r="E140" s="410"/>
      <c r="F140" s="411"/>
      <c r="S140" s="413">
        <f>'KB 12'!I10</f>
        <v>0</v>
      </c>
      <c r="T140" s="413">
        <f>'KB 12'!L10</f>
        <v>0</v>
      </c>
      <c r="U140" s="410">
        <f>'KB 12'!B$226</f>
        <v>0</v>
      </c>
      <c r="V140" s="410">
        <f>'KB 12'!C$226</f>
        <v>0</v>
      </c>
      <c r="W140" s="410">
        <f>'KB 12'!D$226</f>
        <v>0</v>
      </c>
      <c r="X140" s="410">
        <f>'KB 12'!E$226</f>
        <v>0</v>
      </c>
      <c r="Y140" s="410">
        <f>'KB 12'!F$226</f>
        <v>0</v>
      </c>
      <c r="Z140" s="410">
        <f>'KB 12'!G$226</f>
        <v>0</v>
      </c>
      <c r="AA140" s="410"/>
      <c r="AB140" s="410">
        <f>'KB 12'!J$236</f>
        <v>0</v>
      </c>
      <c r="AC140" s="410">
        <f>'KB 12'!K$236</f>
        <v>0</v>
      </c>
      <c r="AD140" s="410">
        <f>'KB 12'!L$236</f>
        <v>0</v>
      </c>
      <c r="AE140" s="410">
        <f>'KB 12'!M$236</f>
        <v>0</v>
      </c>
      <c r="AF140" s="410">
        <f>'KB 12'!N$236</f>
        <v>0</v>
      </c>
      <c r="AG140" s="410">
        <f>'KB 12'!O$236</f>
        <v>0</v>
      </c>
    </row>
    <row r="141" spans="1:33" s="412" customFormat="1" ht="3.75" customHeight="1" x14ac:dyDescent="0.15">
      <c r="A141" s="409"/>
      <c r="B141" s="410"/>
      <c r="C141" s="410"/>
      <c r="D141" s="410"/>
      <c r="E141" s="410"/>
      <c r="F141" s="411"/>
      <c r="S141" s="413">
        <f>'KB 12'!I11</f>
        <v>0</v>
      </c>
      <c r="T141" s="413">
        <f>'KB 12'!L11</f>
        <v>0</v>
      </c>
      <c r="U141" s="412">
        <f>'KB 12'!B$264</f>
        <v>0</v>
      </c>
      <c r="V141" s="412">
        <f>'KB 12'!C$264</f>
        <v>0</v>
      </c>
      <c r="W141" s="412">
        <f>'KB 12'!D$264</f>
        <v>0</v>
      </c>
      <c r="X141" s="412">
        <f>'KB 12'!E$264</f>
        <v>0</v>
      </c>
      <c r="Y141" s="412">
        <f>'KB 12'!F$264</f>
        <v>0</v>
      </c>
      <c r="Z141" s="412">
        <f>'KB 12'!G$264</f>
        <v>0</v>
      </c>
      <c r="AB141" s="412">
        <f>'KB 12'!J$274</f>
        <v>0</v>
      </c>
      <c r="AC141" s="412">
        <f>'KB 12'!K$274</f>
        <v>0</v>
      </c>
      <c r="AD141" s="412">
        <f>'KB 12'!L$274</f>
        <v>0</v>
      </c>
      <c r="AE141" s="412">
        <f>'KB 12'!M$274</f>
        <v>0</v>
      </c>
      <c r="AF141" s="412">
        <f>'KB 12'!N$274</f>
        <v>0</v>
      </c>
      <c r="AG141" s="412">
        <f>'KB 12'!O$274</f>
        <v>0</v>
      </c>
    </row>
    <row r="142" spans="1:33" s="412" customFormat="1" ht="3.75" customHeight="1" x14ac:dyDescent="0.15">
      <c r="A142" s="409"/>
      <c r="B142" s="410"/>
      <c r="C142" s="410"/>
      <c r="D142" s="410"/>
      <c r="E142" s="410"/>
      <c r="F142" s="411"/>
      <c r="S142" s="413"/>
      <c r="T142" s="413"/>
      <c r="U142" s="410"/>
      <c r="V142" s="410"/>
      <c r="W142" s="410"/>
      <c r="X142" s="410"/>
      <c r="Y142" s="410"/>
      <c r="Z142" s="410"/>
      <c r="AA142" s="410"/>
    </row>
    <row r="143" spans="1:33" s="412" customFormat="1" ht="3.75" customHeight="1" x14ac:dyDescent="0.15">
      <c r="A143" s="409"/>
      <c r="B143" s="410"/>
      <c r="C143" s="410"/>
      <c r="D143" s="410"/>
      <c r="E143" s="410"/>
      <c r="F143" s="411"/>
      <c r="R143" s="412">
        <v>13</v>
      </c>
      <c r="S143" s="413" t="str">
        <f>'KB 13'!I6</f>
        <v>E detyrueshme</v>
      </c>
      <c r="T143" s="413" t="str">
        <f>'KB 13'!L6</f>
        <v>I veti</v>
      </c>
      <c r="U143" s="412">
        <f>'KB 13'!B$72</f>
        <v>0</v>
      </c>
      <c r="V143" s="412">
        <f>'KB 13'!C$72</f>
        <v>0</v>
      </c>
      <c r="W143" s="412">
        <f>'KB 13'!D$72</f>
        <v>0</v>
      </c>
      <c r="X143" s="412">
        <f>'KB 13'!E$72</f>
        <v>0</v>
      </c>
      <c r="Y143" s="412">
        <f>'KB 13'!F$72</f>
        <v>0</v>
      </c>
      <c r="Z143" s="412">
        <f>'KB 13'!G$72</f>
        <v>0</v>
      </c>
      <c r="AB143" s="412">
        <f>'KB 13'!J$82</f>
        <v>0</v>
      </c>
      <c r="AC143" s="412">
        <f>'KB 13'!K$82</f>
        <v>0</v>
      </c>
      <c r="AD143" s="412">
        <f>'KB 13'!L$82</f>
        <v>0</v>
      </c>
      <c r="AE143" s="412">
        <f>'KB 13'!M$82</f>
        <v>0</v>
      </c>
      <c r="AF143" s="412">
        <f>'KB 13'!N$82</f>
        <v>0</v>
      </c>
      <c r="AG143" s="412">
        <f>'KB 13'!O$82</f>
        <v>0</v>
      </c>
    </row>
    <row r="144" spans="1:33" s="412" customFormat="1" ht="3.75" customHeight="1" x14ac:dyDescent="0.15">
      <c r="A144" s="409"/>
      <c r="B144" s="410"/>
      <c r="C144" s="410"/>
      <c r="D144" s="410"/>
      <c r="E144" s="410"/>
      <c r="F144" s="411"/>
      <c r="S144" s="413" t="str">
        <f>'KB 13'!I7</f>
        <v>E detyrueshme</v>
      </c>
      <c r="T144" s="413" t="str">
        <f>'KB 13'!L7</f>
        <v>I veti</v>
      </c>
      <c r="U144" s="410">
        <f>'KB 13'!B$111</f>
        <v>0</v>
      </c>
      <c r="V144" s="410">
        <f>'KB 13'!C$111</f>
        <v>0</v>
      </c>
      <c r="W144" s="410">
        <f>'KB 13'!D$111</f>
        <v>0</v>
      </c>
      <c r="X144" s="410">
        <f>'KB 13'!E$111</f>
        <v>0</v>
      </c>
      <c r="Y144" s="410">
        <f>'KB 13'!F$111</f>
        <v>0</v>
      </c>
      <c r="Z144" s="410">
        <f>'KB 13'!G$111</f>
        <v>0</v>
      </c>
      <c r="AA144" s="410"/>
      <c r="AB144" s="410">
        <f>'KB 13'!J$121</f>
        <v>0</v>
      </c>
      <c r="AC144" s="410">
        <f>'KB 13'!K$121</f>
        <v>0</v>
      </c>
      <c r="AD144" s="410">
        <f>'KB 13'!L$121</f>
        <v>0</v>
      </c>
      <c r="AE144" s="410">
        <f>'KB 13'!M$121</f>
        <v>0</v>
      </c>
      <c r="AF144" s="410">
        <f>'KB 13'!N$121</f>
        <v>0</v>
      </c>
      <c r="AG144" s="410">
        <f>'KB 13'!O$121</f>
        <v>0</v>
      </c>
    </row>
    <row r="145" spans="1:33" s="412" customFormat="1" ht="3.75" customHeight="1" x14ac:dyDescent="0.15">
      <c r="A145" s="409"/>
      <c r="B145" s="410"/>
      <c r="C145" s="410"/>
      <c r="D145" s="410"/>
      <c r="E145" s="410"/>
      <c r="F145" s="411"/>
      <c r="S145" s="413">
        <f>'KB 13'!I8</f>
        <v>0</v>
      </c>
      <c r="T145" s="413">
        <f>'KB 13'!L8</f>
        <v>0</v>
      </c>
      <c r="U145" s="410">
        <f>'KB 13'!B$150</f>
        <v>0</v>
      </c>
      <c r="V145" s="410">
        <f>'KB 13'!C$150</f>
        <v>0</v>
      </c>
      <c r="W145" s="410">
        <f>'KB 13'!D$150</f>
        <v>0</v>
      </c>
      <c r="X145" s="410">
        <f>'KB 13'!E$150</f>
        <v>0</v>
      </c>
      <c r="Y145" s="410">
        <f>'KB 13'!F$150</f>
        <v>0</v>
      </c>
      <c r="Z145" s="410">
        <f>'KB 13'!G$150</f>
        <v>0</v>
      </c>
      <c r="AA145" s="410"/>
      <c r="AB145" s="410">
        <f>'KB 13'!J$160</f>
        <v>0</v>
      </c>
      <c r="AC145" s="410">
        <f>'KB 13'!K$160</f>
        <v>0</v>
      </c>
      <c r="AD145" s="410">
        <f>'KB 13'!L$160</f>
        <v>0</v>
      </c>
      <c r="AE145" s="410">
        <f>'KB 13'!M$160</f>
        <v>0</v>
      </c>
      <c r="AF145" s="410">
        <f>'KB 13'!N$160</f>
        <v>0</v>
      </c>
      <c r="AG145" s="410">
        <f>'KB 13'!O$160</f>
        <v>0</v>
      </c>
    </row>
    <row r="146" spans="1:33" s="412" customFormat="1" ht="3.75" customHeight="1" x14ac:dyDescent="0.15">
      <c r="A146" s="409"/>
      <c r="B146" s="410"/>
      <c r="C146" s="410"/>
      <c r="D146" s="410"/>
      <c r="E146" s="410"/>
      <c r="F146" s="411"/>
      <c r="S146" s="413">
        <f>'KB 13'!I9</f>
        <v>0</v>
      </c>
      <c r="T146" s="413">
        <f>'KB 13'!L9</f>
        <v>0</v>
      </c>
      <c r="U146" s="410">
        <f>'KB 13'!B$188</f>
        <v>0</v>
      </c>
      <c r="V146" s="410">
        <f>'KB 13'!C$188</f>
        <v>0</v>
      </c>
      <c r="W146" s="410">
        <f>'KB 13'!D$188</f>
        <v>0</v>
      </c>
      <c r="X146" s="410">
        <f>'KB 13'!E$188</f>
        <v>0</v>
      </c>
      <c r="Y146" s="410">
        <f>'KB 13'!F$188</f>
        <v>0</v>
      </c>
      <c r="Z146" s="410">
        <f>'KB 13'!G$188</f>
        <v>0</v>
      </c>
      <c r="AA146" s="410"/>
      <c r="AB146" s="410">
        <f>'KB 13'!J$198</f>
        <v>0</v>
      </c>
      <c r="AC146" s="410">
        <f>'KB 13'!K$198</f>
        <v>0</v>
      </c>
      <c r="AD146" s="410">
        <f>'KB 13'!L$198</f>
        <v>0</v>
      </c>
      <c r="AE146" s="410">
        <f>'KB 13'!M$198</f>
        <v>0</v>
      </c>
      <c r="AF146" s="410">
        <f>'KB 13'!N$198</f>
        <v>0</v>
      </c>
      <c r="AG146" s="410">
        <f>'KB 13'!O$198</f>
        <v>0</v>
      </c>
    </row>
    <row r="147" spans="1:33" s="412" customFormat="1" ht="3.75" customHeight="1" x14ac:dyDescent="0.15">
      <c r="A147" s="409"/>
      <c r="B147" s="410"/>
      <c r="C147" s="410"/>
      <c r="D147" s="410"/>
      <c r="E147" s="410"/>
      <c r="F147" s="411"/>
      <c r="S147" s="413">
        <f>'KB 13'!I10</f>
        <v>0</v>
      </c>
      <c r="T147" s="413">
        <f>'KB 13'!L10</f>
        <v>0</v>
      </c>
      <c r="U147" s="410">
        <f>'KB 13'!B$226</f>
        <v>0</v>
      </c>
      <c r="V147" s="410">
        <f>'KB 13'!C$226</f>
        <v>0</v>
      </c>
      <c r="W147" s="410">
        <f>'KB 13'!D$226</f>
        <v>0</v>
      </c>
      <c r="X147" s="410">
        <f>'KB 13'!E$226</f>
        <v>0</v>
      </c>
      <c r="Y147" s="410">
        <f>'KB 13'!F$226</f>
        <v>0</v>
      </c>
      <c r="Z147" s="410">
        <f>'KB 13'!G$226</f>
        <v>0</v>
      </c>
      <c r="AA147" s="410"/>
      <c r="AB147" s="410">
        <f>'KB 13'!J$236</f>
        <v>0</v>
      </c>
      <c r="AC147" s="410">
        <f>'KB 13'!K$236</f>
        <v>0</v>
      </c>
      <c r="AD147" s="410">
        <f>'KB 13'!L$236</f>
        <v>0</v>
      </c>
      <c r="AE147" s="410">
        <f>'KB 13'!M$236</f>
        <v>0</v>
      </c>
      <c r="AF147" s="410">
        <f>'KB 13'!N$236</f>
        <v>0</v>
      </c>
      <c r="AG147" s="410">
        <f>'KB 13'!O$236</f>
        <v>0</v>
      </c>
    </row>
    <row r="148" spans="1:33" s="412" customFormat="1" ht="3.75" customHeight="1" x14ac:dyDescent="0.15">
      <c r="A148" s="409"/>
      <c r="B148" s="410"/>
      <c r="C148" s="410"/>
      <c r="D148" s="410"/>
      <c r="E148" s="410"/>
      <c r="F148" s="411"/>
      <c r="S148" s="413">
        <f>'KB 13'!I11</f>
        <v>0</v>
      </c>
      <c r="T148" s="413">
        <f>'KB 13'!L11</f>
        <v>0</v>
      </c>
      <c r="U148" s="412">
        <f>'KB 13'!B$264</f>
        <v>0</v>
      </c>
      <c r="V148" s="412">
        <f>'KB 13'!C$264</f>
        <v>0</v>
      </c>
      <c r="W148" s="412">
        <f>'KB 13'!D$264</f>
        <v>0</v>
      </c>
      <c r="X148" s="412">
        <f>'KB 13'!E$264</f>
        <v>0</v>
      </c>
      <c r="Y148" s="412">
        <f>'KB 13'!F$264</f>
        <v>0</v>
      </c>
      <c r="Z148" s="412">
        <f>'KB 13'!G$264</f>
        <v>0</v>
      </c>
      <c r="AB148" s="412">
        <f>'KB 13'!J$274</f>
        <v>0</v>
      </c>
      <c r="AC148" s="412">
        <f>'KB 13'!K$274</f>
        <v>0</v>
      </c>
      <c r="AD148" s="412">
        <f>'KB 13'!L$274</f>
        <v>0</v>
      </c>
      <c r="AE148" s="412">
        <f>'KB 13'!M$274</f>
        <v>0</v>
      </c>
      <c r="AF148" s="412">
        <f>'KB 13'!N$274</f>
        <v>0</v>
      </c>
      <c r="AG148" s="412">
        <f>'KB 13'!O$274</f>
        <v>0</v>
      </c>
    </row>
    <row r="149" spans="1:33" s="412" customFormat="1" ht="3.75" customHeight="1" x14ac:dyDescent="0.15">
      <c r="A149" s="409"/>
      <c r="B149" s="410"/>
      <c r="C149" s="410"/>
      <c r="D149" s="410"/>
      <c r="E149" s="410"/>
      <c r="F149" s="411"/>
      <c r="S149" s="413"/>
      <c r="T149" s="413"/>
      <c r="AB149" s="410"/>
      <c r="AC149" s="410"/>
      <c r="AD149" s="410"/>
      <c r="AE149" s="410"/>
      <c r="AF149" s="410"/>
      <c r="AG149" s="410"/>
    </row>
    <row r="150" spans="1:33" s="412" customFormat="1" ht="3.75" customHeight="1" x14ac:dyDescent="0.15">
      <c r="A150" s="409"/>
      <c r="B150" s="410"/>
      <c r="C150" s="410"/>
      <c r="D150" s="410"/>
      <c r="E150" s="410"/>
      <c r="F150" s="411"/>
      <c r="R150" s="412">
        <v>14</v>
      </c>
      <c r="S150" s="413" t="str">
        <f>'KB 14'!I6</f>
        <v>E detyrueshme</v>
      </c>
      <c r="T150" s="413" t="str">
        <f>'KB 14'!L6</f>
        <v>I veti</v>
      </c>
      <c r="U150" s="412">
        <f>'KB 14'!B$72</f>
        <v>311473</v>
      </c>
      <c r="V150" s="412">
        <f>'KB 14'!C$72</f>
        <v>1379258</v>
      </c>
      <c r="W150" s="412">
        <f>'KB 14'!D$72</f>
        <v>14372555</v>
      </c>
      <c r="X150" s="412">
        <f>'KB 14'!E$72</f>
        <v>0</v>
      </c>
      <c r="Y150" s="412">
        <f>'KB 14'!F$72</f>
        <v>0</v>
      </c>
      <c r="Z150" s="412">
        <f>'KB 14'!G$72</f>
        <v>0</v>
      </c>
      <c r="AB150" s="412">
        <f>'KB 14'!J$82</f>
        <v>26660867</v>
      </c>
      <c r="AC150" s="412">
        <f>'KB 14'!K$82</f>
        <v>0</v>
      </c>
      <c r="AD150" s="412">
        <f>'KB 14'!L$82</f>
        <v>64885000</v>
      </c>
      <c r="AE150" s="412">
        <f>'KB 14'!M$82</f>
        <v>0</v>
      </c>
      <c r="AF150" s="412">
        <f>'KB 14'!N$82</f>
        <v>0</v>
      </c>
      <c r="AG150" s="412">
        <f>'KB 14'!O$82</f>
        <v>0</v>
      </c>
    </row>
    <row r="151" spans="1:33" s="412" customFormat="1" ht="3.75" customHeight="1" x14ac:dyDescent="0.15">
      <c r="A151" s="409"/>
      <c r="B151" s="410"/>
      <c r="C151" s="410"/>
      <c r="D151" s="410"/>
      <c r="E151" s="410"/>
      <c r="F151" s="411"/>
      <c r="S151" s="413" t="str">
        <f>'KB 14'!I7</f>
        <v>E detyrueshme</v>
      </c>
      <c r="T151" s="413" t="str">
        <f>'KB 14'!L7</f>
        <v>I veti</v>
      </c>
      <c r="U151" s="410">
        <f>'KB 14'!B$111</f>
        <v>0</v>
      </c>
      <c r="V151" s="410">
        <f>'KB 14'!C$111</f>
        <v>0</v>
      </c>
      <c r="W151" s="410">
        <f>'KB 14'!D$111</f>
        <v>0</v>
      </c>
      <c r="X151" s="410">
        <f>'KB 14'!E$111</f>
        <v>0</v>
      </c>
      <c r="Y151" s="410">
        <f>'KB 14'!F$111</f>
        <v>0</v>
      </c>
      <c r="Z151" s="410">
        <f>'KB 14'!G$111</f>
        <v>0</v>
      </c>
      <c r="AA151" s="410"/>
      <c r="AB151" s="410">
        <f>'KB 14'!J$121</f>
        <v>0</v>
      </c>
      <c r="AC151" s="410">
        <f>'KB 14'!K$121</f>
        <v>0</v>
      </c>
      <c r="AD151" s="410">
        <f>'KB 14'!L$121</f>
        <v>0</v>
      </c>
      <c r="AE151" s="410">
        <f>'KB 14'!M$121</f>
        <v>0</v>
      </c>
      <c r="AF151" s="410">
        <f>'KB 14'!N$121</f>
        <v>0</v>
      </c>
      <c r="AG151" s="410">
        <f>'KB 14'!O$121</f>
        <v>0</v>
      </c>
    </row>
    <row r="152" spans="1:33" s="412" customFormat="1" ht="3.75" customHeight="1" x14ac:dyDescent="0.15">
      <c r="A152" s="409"/>
      <c r="B152" s="410"/>
      <c r="C152" s="410"/>
      <c r="D152" s="410"/>
      <c r="E152" s="410"/>
      <c r="F152" s="411"/>
      <c r="S152" s="413">
        <f>'KB 14'!I8</f>
        <v>0</v>
      </c>
      <c r="T152" s="413">
        <f>'KB 14'!L8</f>
        <v>0</v>
      </c>
      <c r="U152" s="410">
        <f>'KB 14'!B$150</f>
        <v>0</v>
      </c>
      <c r="V152" s="410">
        <f>'KB 14'!C$150</f>
        <v>0</v>
      </c>
      <c r="W152" s="410">
        <f>'KB 14'!D$150</f>
        <v>0</v>
      </c>
      <c r="X152" s="410">
        <f>'KB 14'!E$150</f>
        <v>0</v>
      </c>
      <c r="Y152" s="410">
        <f>'KB 14'!F$150</f>
        <v>0</v>
      </c>
      <c r="Z152" s="410">
        <f>'KB 14'!G$150</f>
        <v>0</v>
      </c>
      <c r="AA152" s="410"/>
      <c r="AB152" s="410">
        <f>'KB 14'!J$160</f>
        <v>0</v>
      </c>
      <c r="AC152" s="410">
        <f>'KB 14'!K$160</f>
        <v>0</v>
      </c>
      <c r="AD152" s="410">
        <f>'KB 14'!L$160</f>
        <v>0</v>
      </c>
      <c r="AE152" s="410">
        <f>'KB 14'!M$160</f>
        <v>0</v>
      </c>
      <c r="AF152" s="410">
        <f>'KB 14'!N$160</f>
        <v>0</v>
      </c>
      <c r="AG152" s="410">
        <f>'KB 14'!O$160</f>
        <v>0</v>
      </c>
    </row>
    <row r="153" spans="1:33" s="412" customFormat="1" ht="3.75" customHeight="1" x14ac:dyDescent="0.15">
      <c r="A153" s="409"/>
      <c r="B153" s="410"/>
      <c r="C153" s="410"/>
      <c r="D153" s="410"/>
      <c r="E153" s="410"/>
      <c r="F153" s="411"/>
      <c r="S153" s="413">
        <f>'KB 14'!I9</f>
        <v>0</v>
      </c>
      <c r="T153" s="413">
        <f>'KB 14'!L9</f>
        <v>0</v>
      </c>
      <c r="U153" s="410">
        <f>'KB 14'!B$188</f>
        <v>0</v>
      </c>
      <c r="V153" s="410">
        <f>'KB 14'!C$188</f>
        <v>0</v>
      </c>
      <c r="W153" s="410">
        <f>'KB 14'!D$188</f>
        <v>0</v>
      </c>
      <c r="X153" s="410">
        <f>'KB 14'!E$188</f>
        <v>0</v>
      </c>
      <c r="Y153" s="410">
        <f>'KB 14'!F$188</f>
        <v>0</v>
      </c>
      <c r="Z153" s="410">
        <f>'KB 14'!G$188</f>
        <v>0</v>
      </c>
      <c r="AA153" s="410"/>
      <c r="AB153" s="410">
        <f>'KB 14'!J$198</f>
        <v>0</v>
      </c>
      <c r="AC153" s="410">
        <f>'KB 14'!K$198</f>
        <v>0</v>
      </c>
      <c r="AD153" s="410">
        <f>'KB 14'!L$198</f>
        <v>0</v>
      </c>
      <c r="AE153" s="410">
        <f>'KB 14'!M$198</f>
        <v>0</v>
      </c>
      <c r="AF153" s="410">
        <f>'KB 14'!N$198</f>
        <v>0</v>
      </c>
      <c r="AG153" s="410">
        <f>'KB 14'!O$198</f>
        <v>0</v>
      </c>
    </row>
    <row r="154" spans="1:33" s="412" customFormat="1" ht="3.75" customHeight="1" x14ac:dyDescent="0.15">
      <c r="A154" s="409"/>
      <c r="B154" s="410"/>
      <c r="C154" s="410"/>
      <c r="D154" s="410"/>
      <c r="E154" s="410"/>
      <c r="F154" s="411"/>
      <c r="S154" s="413">
        <f>'KB 14'!I10</f>
        <v>0</v>
      </c>
      <c r="T154" s="413">
        <f>'KB 14'!L10</f>
        <v>0</v>
      </c>
      <c r="U154" s="410">
        <f>'KB 14'!B$226</f>
        <v>0</v>
      </c>
      <c r="V154" s="410">
        <f>'KB 14'!C$226</f>
        <v>0</v>
      </c>
      <c r="W154" s="410">
        <f>'KB 14'!D$226</f>
        <v>0</v>
      </c>
      <c r="X154" s="410">
        <f>'KB 14'!E$226</f>
        <v>0</v>
      </c>
      <c r="Y154" s="410">
        <f>'KB 14'!F$226</f>
        <v>0</v>
      </c>
      <c r="Z154" s="410">
        <f>'KB 14'!G$226</f>
        <v>0</v>
      </c>
      <c r="AA154" s="410"/>
      <c r="AB154" s="410">
        <f>'KB 14'!J$236</f>
        <v>0</v>
      </c>
      <c r="AC154" s="410">
        <f>'KB 14'!K$236</f>
        <v>0</v>
      </c>
      <c r="AD154" s="410">
        <f>'KB 14'!L$236</f>
        <v>0</v>
      </c>
      <c r="AE154" s="410">
        <f>'KB 14'!M$236</f>
        <v>0</v>
      </c>
      <c r="AF154" s="410">
        <f>'KB 14'!N$236</f>
        <v>0</v>
      </c>
      <c r="AG154" s="410">
        <f>'KB 14'!O$236</f>
        <v>0</v>
      </c>
    </row>
    <row r="155" spans="1:33" s="412" customFormat="1" ht="3.75" customHeight="1" x14ac:dyDescent="0.15">
      <c r="A155" s="409"/>
      <c r="B155" s="410"/>
      <c r="C155" s="410"/>
      <c r="D155" s="410"/>
      <c r="E155" s="410"/>
      <c r="F155" s="411"/>
      <c r="S155" s="413">
        <f>'KB 14'!I11</f>
        <v>0</v>
      </c>
      <c r="T155" s="413">
        <f>'KB 14'!L11</f>
        <v>0</v>
      </c>
      <c r="U155" s="412">
        <f>'KB 14'!B$264</f>
        <v>0</v>
      </c>
      <c r="V155" s="412">
        <f>'KB 14'!C$264</f>
        <v>0</v>
      </c>
      <c r="W155" s="412">
        <f>'KB 14'!D$264</f>
        <v>0</v>
      </c>
      <c r="X155" s="412">
        <f>'KB 14'!E$264</f>
        <v>0</v>
      </c>
      <c r="Y155" s="412">
        <f>'KB 14'!F$264</f>
        <v>0</v>
      </c>
      <c r="Z155" s="412">
        <f>'KB 14'!G$264</f>
        <v>0</v>
      </c>
      <c r="AB155" s="412">
        <f>'KB 14'!J$274</f>
        <v>0</v>
      </c>
      <c r="AC155" s="412">
        <f>'KB 14'!K$274</f>
        <v>0</v>
      </c>
      <c r="AD155" s="412">
        <f>'KB 14'!L$274</f>
        <v>0</v>
      </c>
      <c r="AE155" s="412">
        <f>'KB 14'!M$274</f>
        <v>0</v>
      </c>
      <c r="AF155" s="412">
        <f>'KB 14'!N$274</f>
        <v>0</v>
      </c>
      <c r="AG155" s="412">
        <f>'KB 14'!O$274</f>
        <v>0</v>
      </c>
    </row>
    <row r="156" spans="1:33" s="412" customFormat="1" ht="3.75" customHeight="1" x14ac:dyDescent="0.15">
      <c r="A156" s="409"/>
      <c r="B156" s="410"/>
      <c r="C156" s="410"/>
      <c r="D156" s="410"/>
      <c r="E156" s="410"/>
      <c r="F156" s="411"/>
      <c r="S156" s="413"/>
      <c r="T156" s="413"/>
      <c r="U156" s="410"/>
      <c r="V156" s="410"/>
      <c r="W156" s="410"/>
      <c r="X156" s="410"/>
      <c r="Y156" s="410"/>
      <c r="Z156" s="410"/>
      <c r="AA156" s="410"/>
      <c r="AB156" s="410"/>
      <c r="AC156" s="410"/>
      <c r="AD156" s="410"/>
      <c r="AE156" s="410"/>
      <c r="AF156" s="410"/>
      <c r="AG156" s="410"/>
    </row>
    <row r="157" spans="1:33" s="412" customFormat="1" ht="3.75" customHeight="1" x14ac:dyDescent="0.15">
      <c r="A157" s="409"/>
      <c r="B157" s="410"/>
      <c r="C157" s="410"/>
      <c r="D157" s="410"/>
      <c r="E157" s="410"/>
      <c r="F157" s="411"/>
      <c r="R157" s="412">
        <v>15</v>
      </c>
      <c r="S157" s="413" t="str">
        <f>'KB 15'!I6</f>
        <v>E detyrueshme</v>
      </c>
      <c r="T157" s="413" t="str">
        <f>'KB 15'!L6</f>
        <v>I veti</v>
      </c>
      <c r="U157" s="412">
        <f>'KB 15'!B$72</f>
        <v>0</v>
      </c>
      <c r="V157" s="412">
        <f>'KB 15'!C$72</f>
        <v>0</v>
      </c>
      <c r="W157" s="412">
        <f>'KB 15'!D$72</f>
        <v>0</v>
      </c>
      <c r="X157" s="412">
        <f>'KB 15'!E$72</f>
        <v>0</v>
      </c>
      <c r="Y157" s="412">
        <f>'KB 15'!F$72</f>
        <v>0</v>
      </c>
      <c r="Z157" s="412">
        <f>'KB 15'!G$72</f>
        <v>0</v>
      </c>
      <c r="AB157" s="412">
        <f>'KB 15'!J$82</f>
        <v>0</v>
      </c>
      <c r="AC157" s="412">
        <f>'KB 15'!K$82</f>
        <v>0</v>
      </c>
      <c r="AD157" s="412">
        <f>'KB 15'!L$82</f>
        <v>0</v>
      </c>
      <c r="AE157" s="412">
        <f>'KB 15'!M$82</f>
        <v>0</v>
      </c>
      <c r="AF157" s="412">
        <f>'KB 15'!N$82</f>
        <v>0</v>
      </c>
      <c r="AG157" s="412">
        <f>'KB 15'!O$82</f>
        <v>0</v>
      </c>
    </row>
    <row r="158" spans="1:33" s="412" customFormat="1" ht="3.75" customHeight="1" x14ac:dyDescent="0.15">
      <c r="A158" s="409"/>
      <c r="B158" s="410"/>
      <c r="C158" s="410"/>
      <c r="D158" s="410"/>
      <c r="E158" s="410"/>
      <c r="F158" s="411"/>
      <c r="S158" s="413" t="str">
        <f>'KB 15'!I7</f>
        <v>E detyrueshme</v>
      </c>
      <c r="T158" s="413" t="str">
        <f>'KB 15'!L7</f>
        <v>I veti</v>
      </c>
      <c r="U158" s="410">
        <f>'KB 15'!B$111</f>
        <v>48731493</v>
      </c>
      <c r="V158" s="410">
        <f>'KB 15'!C$111</f>
        <v>72282837</v>
      </c>
      <c r="W158" s="410">
        <f>'KB 15'!D$111</f>
        <v>193698859</v>
      </c>
      <c r="X158" s="410">
        <f>'KB 15'!E$111</f>
        <v>99335900</v>
      </c>
      <c r="Y158" s="410">
        <f>'KB 15'!F$111</f>
        <v>102823000</v>
      </c>
      <c r="Z158" s="410">
        <f>'KB 15'!G$111</f>
        <v>106667600</v>
      </c>
      <c r="AA158" s="410"/>
      <c r="AB158" s="410">
        <f>'KB 15'!J$121</f>
        <v>42162659</v>
      </c>
      <c r="AC158" s="410">
        <f>'KB 15'!K$121</f>
        <v>43143981</v>
      </c>
      <c r="AD158" s="410">
        <f>'KB 15'!L$121</f>
        <v>75000000</v>
      </c>
      <c r="AE158" s="410">
        <f>'KB 15'!M$121</f>
        <v>72695639</v>
      </c>
      <c r="AF158" s="410">
        <f>'KB 15'!N$121</f>
        <v>73722128</v>
      </c>
      <c r="AG158" s="410">
        <f>'KB 15'!O$121</f>
        <v>74827960</v>
      </c>
    </row>
    <row r="159" spans="1:33" s="412" customFormat="1" ht="3.75" customHeight="1" x14ac:dyDescent="0.15">
      <c r="A159" s="409" t="e">
        <f>#REF!</f>
        <v>#REF!</v>
      </c>
      <c r="B159" s="410" t="e">
        <f>#REF!</f>
        <v>#REF!</v>
      </c>
      <c r="C159" s="410" t="e">
        <f>#REF!</f>
        <v>#REF!</v>
      </c>
      <c r="D159" s="410" t="e">
        <f>#REF!</f>
        <v>#REF!</v>
      </c>
      <c r="E159" s="410" t="e">
        <f>#REF!</f>
        <v>#REF!</v>
      </c>
      <c r="F159" s="411"/>
      <c r="S159" s="413">
        <f>'KB 15'!I8</f>
        <v>0</v>
      </c>
      <c r="T159" s="413">
        <f>'KB 15'!L8</f>
        <v>0</v>
      </c>
      <c r="U159" s="410">
        <f>'KB 15'!B$150</f>
        <v>0</v>
      </c>
      <c r="V159" s="410">
        <f>'KB 15'!C$150</f>
        <v>0</v>
      </c>
      <c r="W159" s="410">
        <f>'KB 15'!D$150</f>
        <v>0</v>
      </c>
      <c r="X159" s="410">
        <f>'KB 15'!E$150</f>
        <v>0</v>
      </c>
      <c r="Y159" s="410">
        <f>'KB 15'!F$150</f>
        <v>0</v>
      </c>
      <c r="Z159" s="410">
        <f>'KB 15'!G$150</f>
        <v>0</v>
      </c>
      <c r="AA159" s="410"/>
      <c r="AB159" s="410">
        <f>'KB 15'!J$160</f>
        <v>0</v>
      </c>
      <c r="AC159" s="410">
        <f>'KB 15'!K$160</f>
        <v>0</v>
      </c>
      <c r="AD159" s="410">
        <f>'KB 15'!L$160</f>
        <v>0</v>
      </c>
      <c r="AE159" s="410">
        <f>'KB 15'!M$160</f>
        <v>0</v>
      </c>
      <c r="AF159" s="410">
        <f>'KB 15'!N$160</f>
        <v>0</v>
      </c>
      <c r="AG159" s="410">
        <f>'KB 15'!O$160</f>
        <v>0</v>
      </c>
    </row>
    <row r="160" spans="1:33" s="412" customFormat="1" ht="3.75" customHeight="1" x14ac:dyDescent="0.15">
      <c r="A160" s="409" t="e">
        <f>#REF!</f>
        <v>#REF!</v>
      </c>
      <c r="B160" s="410" t="e">
        <f>#REF!</f>
        <v>#REF!</v>
      </c>
      <c r="C160" s="410" t="e">
        <f>#REF!</f>
        <v>#REF!</v>
      </c>
      <c r="D160" s="410" t="e">
        <f>#REF!</f>
        <v>#REF!</v>
      </c>
      <c r="E160" s="410" t="e">
        <f>#REF!</f>
        <v>#REF!</v>
      </c>
      <c r="F160" s="411"/>
      <c r="S160" s="413">
        <f>'KB 15'!I9</f>
        <v>0</v>
      </c>
      <c r="T160" s="413">
        <f>'KB 15'!L9</f>
        <v>0</v>
      </c>
      <c r="U160" s="410">
        <f>'KB 15'!B$188</f>
        <v>0</v>
      </c>
      <c r="V160" s="410">
        <f>'KB 15'!C$188</f>
        <v>0</v>
      </c>
      <c r="W160" s="410">
        <f>'KB 15'!D$188</f>
        <v>0</v>
      </c>
      <c r="X160" s="410">
        <f>'KB 15'!E$188</f>
        <v>0</v>
      </c>
      <c r="Y160" s="410">
        <f>'KB 15'!F$188</f>
        <v>0</v>
      </c>
      <c r="Z160" s="410">
        <f>'KB 15'!G$188</f>
        <v>0</v>
      </c>
      <c r="AA160" s="410"/>
      <c r="AB160" s="410">
        <f>'KB 15'!J$198</f>
        <v>0</v>
      </c>
      <c r="AC160" s="410">
        <f>'KB 15'!K$198</f>
        <v>0</v>
      </c>
      <c r="AD160" s="410">
        <f>'KB 15'!L$198</f>
        <v>0</v>
      </c>
      <c r="AE160" s="410">
        <f>'KB 15'!M$198</f>
        <v>0</v>
      </c>
      <c r="AF160" s="410">
        <f>'KB 15'!N$198</f>
        <v>0</v>
      </c>
      <c r="AG160" s="410">
        <f>'KB 15'!O$198</f>
        <v>0</v>
      </c>
    </row>
    <row r="161" spans="1:33" s="412" customFormat="1" ht="3.75" customHeight="1" x14ac:dyDescent="0.15">
      <c r="A161" s="409" t="e">
        <f>#REF!</f>
        <v>#REF!</v>
      </c>
      <c r="B161" s="410" t="e">
        <f>#REF!</f>
        <v>#REF!</v>
      </c>
      <c r="C161" s="410" t="e">
        <f>#REF!</f>
        <v>#REF!</v>
      </c>
      <c r="D161" s="410" t="e">
        <f>#REF!</f>
        <v>#REF!</v>
      </c>
      <c r="E161" s="410" t="e">
        <f>#REF!</f>
        <v>#REF!</v>
      </c>
      <c r="F161" s="411"/>
      <c r="S161" s="413">
        <f>'KB 15'!I10</f>
        <v>0</v>
      </c>
      <c r="T161" s="413">
        <f>'KB 15'!L10</f>
        <v>0</v>
      </c>
      <c r="U161" s="410">
        <f>'KB 15'!B$226</f>
        <v>0</v>
      </c>
      <c r="V161" s="410">
        <f>'KB 15'!C$226</f>
        <v>0</v>
      </c>
      <c r="W161" s="410">
        <f>'KB 15'!D$226</f>
        <v>0</v>
      </c>
      <c r="X161" s="410">
        <f>'KB 15'!E$226</f>
        <v>0</v>
      </c>
      <c r="Y161" s="410">
        <f>'KB 15'!F$226</f>
        <v>0</v>
      </c>
      <c r="Z161" s="410">
        <f>'KB 15'!G$226</f>
        <v>0</v>
      </c>
      <c r="AA161" s="410"/>
      <c r="AB161" s="410">
        <f>'KB 15'!J$236</f>
        <v>0</v>
      </c>
      <c r="AC161" s="410">
        <f>'KB 15'!K$236</f>
        <v>0</v>
      </c>
      <c r="AD161" s="410">
        <f>'KB 15'!L$236</f>
        <v>0</v>
      </c>
      <c r="AE161" s="410">
        <f>'KB 15'!M$236</f>
        <v>0</v>
      </c>
      <c r="AF161" s="410">
        <f>'KB 15'!N$236</f>
        <v>0</v>
      </c>
      <c r="AG161" s="410">
        <f>'KB 15'!O$236</f>
        <v>0</v>
      </c>
    </row>
    <row r="162" spans="1:33" s="412" customFormat="1" ht="3.75" customHeight="1" x14ac:dyDescent="0.15">
      <c r="A162" s="409" t="e">
        <f>#REF!</f>
        <v>#REF!</v>
      </c>
      <c r="B162" s="410" t="e">
        <f>#REF!</f>
        <v>#REF!</v>
      </c>
      <c r="C162" s="410" t="e">
        <f>#REF!</f>
        <v>#REF!</v>
      </c>
      <c r="D162" s="410" t="e">
        <f>#REF!</f>
        <v>#REF!</v>
      </c>
      <c r="E162" s="410" t="e">
        <f>#REF!</f>
        <v>#REF!</v>
      </c>
      <c r="F162" s="411"/>
      <c r="S162" s="413">
        <f>'KB 15'!I11</f>
        <v>0</v>
      </c>
      <c r="T162" s="413">
        <f>'KB 15'!L11</f>
        <v>0</v>
      </c>
      <c r="U162" s="412">
        <f>'KB 15'!B$264</f>
        <v>0</v>
      </c>
      <c r="V162" s="412">
        <f>'KB 15'!C$264</f>
        <v>0</v>
      </c>
      <c r="W162" s="412">
        <f>'KB 15'!D$264</f>
        <v>0</v>
      </c>
      <c r="X162" s="412">
        <f>'KB 15'!E$264</f>
        <v>0</v>
      </c>
      <c r="Y162" s="412">
        <f>'KB 15'!F$264</f>
        <v>0</v>
      </c>
      <c r="Z162" s="412">
        <f>'KB 15'!G$264</f>
        <v>0</v>
      </c>
      <c r="AB162" s="412">
        <f>'KB 15'!J$274</f>
        <v>0</v>
      </c>
      <c r="AC162" s="412">
        <f>'KB 15'!K$274</f>
        <v>0</v>
      </c>
      <c r="AD162" s="412">
        <f>'KB 15'!L$274</f>
        <v>0</v>
      </c>
      <c r="AE162" s="412">
        <f>'KB 15'!M$274</f>
        <v>0</v>
      </c>
      <c r="AF162" s="412">
        <f>'KB 15'!N$274</f>
        <v>0</v>
      </c>
      <c r="AG162" s="412">
        <f>'KB 15'!O$274</f>
        <v>0</v>
      </c>
    </row>
    <row r="163" spans="1:33" s="412" customFormat="1" ht="3.75" customHeight="1" x14ac:dyDescent="0.15">
      <c r="A163" s="409" t="e">
        <f>#REF!</f>
        <v>#REF!</v>
      </c>
      <c r="B163" s="410" t="e">
        <f>#REF!</f>
        <v>#REF!</v>
      </c>
      <c r="C163" s="410" t="e">
        <f>#REF!</f>
        <v>#REF!</v>
      </c>
      <c r="D163" s="410" t="e">
        <f>#REF!</f>
        <v>#REF!</v>
      </c>
      <c r="E163" s="410" t="e">
        <f>#REF!</f>
        <v>#REF!</v>
      </c>
      <c r="F163" s="411"/>
      <c r="S163" s="413"/>
      <c r="T163" s="413"/>
      <c r="U163" s="410"/>
      <c r="V163" s="410"/>
      <c r="W163" s="410"/>
      <c r="X163" s="410"/>
      <c r="Y163" s="410"/>
      <c r="Z163" s="410"/>
      <c r="AA163" s="410"/>
      <c r="AB163" s="410"/>
      <c r="AC163" s="410"/>
      <c r="AD163" s="410"/>
      <c r="AE163" s="410"/>
      <c r="AF163" s="410"/>
      <c r="AG163" s="410"/>
    </row>
    <row r="164" spans="1:33" s="412" customFormat="1" ht="3.75" customHeight="1" x14ac:dyDescent="0.15">
      <c r="A164" s="409" t="e">
        <f>#REF!</f>
        <v>#REF!</v>
      </c>
      <c r="B164" s="410" t="e">
        <f>#REF!</f>
        <v>#REF!</v>
      </c>
      <c r="C164" s="410" t="e">
        <f>#REF!</f>
        <v>#REF!</v>
      </c>
      <c r="D164" s="410" t="e">
        <f>#REF!</f>
        <v>#REF!</v>
      </c>
      <c r="E164" s="410" t="e">
        <f>#REF!</f>
        <v>#REF!</v>
      </c>
      <c r="F164" s="411"/>
      <c r="R164" s="412">
        <v>16</v>
      </c>
      <c r="S164" s="413" t="str">
        <f>'KB 16'!I6</f>
        <v>E detyrueshme</v>
      </c>
      <c r="T164" s="413" t="str">
        <f>'KB 16'!L6</f>
        <v>I veti</v>
      </c>
      <c r="U164" s="412">
        <f>'KB 16'!B$72</f>
        <v>11999999</v>
      </c>
      <c r="V164" s="412">
        <f>'KB 16'!C$72</f>
        <v>272714</v>
      </c>
      <c r="W164" s="412">
        <f>'KB 16'!D$72</f>
        <v>59359820</v>
      </c>
      <c r="X164" s="412">
        <f>'KB 16'!E$72</f>
        <v>0</v>
      </c>
      <c r="Y164" s="412">
        <f>'KB 16'!F$72</f>
        <v>0</v>
      </c>
      <c r="Z164" s="412">
        <f>'KB 16'!G$72</f>
        <v>0</v>
      </c>
      <c r="AB164" s="412">
        <f>'KB 16'!J$82</f>
        <v>0</v>
      </c>
      <c r="AC164" s="412">
        <f>'KB 16'!K$82</f>
        <v>0</v>
      </c>
      <c r="AD164" s="412">
        <f>'KB 16'!L$82</f>
        <v>0</v>
      </c>
      <c r="AE164" s="412">
        <f>'KB 16'!M$82</f>
        <v>0</v>
      </c>
      <c r="AF164" s="412">
        <f>'KB 16'!N$82</f>
        <v>0</v>
      </c>
      <c r="AG164" s="412">
        <f>'KB 16'!O$82</f>
        <v>0</v>
      </c>
    </row>
    <row r="165" spans="1:33" s="412" customFormat="1" ht="3.75" customHeight="1" x14ac:dyDescent="0.15">
      <c r="A165" s="409" t="e">
        <f>#REF!</f>
        <v>#REF!</v>
      </c>
      <c r="B165" s="410" t="e">
        <f>#REF!</f>
        <v>#REF!</v>
      </c>
      <c r="C165" s="410" t="e">
        <f>#REF!</f>
        <v>#REF!</v>
      </c>
      <c r="D165" s="410" t="e">
        <f>#REF!</f>
        <v>#REF!</v>
      </c>
      <c r="E165" s="410" t="e">
        <f>#REF!</f>
        <v>#REF!</v>
      </c>
      <c r="F165" s="411"/>
      <c r="S165" s="413">
        <f>'KB 16'!I7</f>
        <v>0</v>
      </c>
      <c r="T165" s="413">
        <f>'KB 16'!L7</f>
        <v>0</v>
      </c>
      <c r="U165" s="410">
        <f>'KB 16'!B$111</f>
        <v>0</v>
      </c>
      <c r="V165" s="410">
        <f>'KB 16'!C$111</f>
        <v>0</v>
      </c>
      <c r="W165" s="410">
        <f>'KB 16'!D$111</f>
        <v>0</v>
      </c>
      <c r="X165" s="410">
        <f>'KB 16'!E$111</f>
        <v>0</v>
      </c>
      <c r="Y165" s="410">
        <f>'KB 16'!F$111</f>
        <v>0</v>
      </c>
      <c r="Z165" s="410">
        <f>'KB 16'!G$111</f>
        <v>0</v>
      </c>
      <c r="AA165" s="410"/>
      <c r="AB165" s="410">
        <f>'KB 16'!J$121</f>
        <v>0</v>
      </c>
      <c r="AC165" s="410">
        <f>'KB 16'!K$121</f>
        <v>0</v>
      </c>
      <c r="AD165" s="410">
        <f>'KB 16'!L$121</f>
        <v>0</v>
      </c>
      <c r="AE165" s="410">
        <f>'KB 16'!M$121</f>
        <v>0</v>
      </c>
      <c r="AF165" s="410">
        <f>'KB 16'!N$121</f>
        <v>0</v>
      </c>
      <c r="AG165" s="410">
        <f>'KB 16'!O$121</f>
        <v>0</v>
      </c>
    </row>
    <row r="166" spans="1:33" s="412" customFormat="1" ht="3.75" customHeight="1" x14ac:dyDescent="0.15">
      <c r="A166" s="409" t="e">
        <f>#REF!</f>
        <v>#REF!</v>
      </c>
      <c r="B166" s="410" t="e">
        <f>#REF!</f>
        <v>#REF!</v>
      </c>
      <c r="C166" s="410" t="e">
        <f>#REF!</f>
        <v>#REF!</v>
      </c>
      <c r="D166" s="410" t="e">
        <f>#REF!</f>
        <v>#REF!</v>
      </c>
      <c r="E166" s="410" t="e">
        <f>#REF!</f>
        <v>#REF!</v>
      </c>
      <c r="F166" s="411"/>
      <c r="S166" s="413">
        <f>'KB 16'!I8</f>
        <v>0</v>
      </c>
      <c r="T166" s="413">
        <f>'KB 16'!L8</f>
        <v>0</v>
      </c>
      <c r="U166" s="410">
        <f>'KB 16'!B$150</f>
        <v>0</v>
      </c>
      <c r="V166" s="410">
        <f>'KB 16'!C$150</f>
        <v>0</v>
      </c>
      <c r="W166" s="410">
        <f>'KB 16'!D$150</f>
        <v>0</v>
      </c>
      <c r="X166" s="410">
        <f>'KB 16'!E$150</f>
        <v>0</v>
      </c>
      <c r="Y166" s="410">
        <f>'KB 16'!F$150</f>
        <v>0</v>
      </c>
      <c r="Z166" s="410">
        <f>'KB 16'!G$150</f>
        <v>0</v>
      </c>
      <c r="AA166" s="410"/>
      <c r="AB166" s="410">
        <f>'KB 16'!J$160</f>
        <v>0</v>
      </c>
      <c r="AC166" s="410">
        <f>'KB 16'!K$160</f>
        <v>0</v>
      </c>
      <c r="AD166" s="410">
        <f>'KB 16'!L$160</f>
        <v>0</v>
      </c>
      <c r="AE166" s="410">
        <f>'KB 16'!M$160</f>
        <v>0</v>
      </c>
      <c r="AF166" s="410">
        <f>'KB 16'!N$160</f>
        <v>0</v>
      </c>
      <c r="AG166" s="410">
        <f>'KB 16'!O$160</f>
        <v>0</v>
      </c>
    </row>
    <row r="167" spans="1:33" s="412" customFormat="1" ht="3.75" customHeight="1" x14ac:dyDescent="0.15">
      <c r="A167" s="409" t="e">
        <f>#REF!</f>
        <v>#REF!</v>
      </c>
      <c r="B167" s="410" t="e">
        <f>#REF!</f>
        <v>#REF!</v>
      </c>
      <c r="C167" s="410" t="e">
        <f>#REF!</f>
        <v>#REF!</v>
      </c>
      <c r="D167" s="410" t="e">
        <f>#REF!</f>
        <v>#REF!</v>
      </c>
      <c r="E167" s="410" t="e">
        <f>#REF!</f>
        <v>#REF!</v>
      </c>
      <c r="F167" s="411"/>
      <c r="S167" s="413">
        <f>'KB 16'!I9</f>
        <v>0</v>
      </c>
      <c r="T167" s="413">
        <f>'KB 16'!L9</f>
        <v>0</v>
      </c>
      <c r="U167" s="410">
        <f>'KB 16'!B$188</f>
        <v>0</v>
      </c>
      <c r="V167" s="410">
        <f>'KB 16'!C$188</f>
        <v>0</v>
      </c>
      <c r="W167" s="410">
        <f>'KB 16'!D$188</f>
        <v>0</v>
      </c>
      <c r="X167" s="410">
        <f>'KB 16'!E$188</f>
        <v>0</v>
      </c>
      <c r="Y167" s="410">
        <f>'KB 16'!F$188</f>
        <v>0</v>
      </c>
      <c r="Z167" s="410">
        <f>'KB 16'!G$188</f>
        <v>0</v>
      </c>
      <c r="AA167" s="410"/>
      <c r="AB167" s="410">
        <f>'KB 16'!J$198</f>
        <v>0</v>
      </c>
      <c r="AC167" s="410">
        <f>'KB 16'!K$198</f>
        <v>0</v>
      </c>
      <c r="AD167" s="410">
        <f>'KB 16'!L$198</f>
        <v>0</v>
      </c>
      <c r="AE167" s="410">
        <f>'KB 16'!M$198</f>
        <v>0</v>
      </c>
      <c r="AF167" s="410">
        <f>'KB 16'!N$198</f>
        <v>0</v>
      </c>
      <c r="AG167" s="410">
        <f>'KB 16'!O$198</f>
        <v>0</v>
      </c>
    </row>
    <row r="168" spans="1:33" s="412" customFormat="1" ht="3.75" customHeight="1" x14ac:dyDescent="0.15">
      <c r="A168" s="409" t="e">
        <f>#REF!</f>
        <v>#REF!</v>
      </c>
      <c r="B168" s="410" t="e">
        <f>#REF!</f>
        <v>#REF!</v>
      </c>
      <c r="C168" s="410" t="e">
        <f>#REF!</f>
        <v>#REF!</v>
      </c>
      <c r="D168" s="410" t="e">
        <f>#REF!</f>
        <v>#REF!</v>
      </c>
      <c r="E168" s="410" t="e">
        <f>#REF!</f>
        <v>#REF!</v>
      </c>
      <c r="F168" s="411"/>
      <c r="S168" s="413">
        <f>'KB 16'!I10</f>
        <v>0</v>
      </c>
      <c r="T168" s="413">
        <f>'KB 16'!L10</f>
        <v>0</v>
      </c>
      <c r="U168" s="410">
        <f>'KB 16'!B$226</f>
        <v>0</v>
      </c>
      <c r="V168" s="410">
        <f>'KB 16'!C$226</f>
        <v>0</v>
      </c>
      <c r="W168" s="410">
        <f>'KB 16'!D$226</f>
        <v>0</v>
      </c>
      <c r="X168" s="410">
        <f>'KB 16'!E$226</f>
        <v>0</v>
      </c>
      <c r="Y168" s="410">
        <f>'KB 16'!F$226</f>
        <v>0</v>
      </c>
      <c r="Z168" s="410">
        <f>'KB 16'!G$226</f>
        <v>0</v>
      </c>
      <c r="AA168" s="410"/>
      <c r="AB168" s="410">
        <f>'KB 16'!J$236</f>
        <v>0</v>
      </c>
      <c r="AC168" s="410">
        <f>'KB 16'!K$236</f>
        <v>0</v>
      </c>
      <c r="AD168" s="410">
        <f>'KB 16'!L$236</f>
        <v>0</v>
      </c>
      <c r="AE168" s="410">
        <f>'KB 16'!M$236</f>
        <v>0</v>
      </c>
      <c r="AF168" s="410">
        <f>'KB 16'!N$236</f>
        <v>0</v>
      </c>
      <c r="AG168" s="410">
        <f>'KB 16'!O$236</f>
        <v>0</v>
      </c>
    </row>
    <row r="169" spans="1:33" s="412" customFormat="1" ht="3.75" customHeight="1" x14ac:dyDescent="0.15">
      <c r="A169" s="409" t="e">
        <f>#REF!</f>
        <v>#REF!</v>
      </c>
      <c r="B169" s="410" t="e">
        <f>#REF!</f>
        <v>#REF!</v>
      </c>
      <c r="C169" s="410" t="e">
        <f>#REF!</f>
        <v>#REF!</v>
      </c>
      <c r="D169" s="410" t="e">
        <f>#REF!</f>
        <v>#REF!</v>
      </c>
      <c r="E169" s="410" t="e">
        <f>#REF!</f>
        <v>#REF!</v>
      </c>
      <c r="F169" s="411"/>
      <c r="S169" s="413">
        <f>'KB 16'!I11</f>
        <v>0</v>
      </c>
      <c r="T169" s="413">
        <f>'KB 16'!L11</f>
        <v>0</v>
      </c>
      <c r="U169" s="412">
        <f>'KB 16'!B$264</f>
        <v>0</v>
      </c>
      <c r="V169" s="412">
        <f>'KB 16'!C$264</f>
        <v>0</v>
      </c>
      <c r="W169" s="412">
        <f>'KB 16'!D$264</f>
        <v>0</v>
      </c>
      <c r="X169" s="412">
        <f>'KB 16'!E$264</f>
        <v>0</v>
      </c>
      <c r="Y169" s="412">
        <f>'KB 16'!F$264</f>
        <v>0</v>
      </c>
      <c r="Z169" s="412">
        <f>'KB 16'!G$264</f>
        <v>0</v>
      </c>
      <c r="AB169" s="412">
        <f>'KB 16'!J$274</f>
        <v>0</v>
      </c>
      <c r="AC169" s="412">
        <f>'KB 16'!K$274</f>
        <v>0</v>
      </c>
      <c r="AD169" s="412">
        <f>'KB 16'!L$274</f>
        <v>0</v>
      </c>
      <c r="AE169" s="412">
        <f>'KB 16'!M$274</f>
        <v>0</v>
      </c>
      <c r="AF169" s="412">
        <f>'KB 16'!N$274</f>
        <v>0</v>
      </c>
      <c r="AG169" s="412">
        <f>'KB 16'!O$274</f>
        <v>0</v>
      </c>
    </row>
    <row r="170" spans="1:33" s="412" customFormat="1" ht="3.75" customHeight="1" x14ac:dyDescent="0.15">
      <c r="A170" s="409" t="e">
        <f>#REF!</f>
        <v>#REF!</v>
      </c>
      <c r="B170" s="410" t="e">
        <f>#REF!</f>
        <v>#REF!</v>
      </c>
      <c r="C170" s="410" t="e">
        <f>#REF!</f>
        <v>#REF!</v>
      </c>
      <c r="D170" s="410" t="e">
        <f>#REF!</f>
        <v>#REF!</v>
      </c>
      <c r="E170" s="410" t="e">
        <f>#REF!</f>
        <v>#REF!</v>
      </c>
      <c r="F170" s="411"/>
      <c r="S170" s="413"/>
      <c r="T170" s="413"/>
      <c r="U170" s="410"/>
      <c r="V170" s="410"/>
      <c r="W170" s="410"/>
      <c r="X170" s="410"/>
      <c r="Y170" s="410"/>
      <c r="Z170" s="410"/>
      <c r="AA170" s="410"/>
      <c r="AB170" s="410"/>
      <c r="AC170" s="410"/>
      <c r="AD170" s="410"/>
      <c r="AE170" s="410"/>
      <c r="AF170" s="410"/>
      <c r="AG170" s="410"/>
    </row>
    <row r="171" spans="1:33" s="412" customFormat="1" ht="3.75" customHeight="1" x14ac:dyDescent="0.15">
      <c r="A171" s="421"/>
      <c r="B171" s="422"/>
      <c r="C171" s="422"/>
      <c r="D171" s="422"/>
      <c r="E171" s="422"/>
      <c r="F171" s="411"/>
      <c r="R171" s="412">
        <v>17</v>
      </c>
      <c r="S171" s="413" t="str">
        <f>'KB 17'!I6</f>
        <v>E detyrueshme</v>
      </c>
      <c r="T171" s="413" t="str">
        <f>'KB 17'!L6</f>
        <v>I veti</v>
      </c>
      <c r="U171" s="412">
        <f>'KB 17'!B$72</f>
        <v>17084331</v>
      </c>
      <c r="V171" s="412">
        <f>'KB 17'!C$72</f>
        <v>19881683</v>
      </c>
      <c r="W171" s="412">
        <f>'KB 17'!D$72</f>
        <v>26000000</v>
      </c>
      <c r="X171" s="412">
        <f>'KB 17'!E$72</f>
        <v>0</v>
      </c>
      <c r="Y171" s="412">
        <f>'KB 17'!F$72</f>
        <v>0</v>
      </c>
      <c r="Z171" s="412">
        <f>'KB 17'!G$72</f>
        <v>0</v>
      </c>
      <c r="AB171" s="412">
        <f>'KB 17'!J$82</f>
        <v>17765132</v>
      </c>
      <c r="AC171" s="412">
        <f>'KB 17'!K$82</f>
        <v>17574974</v>
      </c>
      <c r="AD171" s="412">
        <f>'KB 17'!L$82</f>
        <v>29060000</v>
      </c>
      <c r="AE171" s="412">
        <f>'KB 17'!M$82</f>
        <v>0</v>
      </c>
      <c r="AF171" s="412">
        <f>'KB 17'!N$82</f>
        <v>0</v>
      </c>
      <c r="AG171" s="412">
        <f>'KB 17'!O$82</f>
        <v>0</v>
      </c>
    </row>
    <row r="172" spans="1:33" s="412" customFormat="1" ht="3.75" customHeight="1" x14ac:dyDescent="0.15">
      <c r="A172" s="413"/>
      <c r="B172" s="423"/>
      <c r="C172" s="423"/>
      <c r="D172" s="423"/>
      <c r="E172" s="423"/>
      <c r="F172" s="412" t="e">
        <f>#REF!</f>
        <v>#REF!</v>
      </c>
      <c r="S172" s="413">
        <f>'KB 17'!I7</f>
        <v>0</v>
      </c>
      <c r="T172" s="413">
        <f>'KB 17'!L7</f>
        <v>0</v>
      </c>
      <c r="U172" s="410">
        <f>'KB 17'!B$111</f>
        <v>0</v>
      </c>
      <c r="V172" s="410">
        <f>'KB 17'!C$111</f>
        <v>0</v>
      </c>
      <c r="W172" s="410">
        <f>'KB 17'!D$111</f>
        <v>0</v>
      </c>
      <c r="X172" s="410">
        <f>'KB 17'!E$111</f>
        <v>36800000</v>
      </c>
      <c r="Y172" s="410">
        <f>'KB 17'!F$111</f>
        <v>37700000</v>
      </c>
      <c r="Z172" s="410">
        <f>'KB 17'!G$111</f>
        <v>48600000</v>
      </c>
      <c r="AA172" s="410"/>
      <c r="AB172" s="410">
        <f>'KB 17'!J$121</f>
        <v>0</v>
      </c>
      <c r="AC172" s="410">
        <f>'KB 17'!K$121</f>
        <v>0</v>
      </c>
      <c r="AD172" s="410">
        <f>'KB 17'!L$121</f>
        <v>0</v>
      </c>
      <c r="AE172" s="410">
        <f>'KB 17'!M$121</f>
        <v>28479885</v>
      </c>
      <c r="AF172" s="410">
        <f>'KB 17'!N$121</f>
        <v>28907083</v>
      </c>
      <c r="AG172" s="410">
        <f>'KB 17'!O$121</f>
        <v>29340690</v>
      </c>
    </row>
    <row r="173" spans="1:33" s="412" customFormat="1" ht="3.75" customHeight="1" x14ac:dyDescent="0.15">
      <c r="A173" s="409" t="e">
        <f>#REF!</f>
        <v>#REF!</v>
      </c>
      <c r="B173" s="427" t="e">
        <f>#REF!</f>
        <v>#REF!</v>
      </c>
      <c r="C173" s="427" t="e">
        <f>#REF!</f>
        <v>#REF!</v>
      </c>
      <c r="D173" s="427" t="e">
        <f>#REF!</f>
        <v>#REF!</v>
      </c>
      <c r="E173" s="427" t="e">
        <f>#REF!</f>
        <v>#REF!</v>
      </c>
      <c r="F173" s="431"/>
      <c r="S173" s="413">
        <f>'KB 17'!I8</f>
        <v>0</v>
      </c>
      <c r="T173" s="413">
        <f>'KB 17'!L8</f>
        <v>0</v>
      </c>
      <c r="U173" s="410">
        <f>'KB 17'!B$150</f>
        <v>0</v>
      </c>
      <c r="V173" s="410">
        <f>'KB 17'!C$150</f>
        <v>0</v>
      </c>
      <c r="W173" s="410">
        <f>'KB 17'!D$150</f>
        <v>0</v>
      </c>
      <c r="X173" s="410">
        <f>'KB 17'!E$150</f>
        <v>0</v>
      </c>
      <c r="Y173" s="410">
        <f>'KB 17'!F$150</f>
        <v>0</v>
      </c>
      <c r="Z173" s="410">
        <f>'KB 17'!G$150</f>
        <v>0</v>
      </c>
      <c r="AA173" s="410"/>
      <c r="AB173" s="410">
        <f>'KB 17'!J$160</f>
        <v>0</v>
      </c>
      <c r="AC173" s="410">
        <f>'KB 17'!K$160</f>
        <v>0</v>
      </c>
      <c r="AD173" s="410">
        <f>'KB 17'!L$160</f>
        <v>0</v>
      </c>
      <c r="AE173" s="410">
        <f>'KB 17'!M$160</f>
        <v>0</v>
      </c>
      <c r="AF173" s="410">
        <f>'KB 17'!N$160</f>
        <v>0</v>
      </c>
      <c r="AG173" s="410">
        <f>'KB 17'!O$160</f>
        <v>0</v>
      </c>
    </row>
    <row r="174" spans="1:33" s="412" customFormat="1" ht="3.75" customHeight="1" x14ac:dyDescent="0.15">
      <c r="A174" s="409" t="e">
        <f>#REF!</f>
        <v>#REF!</v>
      </c>
      <c r="B174" s="427" t="e">
        <f>#REF!</f>
        <v>#REF!</v>
      </c>
      <c r="C174" s="427" t="e">
        <f>#REF!</f>
        <v>#REF!</v>
      </c>
      <c r="D174" s="427" t="e">
        <f>#REF!</f>
        <v>#REF!</v>
      </c>
      <c r="E174" s="427" t="e">
        <f>#REF!</f>
        <v>#REF!</v>
      </c>
      <c r="F174" s="431"/>
      <c r="S174" s="413">
        <f>'KB 17'!I9</f>
        <v>0</v>
      </c>
      <c r="T174" s="413">
        <f>'KB 17'!L9</f>
        <v>0</v>
      </c>
      <c r="U174" s="410">
        <f>'KB 17'!B$188</f>
        <v>0</v>
      </c>
      <c r="V174" s="410">
        <f>'KB 17'!C$188</f>
        <v>0</v>
      </c>
      <c r="W174" s="410">
        <f>'KB 17'!D$188</f>
        <v>0</v>
      </c>
      <c r="X174" s="410">
        <f>'KB 17'!E$188</f>
        <v>0</v>
      </c>
      <c r="Y174" s="410">
        <f>'KB 17'!F$188</f>
        <v>0</v>
      </c>
      <c r="Z174" s="410">
        <f>'KB 17'!G$188</f>
        <v>0</v>
      </c>
      <c r="AA174" s="410"/>
      <c r="AB174" s="410">
        <f>'KB 17'!J$198</f>
        <v>0</v>
      </c>
      <c r="AC174" s="410">
        <f>'KB 17'!K$198</f>
        <v>0</v>
      </c>
      <c r="AD174" s="410">
        <f>'KB 17'!L$198</f>
        <v>0</v>
      </c>
      <c r="AE174" s="410">
        <f>'KB 17'!M$198</f>
        <v>0</v>
      </c>
      <c r="AF174" s="410">
        <f>'KB 17'!N$198</f>
        <v>0</v>
      </c>
      <c r="AG174" s="410">
        <f>'KB 17'!O$198</f>
        <v>0</v>
      </c>
    </row>
    <row r="175" spans="1:33" s="412" customFormat="1" ht="3.75" customHeight="1" outlineLevel="1" x14ac:dyDescent="0.15">
      <c r="A175" s="409" t="e">
        <f>#REF!</f>
        <v>#REF!</v>
      </c>
      <c r="B175" s="410" t="e">
        <f>#REF!</f>
        <v>#REF!</v>
      </c>
      <c r="C175" s="410" t="e">
        <f>#REF!</f>
        <v>#REF!</v>
      </c>
      <c r="D175" s="410" t="e">
        <f>#REF!</f>
        <v>#REF!</v>
      </c>
      <c r="E175" s="410" t="e">
        <f>#REF!</f>
        <v>#REF!</v>
      </c>
      <c r="S175" s="413">
        <f>'KB 17'!I10</f>
        <v>0</v>
      </c>
      <c r="T175" s="413">
        <f>'KB 17'!L10</f>
        <v>0</v>
      </c>
      <c r="U175" s="410">
        <f>'KB 17'!B$226</f>
        <v>0</v>
      </c>
      <c r="V175" s="410">
        <f>'KB 17'!C$226</f>
        <v>0</v>
      </c>
      <c r="W175" s="410">
        <f>'KB 17'!D$226</f>
        <v>0</v>
      </c>
      <c r="X175" s="410">
        <f>'KB 17'!E$226</f>
        <v>0</v>
      </c>
      <c r="Y175" s="410">
        <f>'KB 17'!F$226</f>
        <v>0</v>
      </c>
      <c r="Z175" s="410">
        <f>'KB 17'!G$226</f>
        <v>0</v>
      </c>
      <c r="AA175" s="410"/>
      <c r="AB175" s="410">
        <f>'KB 17'!J$236</f>
        <v>0</v>
      </c>
      <c r="AC175" s="410">
        <f>'KB 17'!K$236</f>
        <v>0</v>
      </c>
      <c r="AD175" s="410">
        <f>'KB 17'!L$236</f>
        <v>0</v>
      </c>
      <c r="AE175" s="410">
        <f>'KB 17'!M$236</f>
        <v>0</v>
      </c>
      <c r="AF175" s="410">
        <f>'KB 17'!N$236</f>
        <v>0</v>
      </c>
      <c r="AG175" s="410">
        <f>'KB 17'!O$236</f>
        <v>0</v>
      </c>
    </row>
    <row r="176" spans="1:33" s="412" customFormat="1" ht="3.75" customHeight="1" outlineLevel="1" x14ac:dyDescent="0.15">
      <c r="A176" s="409" t="e">
        <f>#REF!</f>
        <v>#REF!</v>
      </c>
      <c r="B176" s="410" t="e">
        <f>#REF!</f>
        <v>#REF!</v>
      </c>
      <c r="C176" s="410" t="e">
        <f>#REF!</f>
        <v>#REF!</v>
      </c>
      <c r="D176" s="410" t="e">
        <f>#REF!</f>
        <v>#REF!</v>
      </c>
      <c r="E176" s="410" t="e">
        <f>#REF!</f>
        <v>#REF!</v>
      </c>
      <c r="S176" s="413">
        <f>'KB 17'!I11</f>
        <v>0</v>
      </c>
      <c r="T176" s="413">
        <f>'KB 17'!L11</f>
        <v>0</v>
      </c>
      <c r="U176" s="412">
        <f>'KB 17'!B$264</f>
        <v>0</v>
      </c>
      <c r="V176" s="412">
        <f>'KB 17'!C$264</f>
        <v>0</v>
      </c>
      <c r="W176" s="412">
        <f>'KB 17'!D$264</f>
        <v>0</v>
      </c>
      <c r="X176" s="412">
        <f>'KB 17'!E$264</f>
        <v>0</v>
      </c>
      <c r="Y176" s="412">
        <f>'KB 17'!F$264</f>
        <v>0</v>
      </c>
      <c r="Z176" s="412">
        <f>'KB 17'!G$264</f>
        <v>0</v>
      </c>
      <c r="AB176" s="412">
        <f>'KB 17'!J$274</f>
        <v>0</v>
      </c>
      <c r="AC176" s="412">
        <f>'KB 17'!K$274</f>
        <v>0</v>
      </c>
      <c r="AD176" s="412">
        <f>'KB 17'!L$274</f>
        <v>0</v>
      </c>
      <c r="AE176" s="412">
        <f>'KB 17'!M$274</f>
        <v>0</v>
      </c>
      <c r="AF176" s="412">
        <f>'KB 17'!N$274</f>
        <v>0</v>
      </c>
      <c r="AG176" s="412">
        <f>'KB 17'!O$274</f>
        <v>0</v>
      </c>
    </row>
    <row r="177" spans="1:33" s="412" customFormat="1" ht="3.75" customHeight="1" outlineLevel="1" x14ac:dyDescent="0.15">
      <c r="A177" s="409" t="e">
        <f>#REF!</f>
        <v>#REF!</v>
      </c>
      <c r="B177" s="410" t="e">
        <f>#REF!</f>
        <v>#REF!</v>
      </c>
      <c r="C177" s="410" t="e">
        <f>#REF!</f>
        <v>#REF!</v>
      </c>
      <c r="D177" s="410" t="e">
        <f>#REF!</f>
        <v>#REF!</v>
      </c>
      <c r="E177" s="410" t="e">
        <f>#REF!</f>
        <v>#REF!</v>
      </c>
      <c r="S177" s="413"/>
      <c r="T177" s="413"/>
      <c r="U177" s="410"/>
      <c r="V177" s="410"/>
      <c r="W177" s="410"/>
      <c r="X177" s="410"/>
      <c r="Y177" s="410"/>
      <c r="Z177" s="410"/>
      <c r="AA177" s="410"/>
    </row>
    <row r="178" spans="1:33" s="412" customFormat="1" ht="3.75" customHeight="1" outlineLevel="1" x14ac:dyDescent="0.15">
      <c r="A178" s="409" t="e">
        <f>#REF!</f>
        <v>#REF!</v>
      </c>
      <c r="B178" s="410" t="e">
        <f>#REF!</f>
        <v>#REF!</v>
      </c>
      <c r="C178" s="410" t="e">
        <f>#REF!</f>
        <v>#REF!</v>
      </c>
      <c r="D178" s="410" t="e">
        <f>#REF!</f>
        <v>#REF!</v>
      </c>
      <c r="E178" s="410" t="e">
        <f>#REF!</f>
        <v>#REF!</v>
      </c>
      <c r="R178" s="412">
        <v>18</v>
      </c>
      <c r="S178" s="413" t="str">
        <f>'KB 18'!I6</f>
        <v>E detyrueshme</v>
      </c>
      <c r="T178" s="413" t="str">
        <f>'KB 18'!L6</f>
        <v>I veti</v>
      </c>
      <c r="U178" s="412">
        <f>'KB 18'!B$72</f>
        <v>0</v>
      </c>
      <c r="V178" s="412">
        <f>'KB 18'!C$72</f>
        <v>0</v>
      </c>
      <c r="W178" s="412">
        <f>'KB 18'!D$72</f>
        <v>0</v>
      </c>
      <c r="X178" s="412">
        <f>'KB 18'!E$72</f>
        <v>0</v>
      </c>
      <c r="Y178" s="412">
        <f>'KB 18'!F$72</f>
        <v>0</v>
      </c>
      <c r="Z178" s="412">
        <f>'KB 18'!G$72</f>
        <v>0</v>
      </c>
      <c r="AB178" s="412">
        <f>'KB 18'!J$82</f>
        <v>0</v>
      </c>
      <c r="AC178" s="412">
        <f>'KB 18'!K$82</f>
        <v>0</v>
      </c>
      <c r="AD178" s="412">
        <f>'KB 18'!L$82</f>
        <v>0</v>
      </c>
      <c r="AE178" s="412">
        <f>'KB 18'!M$82</f>
        <v>0</v>
      </c>
      <c r="AF178" s="412">
        <f>'KB 18'!N$82</f>
        <v>0</v>
      </c>
      <c r="AG178" s="412">
        <f>'KB 18'!O$82</f>
        <v>0</v>
      </c>
    </row>
    <row r="179" spans="1:33" s="412" customFormat="1" ht="3.75" customHeight="1" outlineLevel="1" x14ac:dyDescent="0.15">
      <c r="A179" s="409" t="e">
        <f>#REF!</f>
        <v>#REF!</v>
      </c>
      <c r="B179" s="410" t="e">
        <f>#REF!</f>
        <v>#REF!</v>
      </c>
      <c r="C179" s="410" t="e">
        <f>#REF!</f>
        <v>#REF!</v>
      </c>
      <c r="D179" s="410" t="e">
        <f>#REF!</f>
        <v>#REF!</v>
      </c>
      <c r="E179" s="410" t="e">
        <f>#REF!</f>
        <v>#REF!</v>
      </c>
      <c r="S179" s="413">
        <f>'KB 18'!I7</f>
        <v>0</v>
      </c>
      <c r="T179" s="413">
        <f>'KB 18'!L7</f>
        <v>0</v>
      </c>
      <c r="U179" s="410">
        <f>'KB 18'!B$111</f>
        <v>0</v>
      </c>
      <c r="V179" s="410">
        <f>'KB 18'!C$111</f>
        <v>0</v>
      </c>
      <c r="W179" s="410">
        <f>'KB 18'!D$111</f>
        <v>0</v>
      </c>
      <c r="X179" s="410">
        <f>'KB 18'!E$111</f>
        <v>0</v>
      </c>
      <c r="Y179" s="410">
        <f>'KB 18'!F$111</f>
        <v>0</v>
      </c>
      <c r="Z179" s="410">
        <f>'KB 18'!G$111</f>
        <v>0</v>
      </c>
      <c r="AA179" s="410"/>
      <c r="AB179" s="410">
        <f>'KB 18'!J$121</f>
        <v>0</v>
      </c>
      <c r="AC179" s="410">
        <f>'KB 18'!K$121</f>
        <v>0</v>
      </c>
      <c r="AD179" s="410">
        <f>'KB 18'!L$121</f>
        <v>0</v>
      </c>
      <c r="AE179" s="410">
        <f>'KB 18'!M$121</f>
        <v>0</v>
      </c>
      <c r="AF179" s="410">
        <f>'KB 18'!N$121</f>
        <v>0</v>
      </c>
      <c r="AG179" s="410">
        <f>'KB 18'!O$121</f>
        <v>0</v>
      </c>
    </row>
    <row r="180" spans="1:33" s="412" customFormat="1" ht="3.75" customHeight="1" outlineLevel="1" x14ac:dyDescent="0.15">
      <c r="A180" s="409" t="e">
        <f>#REF!</f>
        <v>#REF!</v>
      </c>
      <c r="B180" s="410" t="e">
        <f>#REF!</f>
        <v>#REF!</v>
      </c>
      <c r="C180" s="410" t="e">
        <f>#REF!</f>
        <v>#REF!</v>
      </c>
      <c r="D180" s="410" t="e">
        <f>#REF!</f>
        <v>#REF!</v>
      </c>
      <c r="E180" s="410" t="e">
        <f>#REF!</f>
        <v>#REF!</v>
      </c>
      <c r="S180" s="413">
        <f>'KB 18'!I8</f>
        <v>0</v>
      </c>
      <c r="T180" s="413">
        <f>'KB 18'!L8</f>
        <v>0</v>
      </c>
      <c r="U180" s="410">
        <f>'KB 18'!B$150</f>
        <v>0</v>
      </c>
      <c r="V180" s="410">
        <f>'KB 18'!C$150</f>
        <v>0</v>
      </c>
      <c r="W180" s="410">
        <f>'KB 18'!D$150</f>
        <v>0</v>
      </c>
      <c r="X180" s="410">
        <f>'KB 18'!E$150</f>
        <v>0</v>
      </c>
      <c r="Y180" s="410">
        <f>'KB 18'!F$150</f>
        <v>0</v>
      </c>
      <c r="Z180" s="410">
        <f>'KB 18'!G$150</f>
        <v>0</v>
      </c>
      <c r="AA180" s="410"/>
      <c r="AB180" s="410">
        <f>'KB 18'!J$160</f>
        <v>0</v>
      </c>
      <c r="AC180" s="410">
        <f>'KB 18'!K$160</f>
        <v>0</v>
      </c>
      <c r="AD180" s="410">
        <f>'KB 18'!L$160</f>
        <v>0</v>
      </c>
      <c r="AE180" s="410">
        <f>'KB 18'!M$160</f>
        <v>0</v>
      </c>
      <c r="AF180" s="410">
        <f>'KB 18'!N$160</f>
        <v>0</v>
      </c>
      <c r="AG180" s="410">
        <f>'KB 18'!O$160</f>
        <v>0</v>
      </c>
    </row>
    <row r="181" spans="1:33" s="412" customFormat="1" ht="3.75" customHeight="1" outlineLevel="1" x14ac:dyDescent="0.15">
      <c r="A181" s="409" t="e">
        <f>#REF!</f>
        <v>#REF!</v>
      </c>
      <c r="B181" s="410" t="e">
        <f>#REF!</f>
        <v>#REF!</v>
      </c>
      <c r="C181" s="410" t="e">
        <f>#REF!</f>
        <v>#REF!</v>
      </c>
      <c r="D181" s="410" t="e">
        <f>#REF!</f>
        <v>#REF!</v>
      </c>
      <c r="E181" s="410" t="e">
        <f>#REF!</f>
        <v>#REF!</v>
      </c>
      <c r="S181" s="413">
        <f>'KB 18'!I9</f>
        <v>0</v>
      </c>
      <c r="T181" s="413">
        <f>'KB 18'!L9</f>
        <v>0</v>
      </c>
      <c r="U181" s="410">
        <f>'KB 18'!B$188</f>
        <v>0</v>
      </c>
      <c r="V181" s="410">
        <f>'KB 18'!C$188</f>
        <v>0</v>
      </c>
      <c r="W181" s="410">
        <f>'KB 18'!D$188</f>
        <v>0</v>
      </c>
      <c r="X181" s="410">
        <f>'KB 18'!E$188</f>
        <v>0</v>
      </c>
      <c r="Y181" s="410">
        <f>'KB 18'!F$188</f>
        <v>0</v>
      </c>
      <c r="Z181" s="410">
        <f>'KB 18'!G$188</f>
        <v>0</v>
      </c>
      <c r="AA181" s="410"/>
      <c r="AB181" s="410">
        <f>'KB 18'!J$198</f>
        <v>0</v>
      </c>
      <c r="AC181" s="410">
        <f>'KB 18'!K$198</f>
        <v>0</v>
      </c>
      <c r="AD181" s="410">
        <f>'KB 18'!L$198</f>
        <v>0</v>
      </c>
      <c r="AE181" s="410">
        <f>'KB 18'!M$198</f>
        <v>0</v>
      </c>
      <c r="AF181" s="410">
        <f>'KB 18'!N$198</f>
        <v>0</v>
      </c>
      <c r="AG181" s="410">
        <f>'KB 18'!O$198</f>
        <v>0</v>
      </c>
    </row>
    <row r="182" spans="1:33" s="412" customFormat="1" ht="3.75" customHeight="1" outlineLevel="1" x14ac:dyDescent="0.15">
      <c r="A182" s="409" t="e">
        <f>#REF!</f>
        <v>#REF!</v>
      </c>
      <c r="B182" s="410" t="e">
        <f>#REF!</f>
        <v>#REF!</v>
      </c>
      <c r="C182" s="410" t="e">
        <f>#REF!</f>
        <v>#REF!</v>
      </c>
      <c r="D182" s="410" t="e">
        <f>#REF!</f>
        <v>#REF!</v>
      </c>
      <c r="E182" s="410" t="e">
        <f>#REF!</f>
        <v>#REF!</v>
      </c>
      <c r="S182" s="413">
        <f>'KB 18'!I10</f>
        <v>0</v>
      </c>
      <c r="T182" s="413">
        <f>'KB 18'!L10</f>
        <v>0</v>
      </c>
      <c r="U182" s="410">
        <f>'KB 18'!B$226</f>
        <v>0</v>
      </c>
      <c r="V182" s="410">
        <f>'KB 18'!C$226</f>
        <v>0</v>
      </c>
      <c r="W182" s="410">
        <f>'KB 18'!D$226</f>
        <v>0</v>
      </c>
      <c r="X182" s="410">
        <f>'KB 18'!E$226</f>
        <v>0</v>
      </c>
      <c r="Y182" s="410">
        <f>'KB 18'!F$226</f>
        <v>0</v>
      </c>
      <c r="Z182" s="410">
        <f>'KB 18'!G$226</f>
        <v>0</v>
      </c>
      <c r="AA182" s="410"/>
      <c r="AB182" s="410">
        <f>'KB 18'!J$236</f>
        <v>0</v>
      </c>
      <c r="AC182" s="410">
        <f>'KB 18'!K$236</f>
        <v>0</v>
      </c>
      <c r="AD182" s="410">
        <f>'KB 18'!L$236</f>
        <v>0</v>
      </c>
      <c r="AE182" s="410">
        <f>'KB 18'!M$236</f>
        <v>0</v>
      </c>
      <c r="AF182" s="410">
        <f>'KB 18'!N$236</f>
        <v>0</v>
      </c>
      <c r="AG182" s="410">
        <f>'KB 18'!O$236</f>
        <v>0</v>
      </c>
    </row>
    <row r="183" spans="1:33" s="412" customFormat="1" ht="3.75" customHeight="1" outlineLevel="1" x14ac:dyDescent="0.15">
      <c r="A183" s="409" t="e">
        <f>#REF!</f>
        <v>#REF!</v>
      </c>
      <c r="B183" s="410" t="e">
        <f>#REF!</f>
        <v>#REF!</v>
      </c>
      <c r="C183" s="410" t="e">
        <f>#REF!</f>
        <v>#REF!</v>
      </c>
      <c r="D183" s="410" t="e">
        <f>#REF!</f>
        <v>#REF!</v>
      </c>
      <c r="E183" s="410" t="e">
        <f>#REF!</f>
        <v>#REF!</v>
      </c>
      <c r="S183" s="413">
        <f>'KB 18'!I11</f>
        <v>0</v>
      </c>
      <c r="T183" s="413">
        <f>'KB 18'!L11</f>
        <v>0</v>
      </c>
      <c r="U183" s="412">
        <f>'KB 18'!B$264</f>
        <v>0</v>
      </c>
      <c r="V183" s="412">
        <f>'KB 18'!C$264</f>
        <v>0</v>
      </c>
      <c r="W183" s="412">
        <f>'KB 18'!D$264</f>
        <v>0</v>
      </c>
      <c r="X183" s="412">
        <f>'KB 18'!E$264</f>
        <v>0</v>
      </c>
      <c r="Y183" s="412">
        <f>'KB 18'!F$264</f>
        <v>0</v>
      </c>
      <c r="Z183" s="412">
        <f>'KB 18'!G$264</f>
        <v>0</v>
      </c>
      <c r="AB183" s="412">
        <f>'KB 18'!J$274</f>
        <v>0</v>
      </c>
      <c r="AC183" s="412">
        <f>'KB 18'!K$274</f>
        <v>0</v>
      </c>
      <c r="AD183" s="412">
        <f>'KB 18'!L$274</f>
        <v>0</v>
      </c>
      <c r="AE183" s="412">
        <f>'KB 18'!M$274</f>
        <v>0</v>
      </c>
      <c r="AF183" s="412">
        <f>'KB 18'!N$274</f>
        <v>0</v>
      </c>
      <c r="AG183" s="412">
        <f>'KB 18'!O$274</f>
        <v>0</v>
      </c>
    </row>
    <row r="184" spans="1:33" s="412" customFormat="1" ht="3.75" customHeight="1" outlineLevel="1" x14ac:dyDescent="0.15">
      <c r="A184" s="409" t="e">
        <f>#REF!</f>
        <v>#REF!</v>
      </c>
      <c r="B184" s="410" t="e">
        <f>#REF!</f>
        <v>#REF!</v>
      </c>
      <c r="C184" s="410" t="e">
        <f>#REF!</f>
        <v>#REF!</v>
      </c>
      <c r="D184" s="410" t="e">
        <f>#REF!</f>
        <v>#REF!</v>
      </c>
      <c r="E184" s="410" t="e">
        <f>#REF!</f>
        <v>#REF!</v>
      </c>
      <c r="S184" s="413"/>
      <c r="T184" s="413"/>
    </row>
    <row r="185" spans="1:33" s="412" customFormat="1" ht="3.75" customHeight="1" outlineLevel="1" x14ac:dyDescent="0.15">
      <c r="A185" s="409" t="e">
        <f>#REF!</f>
        <v>#REF!</v>
      </c>
      <c r="B185" s="410" t="e">
        <f>#REF!</f>
        <v>#REF!</v>
      </c>
      <c r="C185" s="410" t="e">
        <f>#REF!</f>
        <v>#REF!</v>
      </c>
      <c r="D185" s="410" t="e">
        <f>#REF!</f>
        <v>#REF!</v>
      </c>
      <c r="E185" s="410" t="e">
        <f>#REF!</f>
        <v>#REF!</v>
      </c>
      <c r="R185" s="412">
        <v>19</v>
      </c>
      <c r="S185" s="413" t="str">
        <f>'KB 19'!I6</f>
        <v>E detyrueshme</v>
      </c>
      <c r="T185" s="413" t="str">
        <f>'KB 19'!L6</f>
        <v>I veti</v>
      </c>
      <c r="U185" s="412">
        <f>'KB 19'!B$72</f>
        <v>0</v>
      </c>
      <c r="V185" s="412">
        <f>'KB 19'!C$72</f>
        <v>0</v>
      </c>
      <c r="W185" s="412">
        <f>'KB 19'!D$72</f>
        <v>0</v>
      </c>
      <c r="X185" s="412">
        <f>'KB 19'!E$72</f>
        <v>0</v>
      </c>
      <c r="Y185" s="412">
        <f>'KB 19'!F$72</f>
        <v>0</v>
      </c>
      <c r="Z185" s="412">
        <f>'KB 19'!G$72</f>
        <v>0</v>
      </c>
      <c r="AB185" s="412">
        <f>'KB 19'!J$82</f>
        <v>0</v>
      </c>
      <c r="AC185" s="412">
        <f>'KB 19'!K$82</f>
        <v>0</v>
      </c>
      <c r="AD185" s="412">
        <f>'KB 19'!L$82</f>
        <v>0</v>
      </c>
      <c r="AE185" s="412">
        <f>'KB 19'!M$82</f>
        <v>0</v>
      </c>
      <c r="AF185" s="412">
        <f>'KB 19'!N$82</f>
        <v>0</v>
      </c>
      <c r="AG185" s="412">
        <f>'KB 19'!O$82</f>
        <v>0</v>
      </c>
    </row>
    <row r="186" spans="1:33" s="412" customFormat="1" ht="3.75" customHeight="1" outlineLevel="1" x14ac:dyDescent="0.15">
      <c r="A186" s="409" t="e">
        <f>#REF!</f>
        <v>#REF!</v>
      </c>
      <c r="B186" s="410" t="e">
        <f>#REF!</f>
        <v>#REF!</v>
      </c>
      <c r="C186" s="410" t="e">
        <f>#REF!</f>
        <v>#REF!</v>
      </c>
      <c r="D186" s="410" t="e">
        <f>#REF!</f>
        <v>#REF!</v>
      </c>
      <c r="E186" s="410" t="e">
        <f>#REF!</f>
        <v>#REF!</v>
      </c>
      <c r="S186" s="413" t="str">
        <f>'KB 19'!I7</f>
        <v>E detyrueshme</v>
      </c>
      <c r="T186" s="413" t="str">
        <f>'KB 19'!L7</f>
        <v>I veti</v>
      </c>
      <c r="U186" s="410">
        <f>'KB 19'!B$111</f>
        <v>24247564</v>
      </c>
      <c r="V186" s="410">
        <f>'KB 19'!C$111</f>
        <v>10803448</v>
      </c>
      <c r="W186" s="410">
        <f>'KB 19'!D$111</f>
        <v>20764388</v>
      </c>
      <c r="X186" s="410">
        <f>'KB 19'!E$111</f>
        <v>15705000</v>
      </c>
      <c r="Y186" s="410">
        <f>'KB 19'!F$111</f>
        <v>16795000</v>
      </c>
      <c r="Z186" s="410">
        <f>'KB 19'!G$111</f>
        <v>17368600</v>
      </c>
      <c r="AA186" s="410"/>
      <c r="AB186" s="410">
        <f>'KB 19'!J$121</f>
        <v>151900</v>
      </c>
      <c r="AC186" s="410">
        <f>'KB 19'!K$121</f>
        <v>37500</v>
      </c>
      <c r="AD186" s="410">
        <f>'KB 19'!L$121</f>
        <v>350000</v>
      </c>
      <c r="AE186" s="410">
        <f>'KB 19'!M$121</f>
        <v>0</v>
      </c>
      <c r="AF186" s="410">
        <f>'KB 19'!N$121</f>
        <v>0</v>
      </c>
      <c r="AG186" s="410">
        <f>'KB 19'!O$121</f>
        <v>0</v>
      </c>
    </row>
    <row r="187" spans="1:33" s="412" customFormat="1" ht="3.75" customHeight="1" outlineLevel="1" x14ac:dyDescent="0.15">
      <c r="A187" s="409" t="e">
        <f>#REF!</f>
        <v>#REF!</v>
      </c>
      <c r="B187" s="410" t="e">
        <f>#REF!</f>
        <v>#REF!</v>
      </c>
      <c r="C187" s="410" t="e">
        <f>#REF!</f>
        <v>#REF!</v>
      </c>
      <c r="D187" s="410" t="e">
        <f>#REF!</f>
        <v>#REF!</v>
      </c>
      <c r="E187" s="410" t="e">
        <f>#REF!</f>
        <v>#REF!</v>
      </c>
      <c r="S187" s="413">
        <f>'KB 19'!I8</f>
        <v>0</v>
      </c>
      <c r="T187" s="413">
        <f>'KB 19'!L8</f>
        <v>0</v>
      </c>
      <c r="U187" s="410">
        <f>'KB 19'!B$150</f>
        <v>0</v>
      </c>
      <c r="V187" s="410">
        <f>'KB 19'!C$150</f>
        <v>0</v>
      </c>
      <c r="W187" s="410">
        <f>'KB 19'!D$150</f>
        <v>0</v>
      </c>
      <c r="X187" s="410">
        <f>'KB 19'!E$150</f>
        <v>0</v>
      </c>
      <c r="Y187" s="410">
        <f>'KB 19'!F$150</f>
        <v>0</v>
      </c>
      <c r="Z187" s="410">
        <f>'KB 19'!G$150</f>
        <v>0</v>
      </c>
      <c r="AA187" s="410"/>
      <c r="AB187" s="410">
        <f>'KB 19'!J$160</f>
        <v>0</v>
      </c>
      <c r="AC187" s="410">
        <f>'KB 19'!K$160</f>
        <v>0</v>
      </c>
      <c r="AD187" s="410">
        <f>'KB 19'!L$160</f>
        <v>0</v>
      </c>
      <c r="AE187" s="410">
        <f>'KB 19'!M$160</f>
        <v>0</v>
      </c>
      <c r="AF187" s="410">
        <f>'KB 19'!N$160</f>
        <v>0</v>
      </c>
      <c r="AG187" s="410">
        <f>'KB 19'!O$160</f>
        <v>0</v>
      </c>
    </row>
    <row r="188" spans="1:33" s="412" customFormat="1" ht="3.75" customHeight="1" outlineLevel="1" x14ac:dyDescent="0.15">
      <c r="A188" s="409" t="e">
        <f>#REF!</f>
        <v>#REF!</v>
      </c>
      <c r="B188" s="410" t="e">
        <f>#REF!</f>
        <v>#REF!</v>
      </c>
      <c r="C188" s="410" t="e">
        <f>#REF!</f>
        <v>#REF!</v>
      </c>
      <c r="D188" s="410" t="e">
        <f>#REF!</f>
        <v>#REF!</v>
      </c>
      <c r="E188" s="410" t="e">
        <f>#REF!</f>
        <v>#REF!</v>
      </c>
      <c r="S188" s="413">
        <f>'KB 19'!I9</f>
        <v>0</v>
      </c>
      <c r="T188" s="413">
        <f>'KB 19'!L9</f>
        <v>0</v>
      </c>
      <c r="U188" s="410">
        <f>'KB 19'!B$188</f>
        <v>0</v>
      </c>
      <c r="V188" s="410">
        <f>'KB 19'!C$188</f>
        <v>0</v>
      </c>
      <c r="W188" s="410">
        <f>'KB 19'!D$188</f>
        <v>0</v>
      </c>
      <c r="X188" s="410">
        <f>'KB 19'!E$188</f>
        <v>0</v>
      </c>
      <c r="Y188" s="410">
        <f>'KB 19'!F$188</f>
        <v>0</v>
      </c>
      <c r="Z188" s="410">
        <f>'KB 19'!G$188</f>
        <v>0</v>
      </c>
      <c r="AA188" s="410"/>
      <c r="AB188" s="410">
        <f>'KB 19'!J$198</f>
        <v>0</v>
      </c>
      <c r="AC188" s="410">
        <f>'KB 19'!K$198</f>
        <v>0</v>
      </c>
      <c r="AD188" s="410">
        <f>'KB 19'!L$198</f>
        <v>0</v>
      </c>
      <c r="AE188" s="410">
        <f>'KB 19'!M$198</f>
        <v>0</v>
      </c>
      <c r="AF188" s="410">
        <f>'KB 19'!N$198</f>
        <v>0</v>
      </c>
      <c r="AG188" s="410">
        <f>'KB 19'!O$198</f>
        <v>0</v>
      </c>
    </row>
    <row r="189" spans="1:33" s="412" customFormat="1" ht="3.75" customHeight="1" outlineLevel="1" x14ac:dyDescent="0.15">
      <c r="A189" s="409" t="e">
        <f>#REF!</f>
        <v>#REF!</v>
      </c>
      <c r="B189" s="410" t="e">
        <f>#REF!</f>
        <v>#REF!</v>
      </c>
      <c r="C189" s="410" t="e">
        <f>#REF!</f>
        <v>#REF!</v>
      </c>
      <c r="D189" s="410" t="e">
        <f>#REF!</f>
        <v>#REF!</v>
      </c>
      <c r="E189" s="410" t="e">
        <f>#REF!</f>
        <v>#REF!</v>
      </c>
      <c r="S189" s="413">
        <f>'KB 19'!I10</f>
        <v>0</v>
      </c>
      <c r="T189" s="413">
        <f>'KB 19'!L10</f>
        <v>0</v>
      </c>
      <c r="U189" s="410">
        <f>'KB 19'!B$226</f>
        <v>0</v>
      </c>
      <c r="V189" s="410">
        <f>'KB 19'!C$226</f>
        <v>0</v>
      </c>
      <c r="W189" s="410">
        <f>'KB 19'!D$226</f>
        <v>0</v>
      </c>
      <c r="X189" s="410">
        <f>'KB 19'!E$226</f>
        <v>0</v>
      </c>
      <c r="Y189" s="410">
        <f>'KB 19'!F$226</f>
        <v>0</v>
      </c>
      <c r="Z189" s="410">
        <f>'KB 19'!G$226</f>
        <v>0</v>
      </c>
      <c r="AA189" s="410"/>
      <c r="AB189" s="410">
        <f>'KB 19'!J$236</f>
        <v>0</v>
      </c>
      <c r="AC189" s="410">
        <f>'KB 19'!K$236</f>
        <v>0</v>
      </c>
      <c r="AD189" s="410">
        <f>'KB 19'!L$236</f>
        <v>0</v>
      </c>
      <c r="AE189" s="410">
        <f>'KB 19'!M$236</f>
        <v>0</v>
      </c>
      <c r="AF189" s="410">
        <f>'KB 19'!N$236</f>
        <v>0</v>
      </c>
      <c r="AG189" s="410">
        <f>'KB 19'!O$236</f>
        <v>0</v>
      </c>
    </row>
    <row r="190" spans="1:33" s="412" customFormat="1" ht="3.75" customHeight="1" outlineLevel="1" x14ac:dyDescent="0.15">
      <c r="A190" s="409" t="e">
        <f>#REF!</f>
        <v>#REF!</v>
      </c>
      <c r="B190" s="410" t="e">
        <f>#REF!</f>
        <v>#REF!</v>
      </c>
      <c r="C190" s="410" t="e">
        <f>#REF!</f>
        <v>#REF!</v>
      </c>
      <c r="D190" s="410" t="e">
        <f>#REF!</f>
        <v>#REF!</v>
      </c>
      <c r="E190" s="410" t="e">
        <f>#REF!</f>
        <v>#REF!</v>
      </c>
      <c r="S190" s="413">
        <f>'KB 19'!I11</f>
        <v>0</v>
      </c>
      <c r="T190" s="413">
        <f>'KB 19'!L11</f>
        <v>0</v>
      </c>
      <c r="U190" s="412">
        <f>'KB 19'!B$264</f>
        <v>0</v>
      </c>
      <c r="V190" s="412">
        <f>'KB 19'!C$264</f>
        <v>0</v>
      </c>
      <c r="W190" s="412">
        <f>'KB 19'!D$264</f>
        <v>0</v>
      </c>
      <c r="X190" s="412">
        <f>'KB 19'!E$264</f>
        <v>0</v>
      </c>
      <c r="Y190" s="412">
        <f>'KB 19'!F$264</f>
        <v>0</v>
      </c>
      <c r="Z190" s="412">
        <f>'KB 19'!G$264</f>
        <v>0</v>
      </c>
      <c r="AB190" s="412">
        <f>'KB 19'!J$274</f>
        <v>0</v>
      </c>
      <c r="AC190" s="412">
        <f>'KB 19'!K$274</f>
        <v>0</v>
      </c>
      <c r="AD190" s="412">
        <f>'KB 19'!L$274</f>
        <v>0</v>
      </c>
      <c r="AE190" s="412">
        <f>'KB 19'!M$274</f>
        <v>0</v>
      </c>
      <c r="AF190" s="412">
        <f>'KB 19'!N$274</f>
        <v>0</v>
      </c>
      <c r="AG190" s="412">
        <f>'KB 19'!O$274</f>
        <v>0</v>
      </c>
    </row>
    <row r="191" spans="1:33" s="412" customFormat="1" ht="3.75" customHeight="1" outlineLevel="1" x14ac:dyDescent="0.15">
      <c r="A191" s="409" t="e">
        <f>#REF!</f>
        <v>#REF!</v>
      </c>
      <c r="B191" s="410" t="e">
        <f>#REF!</f>
        <v>#REF!</v>
      </c>
      <c r="C191" s="410" t="e">
        <f>#REF!</f>
        <v>#REF!</v>
      </c>
      <c r="D191" s="410" t="e">
        <f>#REF!</f>
        <v>#REF!</v>
      </c>
      <c r="E191" s="410" t="e">
        <f>#REF!</f>
        <v>#REF!</v>
      </c>
      <c r="S191" s="413"/>
      <c r="T191" s="413"/>
    </row>
    <row r="192" spans="1:33" s="412" customFormat="1" ht="3.75" customHeight="1" x14ac:dyDescent="0.15">
      <c r="A192" s="421"/>
      <c r="B192" s="422"/>
      <c r="C192" s="422"/>
      <c r="D192" s="422"/>
      <c r="E192" s="422"/>
      <c r="F192" s="411"/>
      <c r="R192" s="412">
        <v>20</v>
      </c>
      <c r="S192" s="413" t="str">
        <f>'KB 20'!I6</f>
        <v>E detyrueshme</v>
      </c>
      <c r="T192" s="413" t="str">
        <f>'KB 20'!L6</f>
        <v>I veti</v>
      </c>
      <c r="U192" s="412">
        <f>'KB 20'!B$72</f>
        <v>1020083</v>
      </c>
      <c r="V192" s="412">
        <f>'KB 20'!C$72</f>
        <v>17381102</v>
      </c>
      <c r="W192" s="412">
        <f>'KB 20'!D$72</f>
        <v>35846037</v>
      </c>
      <c r="X192" s="412">
        <f>'KB 20'!E$72</f>
        <v>34798500</v>
      </c>
      <c r="Y192" s="412">
        <f>'KB 20'!F$72</f>
        <v>34848500</v>
      </c>
      <c r="Z192" s="412">
        <f>'KB 20'!G$72</f>
        <v>34858500</v>
      </c>
      <c r="AB192" s="412">
        <f>'KB 20'!J$82</f>
        <v>258900</v>
      </c>
      <c r="AC192" s="412">
        <f>'KB 20'!K$82</f>
        <v>12000</v>
      </c>
      <c r="AD192" s="412">
        <f>'KB 20'!L$82</f>
        <v>380000</v>
      </c>
      <c r="AE192" s="412">
        <f>'KB 20'!M$82</f>
        <v>0</v>
      </c>
      <c r="AF192" s="412">
        <f>'KB 20'!N$82</f>
        <v>0</v>
      </c>
      <c r="AG192" s="412">
        <f>'KB 20'!O$82</f>
        <v>0</v>
      </c>
    </row>
    <row r="193" spans="1:33" s="412" customFormat="1" ht="3.75" customHeight="1" x14ac:dyDescent="0.15">
      <c r="A193" s="409" t="e">
        <f>#REF!</f>
        <v>#REF!</v>
      </c>
      <c r="B193" s="427" t="e">
        <f>#REF!</f>
        <v>#REF!</v>
      </c>
      <c r="C193" s="427" t="e">
        <f>#REF!</f>
        <v>#REF!</v>
      </c>
      <c r="D193" s="427" t="e">
        <f>#REF!</f>
        <v>#REF!</v>
      </c>
      <c r="E193" s="427" t="e">
        <f>#REF!</f>
        <v>#REF!</v>
      </c>
      <c r="F193" s="411"/>
      <c r="S193" s="413" t="str">
        <f>'KB 20'!I7</f>
        <v>E detyrueshme</v>
      </c>
      <c r="T193" s="413" t="str">
        <f>'KB 20'!L7</f>
        <v>I veti</v>
      </c>
      <c r="U193" s="410">
        <f>'KB 20'!B$111</f>
        <v>0</v>
      </c>
      <c r="V193" s="410">
        <f>'KB 20'!C$111</f>
        <v>0</v>
      </c>
      <c r="W193" s="410">
        <f>'KB 20'!D$111</f>
        <v>0</v>
      </c>
      <c r="X193" s="410">
        <f>'KB 20'!E$111</f>
        <v>0</v>
      </c>
      <c r="Y193" s="410">
        <f>'KB 20'!F$111</f>
        <v>0</v>
      </c>
      <c r="Z193" s="410">
        <f>'KB 20'!G$111</f>
        <v>0</v>
      </c>
      <c r="AA193" s="410"/>
      <c r="AB193" s="410">
        <f>'KB 20'!J$121</f>
        <v>0</v>
      </c>
      <c r="AC193" s="410">
        <f>'KB 20'!K$121</f>
        <v>0</v>
      </c>
      <c r="AD193" s="410">
        <f>'KB 20'!L$121</f>
        <v>0</v>
      </c>
      <c r="AE193" s="410">
        <f>'KB 20'!M$121</f>
        <v>0</v>
      </c>
      <c r="AF193" s="410">
        <f>'KB 20'!N$121</f>
        <v>0</v>
      </c>
      <c r="AG193" s="410">
        <f>'KB 20'!O$121</f>
        <v>0</v>
      </c>
    </row>
    <row r="194" spans="1:33" s="412" customFormat="1" ht="3.75" customHeight="1" outlineLevel="1" x14ac:dyDescent="0.15">
      <c r="A194" s="409" t="e">
        <f>#REF!</f>
        <v>#REF!</v>
      </c>
      <c r="B194" s="427" t="e">
        <f>#REF!</f>
        <v>#REF!</v>
      </c>
      <c r="C194" s="427" t="e">
        <f>#REF!</f>
        <v>#REF!</v>
      </c>
      <c r="D194" s="427" t="e">
        <f>#REF!</f>
        <v>#REF!</v>
      </c>
      <c r="E194" s="427" t="e">
        <f>#REF!</f>
        <v>#REF!</v>
      </c>
      <c r="S194" s="413" t="str">
        <f>'KB 20'!I8</f>
        <v>E detyrueshme</v>
      </c>
      <c r="T194" s="413" t="str">
        <f>'KB 20'!L8</f>
        <v>I veti</v>
      </c>
      <c r="U194" s="410">
        <f>'KB 20'!B$150</f>
        <v>0</v>
      </c>
      <c r="V194" s="410">
        <f>'KB 20'!C$150</f>
        <v>0</v>
      </c>
      <c r="W194" s="410">
        <f>'KB 20'!D$150</f>
        <v>0</v>
      </c>
      <c r="X194" s="410">
        <f>'KB 20'!E$150</f>
        <v>0</v>
      </c>
      <c r="Y194" s="410">
        <f>'KB 20'!F$150</f>
        <v>0</v>
      </c>
      <c r="Z194" s="410">
        <f>'KB 20'!G$150</f>
        <v>0</v>
      </c>
      <c r="AA194" s="410"/>
      <c r="AB194" s="410">
        <f>'KB 20'!J$160</f>
        <v>0</v>
      </c>
      <c r="AC194" s="410">
        <f>'KB 20'!K$160</f>
        <v>0</v>
      </c>
      <c r="AD194" s="410">
        <f>'KB 20'!L$160</f>
        <v>0</v>
      </c>
      <c r="AE194" s="410">
        <f>'KB 20'!M$160</f>
        <v>0</v>
      </c>
      <c r="AF194" s="410">
        <f>'KB 20'!N$160</f>
        <v>0</v>
      </c>
      <c r="AG194" s="410">
        <f>'KB 20'!O$160</f>
        <v>0</v>
      </c>
    </row>
    <row r="195" spans="1:33" s="412" customFormat="1" ht="3.75" customHeight="1" outlineLevel="1" x14ac:dyDescent="0.15">
      <c r="A195" s="409" t="e">
        <f>#REF!</f>
        <v>#REF!</v>
      </c>
      <c r="B195" s="427" t="e">
        <f>#REF!</f>
        <v>#REF!</v>
      </c>
      <c r="C195" s="427" t="e">
        <f>#REF!</f>
        <v>#REF!</v>
      </c>
      <c r="D195" s="427" t="e">
        <f>#REF!</f>
        <v>#REF!</v>
      </c>
      <c r="E195" s="427" t="e">
        <f>#REF!</f>
        <v>#REF!</v>
      </c>
      <c r="S195" s="413">
        <f>'KB 20'!I9</f>
        <v>0</v>
      </c>
      <c r="T195" s="413">
        <f>'KB 20'!L9</f>
        <v>0</v>
      </c>
      <c r="U195" s="410">
        <f>'KB 20'!B$189</f>
        <v>0</v>
      </c>
      <c r="V195" s="410">
        <f>'KB 20'!C$189</f>
        <v>0</v>
      </c>
      <c r="W195" s="410">
        <f>'KB 20'!D$189</f>
        <v>0</v>
      </c>
      <c r="X195" s="410">
        <f>'KB 20'!E$189</f>
        <v>0</v>
      </c>
      <c r="Y195" s="410">
        <f>'KB 20'!F$189</f>
        <v>0</v>
      </c>
      <c r="Z195" s="410">
        <f>'KB 20'!G$189</f>
        <v>0</v>
      </c>
      <c r="AA195" s="410"/>
      <c r="AB195" s="410">
        <f>'KB 20'!J$199</f>
        <v>0</v>
      </c>
      <c r="AC195" s="410">
        <f>'KB 20'!K$199</f>
        <v>0</v>
      </c>
      <c r="AD195" s="410">
        <f>'KB 20'!L$199</f>
        <v>0</v>
      </c>
      <c r="AE195" s="410">
        <f>'KB 20'!M$199</f>
        <v>0</v>
      </c>
      <c r="AF195" s="410">
        <f>'KB 20'!N$199</f>
        <v>0</v>
      </c>
      <c r="AG195" s="410">
        <f>'KB 20'!O$199</f>
        <v>0</v>
      </c>
    </row>
    <row r="196" spans="1:33" s="412" customFormat="1" ht="3.75" customHeight="1" outlineLevel="1" x14ac:dyDescent="0.15">
      <c r="A196" s="409" t="e">
        <f>#REF!</f>
        <v>#REF!</v>
      </c>
      <c r="B196" s="427" t="e">
        <f>#REF!</f>
        <v>#REF!</v>
      </c>
      <c r="C196" s="427" t="e">
        <f>#REF!</f>
        <v>#REF!</v>
      </c>
      <c r="D196" s="427" t="e">
        <f>#REF!</f>
        <v>#REF!</v>
      </c>
      <c r="E196" s="427" t="e">
        <f>#REF!</f>
        <v>#REF!</v>
      </c>
      <c r="S196" s="413">
        <f>'KB 20'!I10</f>
        <v>0</v>
      </c>
      <c r="T196" s="413">
        <f>'KB 20'!L10</f>
        <v>0</v>
      </c>
      <c r="U196" s="410">
        <f>'KB 20'!B$227</f>
        <v>0</v>
      </c>
      <c r="V196" s="410">
        <f>'KB 20'!C$227</f>
        <v>0</v>
      </c>
      <c r="W196" s="410">
        <f>'KB 20'!D$227</f>
        <v>0</v>
      </c>
      <c r="X196" s="410">
        <f>'KB 20'!E$227</f>
        <v>0</v>
      </c>
      <c r="Y196" s="410">
        <f>'KB 20'!F$227</f>
        <v>0</v>
      </c>
      <c r="Z196" s="410">
        <f>'KB 20'!G$227</f>
        <v>0</v>
      </c>
      <c r="AA196" s="410"/>
      <c r="AB196" s="410">
        <f>'KB 20'!J$237</f>
        <v>0</v>
      </c>
      <c r="AC196" s="410">
        <f>'KB 20'!K$237</f>
        <v>0</v>
      </c>
      <c r="AD196" s="410">
        <f>'KB 20'!L$237</f>
        <v>0</v>
      </c>
      <c r="AE196" s="410">
        <f>'KB 20'!M$237</f>
        <v>0</v>
      </c>
      <c r="AF196" s="410">
        <f>'KB 20'!N$237</f>
        <v>0</v>
      </c>
      <c r="AG196" s="410">
        <f>'KB 20'!O$237</f>
        <v>0</v>
      </c>
    </row>
    <row r="197" spans="1:33" s="412" customFormat="1" ht="3.75" customHeight="1" outlineLevel="1" x14ac:dyDescent="0.15">
      <c r="A197" s="409" t="e">
        <f>#REF!</f>
        <v>#REF!</v>
      </c>
      <c r="B197" s="427" t="e">
        <f>#REF!</f>
        <v>#REF!</v>
      </c>
      <c r="C197" s="427" t="e">
        <f>#REF!</f>
        <v>#REF!</v>
      </c>
      <c r="D197" s="427" t="e">
        <f>#REF!</f>
        <v>#REF!</v>
      </c>
      <c r="E197" s="427" t="e">
        <f>#REF!</f>
        <v>#REF!</v>
      </c>
      <c r="S197" s="413">
        <f>'KB 20'!I11</f>
        <v>0</v>
      </c>
      <c r="T197" s="413">
        <f>'KB 20'!L11</f>
        <v>0</v>
      </c>
      <c r="U197" s="412">
        <f>'KB 20'!B$265</f>
        <v>0</v>
      </c>
      <c r="V197" s="412">
        <f>'KB 20'!C$265</f>
        <v>0</v>
      </c>
      <c r="W197" s="412">
        <f>'KB 20'!D$265</f>
        <v>0</v>
      </c>
      <c r="X197" s="412">
        <f>'KB 20'!E$265</f>
        <v>0</v>
      </c>
      <c r="Y197" s="412">
        <f>'KB 20'!F$265</f>
        <v>0</v>
      </c>
      <c r="Z197" s="412">
        <f>'KB 20'!G$265</f>
        <v>0</v>
      </c>
      <c r="AB197" s="412">
        <f>'KB 20'!J$275</f>
        <v>0</v>
      </c>
      <c r="AC197" s="412">
        <f>'KB 20'!K$275</f>
        <v>0</v>
      </c>
      <c r="AD197" s="412">
        <f>'KB 20'!L$275</f>
        <v>0</v>
      </c>
      <c r="AE197" s="412">
        <f>'KB 20'!M$275</f>
        <v>0</v>
      </c>
      <c r="AF197" s="412">
        <f>'KB 20'!N$275</f>
        <v>0</v>
      </c>
      <c r="AG197" s="412">
        <f>'KB 20'!O$275</f>
        <v>0</v>
      </c>
    </row>
    <row r="198" spans="1:33" s="412" customFormat="1" ht="3.75" customHeight="1" outlineLevel="1" x14ac:dyDescent="0.15">
      <c r="A198" s="409" t="e">
        <f>#REF!</f>
        <v>#REF!</v>
      </c>
      <c r="B198" s="427" t="e">
        <f>#REF!</f>
        <v>#REF!</v>
      </c>
      <c r="C198" s="427" t="e">
        <f>#REF!</f>
        <v>#REF!</v>
      </c>
      <c r="D198" s="427" t="e">
        <f>#REF!</f>
        <v>#REF!</v>
      </c>
      <c r="E198" s="427" t="e">
        <f>#REF!</f>
        <v>#REF!</v>
      </c>
      <c r="S198" s="413"/>
      <c r="T198" s="413"/>
    </row>
    <row r="199" spans="1:33" s="412" customFormat="1" ht="3.75" customHeight="1" outlineLevel="1" x14ac:dyDescent="0.15">
      <c r="A199" s="409" t="e">
        <f>#REF!</f>
        <v>#REF!</v>
      </c>
      <c r="B199" s="427" t="e">
        <f>#REF!</f>
        <v>#REF!</v>
      </c>
      <c r="C199" s="427" t="e">
        <f>#REF!</f>
        <v>#REF!</v>
      </c>
      <c r="D199" s="427" t="e">
        <f>#REF!</f>
        <v>#REF!</v>
      </c>
      <c r="E199" s="427" t="e">
        <f>#REF!</f>
        <v>#REF!</v>
      </c>
      <c r="R199" s="412">
        <v>21</v>
      </c>
      <c r="S199" s="413" t="str">
        <f>'KB 21'!I6</f>
        <v>E detyrueshme</v>
      </c>
      <c r="T199" s="413" t="str">
        <f>'KB 21'!L6</f>
        <v>Transferuar</v>
      </c>
      <c r="U199" s="412">
        <f>'KB 21'!B$72</f>
        <v>162011189</v>
      </c>
      <c r="V199" s="412">
        <f>'KB 21'!C$72</f>
        <v>171800051</v>
      </c>
      <c r="W199" s="412">
        <f>'KB 21'!D$72</f>
        <v>216831061</v>
      </c>
      <c r="X199" s="412">
        <f>'KB 21'!E$72</f>
        <v>211383000</v>
      </c>
      <c r="Y199" s="412">
        <f>'KB 21'!F$72</f>
        <v>217722000</v>
      </c>
      <c r="Z199" s="412">
        <f>'KB 21'!G$72</f>
        <v>224469000</v>
      </c>
      <c r="AB199" s="412">
        <f>'KB 21'!J$82</f>
        <v>124257217</v>
      </c>
      <c r="AC199" s="412">
        <f>'KB 21'!K$82</f>
        <v>136035588</v>
      </c>
      <c r="AD199" s="412">
        <f>'KB 21'!L$82</f>
        <v>142474434</v>
      </c>
      <c r="AE199" s="412">
        <f>'KB 21'!M$82</f>
        <v>125724000</v>
      </c>
      <c r="AF199" s="412">
        <f>'KB 21'!N$82</f>
        <v>125724000</v>
      </c>
      <c r="AG199" s="412">
        <f>'KB 21'!O$82</f>
        <v>125724000</v>
      </c>
    </row>
    <row r="200" spans="1:33" s="412" customFormat="1" ht="3.75" customHeight="1" outlineLevel="1" x14ac:dyDescent="0.15">
      <c r="A200" s="409" t="e">
        <f>#REF!</f>
        <v>#REF!</v>
      </c>
      <c r="B200" s="427" t="e">
        <f>#REF!</f>
        <v>#REF!</v>
      </c>
      <c r="C200" s="427" t="e">
        <f>#REF!</f>
        <v>#REF!</v>
      </c>
      <c r="D200" s="427" t="e">
        <f>#REF!</f>
        <v>#REF!</v>
      </c>
      <c r="E200" s="427" t="e">
        <f>#REF!</f>
        <v>#REF!</v>
      </c>
      <c r="S200" s="413" t="str">
        <f>'KB 21'!I7</f>
        <v>E detyrueshme</v>
      </c>
      <c r="T200" s="413" t="str">
        <f>'KB 21'!L7</f>
        <v>Transferuar</v>
      </c>
      <c r="U200" s="410">
        <f>'KB 21'!B$111</f>
        <v>0</v>
      </c>
      <c r="V200" s="410">
        <f>'KB 21'!C$111</f>
        <v>0</v>
      </c>
      <c r="W200" s="410">
        <f>'KB 21'!D$111</f>
        <v>0</v>
      </c>
      <c r="X200" s="410">
        <f>'KB 21'!E$111</f>
        <v>0</v>
      </c>
      <c r="Y200" s="410">
        <f>'KB 21'!F$111</f>
        <v>0</v>
      </c>
      <c r="Z200" s="410">
        <f>'KB 21'!G$111</f>
        <v>0</v>
      </c>
      <c r="AA200" s="410"/>
      <c r="AB200" s="410">
        <f>'KB 21'!J$121</f>
        <v>0</v>
      </c>
      <c r="AC200" s="410">
        <f>'KB 21'!K$121</f>
        <v>0</v>
      </c>
      <c r="AD200" s="410">
        <f>'KB 21'!L$121</f>
        <v>0</v>
      </c>
      <c r="AE200" s="410">
        <f>'KB 21'!M$121</f>
        <v>0</v>
      </c>
      <c r="AF200" s="410">
        <f>'KB 21'!N$121</f>
        <v>0</v>
      </c>
      <c r="AG200" s="410">
        <f>'KB 21'!O$121</f>
        <v>0</v>
      </c>
    </row>
    <row r="201" spans="1:33" s="412" customFormat="1" ht="3.75" customHeight="1" outlineLevel="1" x14ac:dyDescent="0.15">
      <c r="A201" s="409" t="e">
        <f>#REF!</f>
        <v>#REF!</v>
      </c>
      <c r="B201" s="427" t="e">
        <f>#REF!</f>
        <v>#REF!</v>
      </c>
      <c r="C201" s="427" t="e">
        <f>#REF!</f>
        <v>#REF!</v>
      </c>
      <c r="D201" s="427" t="e">
        <f>#REF!</f>
        <v>#REF!</v>
      </c>
      <c r="E201" s="427" t="e">
        <f>#REF!</f>
        <v>#REF!</v>
      </c>
      <c r="S201" s="413" t="str">
        <f>'KB 21'!I8</f>
        <v>E detyrueshme</v>
      </c>
      <c r="T201" s="413" t="str">
        <f>'KB 21'!L8</f>
        <v>I veti</v>
      </c>
      <c r="U201" s="410">
        <f>'KB 21'!B$150</f>
        <v>0</v>
      </c>
      <c r="V201" s="410">
        <f>'KB 21'!C$150</f>
        <v>0</v>
      </c>
      <c r="W201" s="410">
        <f>'KB 21'!D$150</f>
        <v>0</v>
      </c>
      <c r="X201" s="410">
        <f>'KB 21'!E$150</f>
        <v>0</v>
      </c>
      <c r="Y201" s="410">
        <f>'KB 21'!F$150</f>
        <v>0</v>
      </c>
      <c r="Z201" s="410">
        <f>'KB 21'!G$150</f>
        <v>0</v>
      </c>
      <c r="AA201" s="410"/>
      <c r="AB201" s="410">
        <f>'KB 21'!J$160</f>
        <v>0</v>
      </c>
      <c r="AC201" s="410">
        <f>'KB 21'!K$160</f>
        <v>0</v>
      </c>
      <c r="AD201" s="410">
        <f>'KB 21'!L$160</f>
        <v>0</v>
      </c>
      <c r="AE201" s="410">
        <f>'KB 21'!M$160</f>
        <v>0</v>
      </c>
      <c r="AF201" s="410">
        <f>'KB 21'!N$160</f>
        <v>0</v>
      </c>
      <c r="AG201" s="410">
        <f>'KB 21'!O$160</f>
        <v>0</v>
      </c>
    </row>
    <row r="202" spans="1:33" s="412" customFormat="1" ht="3.75" customHeight="1" outlineLevel="1" x14ac:dyDescent="0.15">
      <c r="A202" s="409" t="e">
        <f>#REF!</f>
        <v>#REF!</v>
      </c>
      <c r="B202" s="427" t="e">
        <f>#REF!</f>
        <v>#REF!</v>
      </c>
      <c r="C202" s="427" t="e">
        <f>#REF!</f>
        <v>#REF!</v>
      </c>
      <c r="D202" s="427" t="e">
        <f>#REF!</f>
        <v>#REF!</v>
      </c>
      <c r="E202" s="427" t="e">
        <f>#REF!</f>
        <v>#REF!</v>
      </c>
      <c r="S202" s="413">
        <f>'KB 21'!I9</f>
        <v>0</v>
      </c>
      <c r="T202" s="413">
        <f>'KB 21'!L9</f>
        <v>0</v>
      </c>
      <c r="U202" s="410">
        <f>'KB 21'!B$189</f>
        <v>0</v>
      </c>
      <c r="V202" s="410">
        <f>'KB 21'!C$189</f>
        <v>0</v>
      </c>
      <c r="W202" s="410">
        <f>'KB 21'!D$189</f>
        <v>0</v>
      </c>
      <c r="X202" s="410">
        <f>'KB 21'!E$189</f>
        <v>0</v>
      </c>
      <c r="Y202" s="410">
        <f>'KB 21'!F$189</f>
        <v>0</v>
      </c>
      <c r="Z202" s="410">
        <f>'KB 21'!G$189</f>
        <v>0</v>
      </c>
      <c r="AA202" s="410"/>
      <c r="AB202" s="410">
        <f>'KB 21'!J$199</f>
        <v>0</v>
      </c>
      <c r="AC202" s="410">
        <f>'KB 21'!K$199</f>
        <v>0</v>
      </c>
      <c r="AD202" s="410">
        <f>'KB 21'!L$199</f>
        <v>0</v>
      </c>
      <c r="AE202" s="410">
        <f>'KB 21'!M$199</f>
        <v>0</v>
      </c>
      <c r="AF202" s="410">
        <f>'KB 21'!N$199</f>
        <v>0</v>
      </c>
      <c r="AG202" s="410">
        <f>'KB 21'!O$199</f>
        <v>0</v>
      </c>
    </row>
    <row r="203" spans="1:33" s="412" customFormat="1" ht="3.75" customHeight="1" outlineLevel="1" x14ac:dyDescent="0.15">
      <c r="A203" s="409" t="e">
        <f>#REF!</f>
        <v>#REF!</v>
      </c>
      <c r="B203" s="427" t="e">
        <f>#REF!</f>
        <v>#REF!</v>
      </c>
      <c r="C203" s="427" t="e">
        <f>#REF!</f>
        <v>#REF!</v>
      </c>
      <c r="D203" s="427" t="e">
        <f>#REF!</f>
        <v>#REF!</v>
      </c>
      <c r="E203" s="427" t="e">
        <f>#REF!</f>
        <v>#REF!</v>
      </c>
      <c r="S203" s="413">
        <f>'KB 21'!I10</f>
        <v>0</v>
      </c>
      <c r="T203" s="413">
        <f>'KB 21'!L10</f>
        <v>0</v>
      </c>
      <c r="U203" s="410">
        <f>'KB 21'!B$227</f>
        <v>0</v>
      </c>
      <c r="V203" s="410">
        <f>'KB 21'!C$227</f>
        <v>0</v>
      </c>
      <c r="W203" s="410">
        <f>'KB 21'!D$227</f>
        <v>0</v>
      </c>
      <c r="X203" s="410">
        <f>'KB 21'!E$227</f>
        <v>0</v>
      </c>
      <c r="Y203" s="410">
        <f>'KB 21'!F$227</f>
        <v>0</v>
      </c>
      <c r="Z203" s="410">
        <f>'KB 21'!G$227</f>
        <v>0</v>
      </c>
      <c r="AA203" s="410"/>
      <c r="AB203" s="410">
        <f>'KB 21'!J$237</f>
        <v>0</v>
      </c>
      <c r="AC203" s="410">
        <f>'KB 21'!K$237</f>
        <v>0</v>
      </c>
      <c r="AD203" s="410">
        <f>'KB 21'!L$237</f>
        <v>0</v>
      </c>
      <c r="AE203" s="410">
        <f>'KB 21'!M$237</f>
        <v>0</v>
      </c>
      <c r="AF203" s="410">
        <f>'KB 21'!N$237</f>
        <v>0</v>
      </c>
      <c r="AG203" s="410">
        <f>'KB 21'!O$237</f>
        <v>0</v>
      </c>
    </row>
    <row r="204" spans="1:33" s="412" customFormat="1" ht="3.75" customHeight="1" outlineLevel="1" x14ac:dyDescent="0.15">
      <c r="A204" s="409" t="e">
        <f>#REF!</f>
        <v>#REF!</v>
      </c>
      <c r="B204" s="427" t="e">
        <f>#REF!</f>
        <v>#REF!</v>
      </c>
      <c r="C204" s="427" t="e">
        <f>#REF!</f>
        <v>#REF!</v>
      </c>
      <c r="D204" s="427" t="e">
        <f>#REF!</f>
        <v>#REF!</v>
      </c>
      <c r="E204" s="427" t="e">
        <f>#REF!</f>
        <v>#REF!</v>
      </c>
      <c r="S204" s="413">
        <f>'KB 21'!I11</f>
        <v>0</v>
      </c>
      <c r="T204" s="413">
        <f>'KB 21'!L11</f>
        <v>0</v>
      </c>
      <c r="U204" s="412">
        <f>'KB 21'!B$265</f>
        <v>0</v>
      </c>
      <c r="V204" s="412">
        <f>'KB 21'!C$265</f>
        <v>0</v>
      </c>
      <c r="W204" s="412">
        <f>'KB 21'!D$265</f>
        <v>0</v>
      </c>
      <c r="X204" s="412">
        <f>'KB 21'!E$265</f>
        <v>0</v>
      </c>
      <c r="Y204" s="412">
        <f>'KB 21'!F$265</f>
        <v>0</v>
      </c>
      <c r="Z204" s="412">
        <f>'KB 21'!G$265</f>
        <v>0</v>
      </c>
      <c r="AB204" s="412">
        <f>'KB 21'!J$275</f>
        <v>0</v>
      </c>
      <c r="AC204" s="412">
        <f>'KB 21'!K$275</f>
        <v>0</v>
      </c>
      <c r="AD204" s="412">
        <f>'KB 21'!L$275</f>
        <v>0</v>
      </c>
      <c r="AE204" s="412">
        <f>'KB 21'!M$275</f>
        <v>0</v>
      </c>
      <c r="AF204" s="412">
        <f>'KB 21'!N$275</f>
        <v>0</v>
      </c>
      <c r="AG204" s="412">
        <f>'KB 21'!O$275</f>
        <v>0</v>
      </c>
    </row>
    <row r="205" spans="1:33" s="412" customFormat="1" ht="3.75" customHeight="1" outlineLevel="1" x14ac:dyDescent="0.15">
      <c r="A205" s="409" t="e">
        <f>#REF!</f>
        <v>#REF!</v>
      </c>
      <c r="B205" s="427" t="e">
        <f>#REF!</f>
        <v>#REF!</v>
      </c>
      <c r="C205" s="427" t="e">
        <f>#REF!</f>
        <v>#REF!</v>
      </c>
      <c r="D205" s="427" t="e">
        <f>#REF!</f>
        <v>#REF!</v>
      </c>
      <c r="E205" s="427" t="e">
        <f>#REF!</f>
        <v>#REF!</v>
      </c>
      <c r="S205" s="413"/>
      <c r="T205" s="413"/>
    </row>
    <row r="206" spans="1:33" s="412" customFormat="1" ht="3.75" customHeight="1" outlineLevel="1" x14ac:dyDescent="0.15">
      <c r="A206" s="409" t="e">
        <f>#REF!</f>
        <v>#REF!</v>
      </c>
      <c r="B206" s="427" t="e">
        <f>#REF!</f>
        <v>#REF!</v>
      </c>
      <c r="C206" s="427" t="e">
        <f>#REF!</f>
        <v>#REF!</v>
      </c>
      <c r="D206" s="427" t="e">
        <f>#REF!</f>
        <v>#REF!</v>
      </c>
      <c r="E206" s="427" t="e">
        <f>#REF!</f>
        <v>#REF!</v>
      </c>
      <c r="R206" s="412">
        <v>22</v>
      </c>
      <c r="S206" s="413" t="str">
        <f>'KB 22'!I6</f>
        <v>E detyrueshme</v>
      </c>
      <c r="T206" s="413" t="str">
        <f>'KB 22'!L6</f>
        <v>Transferuar</v>
      </c>
      <c r="U206" s="412">
        <f>'KB 22'!B$72</f>
        <v>28558839</v>
      </c>
      <c r="V206" s="412">
        <f>'KB 22'!C$72</f>
        <v>41191090</v>
      </c>
      <c r="W206" s="412">
        <f>'KB 22'!D$72</f>
        <v>23292569</v>
      </c>
      <c r="X206" s="412">
        <f>'KB 22'!E$72</f>
        <v>9835000</v>
      </c>
      <c r="Y206" s="412">
        <f>'KB 22'!F$72</f>
        <v>10130000</v>
      </c>
      <c r="Z206" s="412">
        <f>'KB 22'!G$72</f>
        <v>10435000</v>
      </c>
      <c r="AB206" s="412">
        <f>'KB 22'!J$82</f>
        <v>9838045</v>
      </c>
      <c r="AC206" s="412">
        <f>'KB 22'!K$82</f>
        <v>10536439</v>
      </c>
      <c r="AD206" s="412">
        <f>'KB 22'!L$82</f>
        <v>9548000</v>
      </c>
      <c r="AE206" s="412">
        <f>'KB 22'!M$82</f>
        <v>9548000</v>
      </c>
      <c r="AF206" s="412">
        <f>'KB 22'!N$82</f>
        <v>9548000</v>
      </c>
      <c r="AG206" s="412">
        <f>'KB 22'!O$82</f>
        <v>9548000</v>
      </c>
    </row>
    <row r="207" spans="1:33" s="412" customFormat="1" ht="3.75" customHeight="1" outlineLevel="1" x14ac:dyDescent="0.15">
      <c r="A207" s="409" t="e">
        <f>#REF!</f>
        <v>#REF!</v>
      </c>
      <c r="B207" s="427" t="e">
        <f>#REF!</f>
        <v>#REF!</v>
      </c>
      <c r="C207" s="427" t="e">
        <f>#REF!</f>
        <v>#REF!</v>
      </c>
      <c r="D207" s="427" t="e">
        <f>#REF!</f>
        <v>#REF!</v>
      </c>
      <c r="E207" s="427" t="e">
        <f>#REF!</f>
        <v>#REF!</v>
      </c>
      <c r="S207" s="413" t="str">
        <f>'KB 22'!I7</f>
        <v>E detyrueshme</v>
      </c>
      <c r="T207" s="413" t="str">
        <f>'KB 22'!L7</f>
        <v>Transferuar</v>
      </c>
      <c r="U207" s="410">
        <f>'KB 22'!B$111</f>
        <v>0</v>
      </c>
      <c r="V207" s="410">
        <f>'KB 22'!C$111</f>
        <v>0</v>
      </c>
      <c r="W207" s="410">
        <f>'KB 22'!D$111</f>
        <v>0</v>
      </c>
      <c r="X207" s="410">
        <f>'KB 22'!E$111</f>
        <v>0</v>
      </c>
      <c r="Y207" s="410">
        <f>'KB 22'!F$111</f>
        <v>0</v>
      </c>
      <c r="Z207" s="410">
        <f>'KB 22'!G$111</f>
        <v>0</v>
      </c>
      <c r="AA207" s="410"/>
      <c r="AB207" s="410">
        <f>'KB 22'!J$121</f>
        <v>0</v>
      </c>
      <c r="AC207" s="410">
        <f>'KB 22'!K$121</f>
        <v>0</v>
      </c>
      <c r="AD207" s="410">
        <f>'KB 22'!L$121</f>
        <v>0</v>
      </c>
      <c r="AE207" s="410">
        <f>'KB 22'!M$121</f>
        <v>0</v>
      </c>
      <c r="AF207" s="410">
        <f>'KB 22'!N$121</f>
        <v>0</v>
      </c>
      <c r="AG207" s="410">
        <f>'KB 22'!O$121</f>
        <v>0</v>
      </c>
    </row>
    <row r="208" spans="1:33" s="412" customFormat="1" ht="3.75" customHeight="1" outlineLevel="1" x14ac:dyDescent="0.15">
      <c r="A208" s="409" t="e">
        <f>#REF!</f>
        <v>#REF!</v>
      </c>
      <c r="B208" s="427" t="e">
        <f>#REF!</f>
        <v>#REF!</v>
      </c>
      <c r="C208" s="427" t="e">
        <f>#REF!</f>
        <v>#REF!</v>
      </c>
      <c r="D208" s="427" t="e">
        <f>#REF!</f>
        <v>#REF!</v>
      </c>
      <c r="E208" s="427" t="e">
        <f>#REF!</f>
        <v>#REF!</v>
      </c>
      <c r="S208" s="413" t="str">
        <f>'KB 22'!I8</f>
        <v>E detyrueshme</v>
      </c>
      <c r="T208" s="413" t="str">
        <f>'KB 22'!L8</f>
        <v>I deleguar</v>
      </c>
      <c r="U208" s="410">
        <f>'KB 22'!B$150</f>
        <v>0</v>
      </c>
      <c r="V208" s="410">
        <f>'KB 22'!C$150</f>
        <v>0</v>
      </c>
      <c r="W208" s="410">
        <f>'KB 22'!D$150</f>
        <v>0</v>
      </c>
      <c r="X208" s="410">
        <f>'KB 22'!E$150</f>
        <v>0</v>
      </c>
      <c r="Y208" s="410">
        <f>'KB 22'!F$150</f>
        <v>0</v>
      </c>
      <c r="Z208" s="410">
        <f>'KB 22'!G$150</f>
        <v>0</v>
      </c>
      <c r="AA208" s="410"/>
      <c r="AB208" s="410">
        <f>'KB 22'!J$160</f>
        <v>0</v>
      </c>
      <c r="AC208" s="410">
        <f>'KB 22'!K$160</f>
        <v>0</v>
      </c>
      <c r="AD208" s="410">
        <f>'KB 22'!L$160</f>
        <v>0</v>
      </c>
      <c r="AE208" s="410">
        <f>'KB 22'!M$160</f>
        <v>0</v>
      </c>
      <c r="AF208" s="410">
        <f>'KB 22'!N$160</f>
        <v>0</v>
      </c>
      <c r="AG208" s="410">
        <f>'KB 22'!O$160</f>
        <v>0</v>
      </c>
    </row>
    <row r="209" spans="1:33" s="412" customFormat="1" ht="3.75" customHeight="1" outlineLevel="1" x14ac:dyDescent="0.15">
      <c r="A209" s="409" t="e">
        <f>#REF!</f>
        <v>#REF!</v>
      </c>
      <c r="B209" s="427" t="e">
        <f>#REF!</f>
        <v>#REF!</v>
      </c>
      <c r="C209" s="427" t="e">
        <f>#REF!</f>
        <v>#REF!</v>
      </c>
      <c r="D209" s="427" t="e">
        <f>#REF!</f>
        <v>#REF!</v>
      </c>
      <c r="E209" s="427" t="e">
        <f>#REF!</f>
        <v>#REF!</v>
      </c>
      <c r="S209" s="413">
        <f>'KB 22'!I9</f>
        <v>0</v>
      </c>
      <c r="T209" s="413">
        <f>'KB 22'!L9</f>
        <v>0</v>
      </c>
      <c r="U209" s="410">
        <f>'KB 22'!B$189</f>
        <v>0</v>
      </c>
      <c r="V209" s="410">
        <f>'KB 22'!C$189</f>
        <v>0</v>
      </c>
      <c r="W209" s="410">
        <f>'KB 22'!D$189</f>
        <v>0</v>
      </c>
      <c r="X209" s="410">
        <f>'KB 22'!E$189</f>
        <v>0</v>
      </c>
      <c r="Y209" s="410">
        <f>'KB 22'!F$189</f>
        <v>0</v>
      </c>
      <c r="Z209" s="410">
        <f>'KB 22'!G$189</f>
        <v>0</v>
      </c>
      <c r="AA209" s="410"/>
      <c r="AB209" s="410">
        <f>'KB 22'!J$199</f>
        <v>0</v>
      </c>
      <c r="AC209" s="410">
        <f>'KB 22'!K$199</f>
        <v>0</v>
      </c>
      <c r="AD209" s="410">
        <f>'KB 22'!L$199</f>
        <v>0</v>
      </c>
      <c r="AE209" s="410">
        <f>'KB 22'!M$199</f>
        <v>0</v>
      </c>
      <c r="AF209" s="410">
        <f>'KB 22'!N$199</f>
        <v>0</v>
      </c>
      <c r="AG209" s="410">
        <f>'KB 22'!O$199</f>
        <v>0</v>
      </c>
    </row>
    <row r="210" spans="1:33" s="412" customFormat="1" ht="3.75" customHeight="1" outlineLevel="1" x14ac:dyDescent="0.15">
      <c r="A210" s="409" t="e">
        <f>#REF!</f>
        <v>#REF!</v>
      </c>
      <c r="B210" s="427" t="e">
        <f>#REF!</f>
        <v>#REF!</v>
      </c>
      <c r="C210" s="427" t="e">
        <f>#REF!</f>
        <v>#REF!</v>
      </c>
      <c r="D210" s="427" t="e">
        <f>#REF!</f>
        <v>#REF!</v>
      </c>
      <c r="E210" s="427" t="e">
        <f>#REF!</f>
        <v>#REF!</v>
      </c>
      <c r="S210" s="413">
        <f>'KB 22'!I10</f>
        <v>0</v>
      </c>
      <c r="T210" s="413">
        <f>'KB 22'!L10</f>
        <v>0</v>
      </c>
      <c r="U210" s="410">
        <f>'KB 22'!B$227</f>
        <v>0</v>
      </c>
      <c r="V210" s="410">
        <f>'KB 22'!C$227</f>
        <v>0</v>
      </c>
      <c r="W210" s="410">
        <f>'KB 22'!D$227</f>
        <v>0</v>
      </c>
      <c r="X210" s="410">
        <f>'KB 22'!E$227</f>
        <v>0</v>
      </c>
      <c r="Y210" s="410">
        <f>'KB 22'!F$227</f>
        <v>0</v>
      </c>
      <c r="Z210" s="410">
        <f>'KB 22'!G$227</f>
        <v>0</v>
      </c>
      <c r="AA210" s="410"/>
      <c r="AB210" s="410">
        <f>'KB 22'!J$237</f>
        <v>0</v>
      </c>
      <c r="AC210" s="410">
        <f>'KB 22'!K$237</f>
        <v>0</v>
      </c>
      <c r="AD210" s="410">
        <f>'KB 22'!L$237</f>
        <v>0</v>
      </c>
      <c r="AE210" s="410">
        <f>'KB 22'!M$237</f>
        <v>0</v>
      </c>
      <c r="AF210" s="410">
        <f>'KB 22'!N$237</f>
        <v>0</v>
      </c>
      <c r="AG210" s="410">
        <f>'KB 22'!O$237</f>
        <v>0</v>
      </c>
    </row>
    <row r="211" spans="1:33" s="412" customFormat="1" ht="3.75" customHeight="1" x14ac:dyDescent="0.15">
      <c r="A211" s="421"/>
      <c r="B211" s="422"/>
      <c r="C211" s="422"/>
      <c r="D211" s="422"/>
      <c r="E211" s="422"/>
      <c r="F211" s="411"/>
      <c r="S211" s="413">
        <f>'KB 22'!I11</f>
        <v>0</v>
      </c>
      <c r="T211" s="413">
        <f>'KB 22'!L11</f>
        <v>0</v>
      </c>
      <c r="U211" s="412">
        <f>'KB 22'!B$265</f>
        <v>0</v>
      </c>
      <c r="V211" s="412">
        <f>'KB 22'!C$265</f>
        <v>0</v>
      </c>
      <c r="W211" s="412">
        <f>'KB 22'!D$265</f>
        <v>0</v>
      </c>
      <c r="X211" s="412">
        <f>'KB 22'!E$265</f>
        <v>0</v>
      </c>
      <c r="Y211" s="412">
        <f>'KB 22'!F$265</f>
        <v>0</v>
      </c>
      <c r="Z211" s="412">
        <f>'KB 22'!G$265</f>
        <v>0</v>
      </c>
      <c r="AB211" s="412">
        <f>'KB 22'!J$275</f>
        <v>0</v>
      </c>
      <c r="AC211" s="412">
        <f>'KB 22'!K$275</f>
        <v>0</v>
      </c>
      <c r="AD211" s="412">
        <f>'KB 22'!L$275</f>
        <v>0</v>
      </c>
      <c r="AE211" s="412">
        <f>'KB 22'!M$275</f>
        <v>0</v>
      </c>
      <c r="AF211" s="412">
        <f>'KB 22'!N$275</f>
        <v>0</v>
      </c>
      <c r="AG211" s="412">
        <f>'KB 22'!O$275</f>
        <v>0</v>
      </c>
    </row>
    <row r="212" spans="1:33" s="412" customFormat="1" ht="3.75" customHeight="1" x14ac:dyDescent="0.15">
      <c r="A212" s="409" t="e">
        <f>#REF!</f>
        <v>#REF!</v>
      </c>
      <c r="B212" s="427" t="e">
        <f>#REF!</f>
        <v>#REF!</v>
      </c>
      <c r="C212" s="427" t="e">
        <f>#REF!</f>
        <v>#REF!</v>
      </c>
      <c r="D212" s="427" t="e">
        <f>#REF!</f>
        <v>#REF!</v>
      </c>
      <c r="E212" s="427" t="e">
        <f>#REF!</f>
        <v>#REF!</v>
      </c>
      <c r="F212" s="411"/>
      <c r="S212" s="413"/>
      <c r="T212" s="413"/>
    </row>
    <row r="213" spans="1:33" s="412" customFormat="1" ht="3.75" customHeight="1" x14ac:dyDescent="0.15">
      <c r="A213" s="409" t="e">
        <f>#REF!</f>
        <v>#REF!</v>
      </c>
      <c r="B213" s="427" t="e">
        <f>#REF!</f>
        <v>#REF!</v>
      </c>
      <c r="C213" s="427" t="e">
        <f>#REF!</f>
        <v>#REF!</v>
      </c>
      <c r="D213" s="427" t="e">
        <f>#REF!</f>
        <v>#REF!</v>
      </c>
      <c r="E213" s="427" t="e">
        <f>#REF!</f>
        <v>#REF!</v>
      </c>
      <c r="F213" s="411"/>
      <c r="R213" s="412">
        <v>23</v>
      </c>
      <c r="S213" s="413" t="e">
        <f>#REF!</f>
        <v>#REF!</v>
      </c>
      <c r="T213" s="413" t="e">
        <f>#REF!</f>
        <v>#REF!</v>
      </c>
      <c r="U213" s="412" t="e">
        <f>#REF!</f>
        <v>#REF!</v>
      </c>
      <c r="V213" s="412" t="e">
        <f>#REF!</f>
        <v>#REF!</v>
      </c>
      <c r="W213" s="412" t="e">
        <f>#REF!</f>
        <v>#REF!</v>
      </c>
      <c r="X213" s="412" t="e">
        <f>#REF!</f>
        <v>#REF!</v>
      </c>
      <c r="Y213" s="412" t="e">
        <f>#REF!</f>
        <v>#REF!</v>
      </c>
      <c r="Z213" s="412" t="e">
        <f>#REF!</f>
        <v>#REF!</v>
      </c>
      <c r="AB213" s="412" t="e">
        <f>#REF!</f>
        <v>#REF!</v>
      </c>
      <c r="AC213" s="412" t="e">
        <f>#REF!</f>
        <v>#REF!</v>
      </c>
      <c r="AD213" s="412" t="e">
        <f>#REF!</f>
        <v>#REF!</v>
      </c>
      <c r="AE213" s="412" t="e">
        <f>#REF!</f>
        <v>#REF!</v>
      </c>
      <c r="AF213" s="412" t="e">
        <f>#REF!</f>
        <v>#REF!</v>
      </c>
      <c r="AG213" s="412" t="e">
        <f>#REF!</f>
        <v>#REF!</v>
      </c>
    </row>
    <row r="214" spans="1:33" s="412" customFormat="1" ht="3.75" customHeight="1" outlineLevel="1" x14ac:dyDescent="0.15">
      <c r="A214" s="409" t="e">
        <f>#REF!</f>
        <v>#REF!</v>
      </c>
      <c r="B214" s="427" t="e">
        <f>#REF!</f>
        <v>#REF!</v>
      </c>
      <c r="C214" s="427" t="e">
        <f>#REF!</f>
        <v>#REF!</v>
      </c>
      <c r="D214" s="427" t="e">
        <f>#REF!</f>
        <v>#REF!</v>
      </c>
      <c r="E214" s="427" t="e">
        <f>#REF!</f>
        <v>#REF!</v>
      </c>
      <c r="S214" s="413" t="e">
        <f>#REF!</f>
        <v>#REF!</v>
      </c>
      <c r="T214" s="413" t="e">
        <f>#REF!</f>
        <v>#REF!</v>
      </c>
      <c r="U214" s="410" t="e">
        <f>#REF!</f>
        <v>#REF!</v>
      </c>
      <c r="V214" s="410" t="e">
        <f>#REF!</f>
        <v>#REF!</v>
      </c>
      <c r="W214" s="410" t="e">
        <f>#REF!</f>
        <v>#REF!</v>
      </c>
      <c r="X214" s="410" t="e">
        <f>#REF!</f>
        <v>#REF!</v>
      </c>
      <c r="Y214" s="410" t="e">
        <f>#REF!</f>
        <v>#REF!</v>
      </c>
      <c r="Z214" s="410" t="e">
        <f>#REF!</f>
        <v>#REF!</v>
      </c>
      <c r="AA214" s="410"/>
      <c r="AB214" s="410" t="e">
        <f>#REF!</f>
        <v>#REF!</v>
      </c>
      <c r="AC214" s="410" t="e">
        <f>#REF!</f>
        <v>#REF!</v>
      </c>
      <c r="AD214" s="410" t="e">
        <f>#REF!</f>
        <v>#REF!</v>
      </c>
      <c r="AE214" s="410" t="e">
        <f>#REF!</f>
        <v>#REF!</v>
      </c>
      <c r="AF214" s="410" t="e">
        <f>#REF!</f>
        <v>#REF!</v>
      </c>
      <c r="AG214" s="410" t="e">
        <f>#REF!</f>
        <v>#REF!</v>
      </c>
    </row>
    <row r="215" spans="1:33" s="412" customFormat="1" ht="3.75" customHeight="1" outlineLevel="1" x14ac:dyDescent="0.15">
      <c r="A215" s="409" t="e">
        <f>#REF!</f>
        <v>#REF!</v>
      </c>
      <c r="B215" s="427" t="e">
        <f>#REF!</f>
        <v>#REF!</v>
      </c>
      <c r="C215" s="427" t="e">
        <f>#REF!</f>
        <v>#REF!</v>
      </c>
      <c r="D215" s="427" t="e">
        <f>#REF!</f>
        <v>#REF!</v>
      </c>
      <c r="E215" s="427" t="e">
        <f>#REF!</f>
        <v>#REF!</v>
      </c>
      <c r="S215" s="413" t="e">
        <f>#REF!</f>
        <v>#REF!</v>
      </c>
      <c r="T215" s="413" t="e">
        <f>#REF!</f>
        <v>#REF!</v>
      </c>
      <c r="U215" s="410" t="e">
        <f>#REF!</f>
        <v>#REF!</v>
      </c>
      <c r="V215" s="410" t="e">
        <f>#REF!</f>
        <v>#REF!</v>
      </c>
      <c r="W215" s="410" t="e">
        <f>#REF!</f>
        <v>#REF!</v>
      </c>
      <c r="X215" s="410" t="e">
        <f>#REF!</f>
        <v>#REF!</v>
      </c>
      <c r="Y215" s="410" t="e">
        <f>#REF!</f>
        <v>#REF!</v>
      </c>
      <c r="Z215" s="410" t="e">
        <f>#REF!</f>
        <v>#REF!</v>
      </c>
      <c r="AA215" s="410"/>
      <c r="AB215" s="410" t="e">
        <f>#REF!</f>
        <v>#REF!</v>
      </c>
      <c r="AC215" s="410" t="e">
        <f>#REF!</f>
        <v>#REF!</v>
      </c>
      <c r="AD215" s="410" t="e">
        <f>#REF!</f>
        <v>#REF!</v>
      </c>
      <c r="AE215" s="410" t="e">
        <f>#REF!</f>
        <v>#REF!</v>
      </c>
      <c r="AF215" s="410" t="e">
        <f>#REF!</f>
        <v>#REF!</v>
      </c>
      <c r="AG215" s="410" t="e">
        <f>#REF!</f>
        <v>#REF!</v>
      </c>
    </row>
    <row r="216" spans="1:33" s="412" customFormat="1" ht="3.75" customHeight="1" outlineLevel="1" x14ac:dyDescent="0.15">
      <c r="A216" s="409" t="e">
        <f>#REF!</f>
        <v>#REF!</v>
      </c>
      <c r="B216" s="427" t="e">
        <f>#REF!</f>
        <v>#REF!</v>
      </c>
      <c r="C216" s="427" t="e">
        <f>#REF!</f>
        <v>#REF!</v>
      </c>
      <c r="D216" s="427" t="e">
        <f>#REF!</f>
        <v>#REF!</v>
      </c>
      <c r="E216" s="427" t="e">
        <f>#REF!</f>
        <v>#REF!</v>
      </c>
      <c r="S216" s="413" t="e">
        <f>#REF!</f>
        <v>#REF!</v>
      </c>
      <c r="T216" s="413" t="e">
        <f>#REF!</f>
        <v>#REF!</v>
      </c>
      <c r="U216" s="410" t="e">
        <f>#REF!</f>
        <v>#REF!</v>
      </c>
      <c r="V216" s="410" t="e">
        <f>#REF!</f>
        <v>#REF!</v>
      </c>
      <c r="W216" s="410" t="e">
        <f>#REF!</f>
        <v>#REF!</v>
      </c>
      <c r="X216" s="410" t="e">
        <f>#REF!</f>
        <v>#REF!</v>
      </c>
      <c r="Y216" s="410" t="e">
        <f>#REF!</f>
        <v>#REF!</v>
      </c>
      <c r="Z216" s="410" t="e">
        <f>#REF!</f>
        <v>#REF!</v>
      </c>
      <c r="AA216" s="410"/>
      <c r="AB216" s="410" t="e">
        <f>#REF!</f>
        <v>#REF!</v>
      </c>
      <c r="AC216" s="410" t="e">
        <f>#REF!</f>
        <v>#REF!</v>
      </c>
      <c r="AD216" s="410" t="e">
        <f>#REF!</f>
        <v>#REF!</v>
      </c>
      <c r="AE216" s="410" t="e">
        <f>#REF!</f>
        <v>#REF!</v>
      </c>
      <c r="AF216" s="410" t="e">
        <f>#REF!</f>
        <v>#REF!</v>
      </c>
      <c r="AG216" s="410" t="e">
        <f>#REF!</f>
        <v>#REF!</v>
      </c>
    </row>
    <row r="217" spans="1:33" s="412" customFormat="1" ht="3.75" customHeight="1" outlineLevel="1" x14ac:dyDescent="0.15">
      <c r="A217" s="409" t="e">
        <f>#REF!</f>
        <v>#REF!</v>
      </c>
      <c r="B217" s="427" t="e">
        <f>#REF!</f>
        <v>#REF!</v>
      </c>
      <c r="C217" s="427" t="e">
        <f>#REF!</f>
        <v>#REF!</v>
      </c>
      <c r="D217" s="427" t="e">
        <f>#REF!</f>
        <v>#REF!</v>
      </c>
      <c r="E217" s="427" t="e">
        <f>#REF!</f>
        <v>#REF!</v>
      </c>
      <c r="S217" s="413" t="e">
        <f>#REF!</f>
        <v>#REF!</v>
      </c>
      <c r="T217" s="413" t="e">
        <f>#REF!</f>
        <v>#REF!</v>
      </c>
      <c r="U217" s="410" t="e">
        <f>#REF!</f>
        <v>#REF!</v>
      </c>
      <c r="V217" s="410" t="e">
        <f>#REF!</f>
        <v>#REF!</v>
      </c>
      <c r="W217" s="410" t="e">
        <f>#REF!</f>
        <v>#REF!</v>
      </c>
      <c r="X217" s="410" t="e">
        <f>#REF!</f>
        <v>#REF!</v>
      </c>
      <c r="Y217" s="410" t="e">
        <f>#REF!</f>
        <v>#REF!</v>
      </c>
      <c r="Z217" s="410" t="e">
        <f>#REF!</f>
        <v>#REF!</v>
      </c>
      <c r="AA217" s="410"/>
      <c r="AB217" s="410" t="e">
        <f>#REF!</f>
        <v>#REF!</v>
      </c>
      <c r="AC217" s="410" t="e">
        <f>#REF!</f>
        <v>#REF!</v>
      </c>
      <c r="AD217" s="410" t="e">
        <f>#REF!</f>
        <v>#REF!</v>
      </c>
      <c r="AE217" s="410" t="e">
        <f>#REF!</f>
        <v>#REF!</v>
      </c>
      <c r="AF217" s="410" t="e">
        <f>#REF!</f>
        <v>#REF!</v>
      </c>
      <c r="AG217" s="410" t="e">
        <f>#REF!</f>
        <v>#REF!</v>
      </c>
    </row>
    <row r="218" spans="1:33" s="412" customFormat="1" ht="3.75" customHeight="1" outlineLevel="1" x14ac:dyDescent="0.15">
      <c r="A218" s="409" t="e">
        <f>#REF!</f>
        <v>#REF!</v>
      </c>
      <c r="B218" s="427" t="e">
        <f>#REF!</f>
        <v>#REF!</v>
      </c>
      <c r="C218" s="427" t="e">
        <f>#REF!</f>
        <v>#REF!</v>
      </c>
      <c r="D218" s="427" t="e">
        <f>#REF!</f>
        <v>#REF!</v>
      </c>
      <c r="E218" s="427" t="e">
        <f>#REF!</f>
        <v>#REF!</v>
      </c>
      <c r="S218" s="413" t="e">
        <f>#REF!</f>
        <v>#REF!</v>
      </c>
      <c r="T218" s="413" t="e">
        <f>#REF!</f>
        <v>#REF!</v>
      </c>
      <c r="U218" s="412" t="e">
        <f>#REF!</f>
        <v>#REF!</v>
      </c>
      <c r="V218" s="412" t="e">
        <f>#REF!</f>
        <v>#REF!</v>
      </c>
      <c r="W218" s="412" t="e">
        <f>#REF!</f>
        <v>#REF!</v>
      </c>
      <c r="X218" s="412" t="e">
        <f>#REF!</f>
        <v>#REF!</v>
      </c>
      <c r="Y218" s="412" t="e">
        <f>#REF!</f>
        <v>#REF!</v>
      </c>
      <c r="Z218" s="412" t="e">
        <f>#REF!</f>
        <v>#REF!</v>
      </c>
      <c r="AB218" s="412" t="e">
        <f>#REF!</f>
        <v>#REF!</v>
      </c>
      <c r="AC218" s="412" t="e">
        <f>#REF!</f>
        <v>#REF!</v>
      </c>
      <c r="AD218" s="412" t="e">
        <f>#REF!</f>
        <v>#REF!</v>
      </c>
      <c r="AE218" s="412" t="e">
        <f>#REF!</f>
        <v>#REF!</v>
      </c>
      <c r="AF218" s="412" t="e">
        <f>#REF!</f>
        <v>#REF!</v>
      </c>
      <c r="AG218" s="412" t="e">
        <f>#REF!</f>
        <v>#REF!</v>
      </c>
    </row>
    <row r="219" spans="1:33" s="412" customFormat="1" ht="3.75" customHeight="1" outlineLevel="1" x14ac:dyDescent="0.15">
      <c r="A219" s="409" t="e">
        <f>#REF!</f>
        <v>#REF!</v>
      </c>
      <c r="B219" s="427" t="e">
        <f>#REF!</f>
        <v>#REF!</v>
      </c>
      <c r="C219" s="427" t="e">
        <f>#REF!</f>
        <v>#REF!</v>
      </c>
      <c r="D219" s="427" t="e">
        <f>#REF!</f>
        <v>#REF!</v>
      </c>
      <c r="E219" s="427" t="e">
        <f>#REF!</f>
        <v>#REF!</v>
      </c>
      <c r="S219" s="413"/>
      <c r="T219" s="413"/>
    </row>
    <row r="220" spans="1:33" s="412" customFormat="1" ht="3.75" customHeight="1" outlineLevel="1" x14ac:dyDescent="0.15">
      <c r="A220" s="409" t="e">
        <f>#REF!</f>
        <v>#REF!</v>
      </c>
      <c r="B220" s="427" t="e">
        <f>#REF!</f>
        <v>#REF!</v>
      </c>
      <c r="C220" s="427" t="e">
        <f>#REF!</f>
        <v>#REF!</v>
      </c>
      <c r="D220" s="427" t="e">
        <f>#REF!</f>
        <v>#REF!</v>
      </c>
      <c r="E220" s="427" t="e">
        <f>#REF!</f>
        <v>#REF!</v>
      </c>
      <c r="R220" s="412">
        <v>24</v>
      </c>
      <c r="S220" s="413" t="str">
        <f>'KB23'!I6</f>
        <v>E detyrueshme</v>
      </c>
      <c r="T220" s="413" t="str">
        <f>'KB23'!L6</f>
        <v>I veti</v>
      </c>
      <c r="U220" s="412">
        <f>'KB23'!B$72</f>
        <v>0</v>
      </c>
      <c r="V220" s="412">
        <f>'KB23'!C$72</f>
        <v>0</v>
      </c>
      <c r="W220" s="412">
        <f>'KB23'!D$72</f>
        <v>0</v>
      </c>
      <c r="X220" s="412">
        <f>'KB23'!E$72</f>
        <v>0</v>
      </c>
      <c r="Y220" s="412">
        <f>'KB23'!F$72</f>
        <v>0</v>
      </c>
      <c r="Z220" s="412">
        <f>'KB23'!G$72</f>
        <v>0</v>
      </c>
      <c r="AB220" s="412">
        <f>'KB23'!J$82</f>
        <v>0</v>
      </c>
      <c r="AC220" s="412">
        <f>'KB23'!K$82</f>
        <v>0</v>
      </c>
      <c r="AD220" s="412">
        <f>'KB23'!L$82</f>
        <v>0</v>
      </c>
      <c r="AE220" s="412">
        <f>'KB23'!M$82</f>
        <v>0</v>
      </c>
      <c r="AF220" s="412">
        <f>'KB23'!N$82</f>
        <v>0</v>
      </c>
      <c r="AG220" s="412">
        <f>'KB23'!O$82</f>
        <v>0</v>
      </c>
    </row>
    <row r="221" spans="1:33" s="412" customFormat="1" ht="3.75" customHeight="1" outlineLevel="1" x14ac:dyDescent="0.15">
      <c r="A221" s="409" t="e">
        <f>#REF!</f>
        <v>#REF!</v>
      </c>
      <c r="B221" s="427" t="e">
        <f>#REF!</f>
        <v>#REF!</v>
      </c>
      <c r="C221" s="427" t="e">
        <f>#REF!</f>
        <v>#REF!</v>
      </c>
      <c r="D221" s="427" t="e">
        <f>#REF!</f>
        <v>#REF!</v>
      </c>
      <c r="E221" s="427" t="e">
        <f>#REF!</f>
        <v>#REF!</v>
      </c>
      <c r="S221" s="413">
        <f>'KB23'!I7</f>
        <v>0</v>
      </c>
      <c r="T221" s="413">
        <f>'KB23'!L7</f>
        <v>0</v>
      </c>
      <c r="U221" s="410">
        <f>'KB23'!B$111</f>
        <v>0</v>
      </c>
      <c r="V221" s="410">
        <f>'KB23'!C$111</f>
        <v>0</v>
      </c>
      <c r="W221" s="410">
        <f>'KB23'!D$111</f>
        <v>0</v>
      </c>
      <c r="X221" s="410">
        <f>'KB23'!E$111</f>
        <v>0</v>
      </c>
      <c r="Y221" s="410">
        <f>'KB23'!F$111</f>
        <v>0</v>
      </c>
      <c r="Z221" s="410">
        <f>'KB23'!G$111</f>
        <v>0</v>
      </c>
      <c r="AA221" s="410"/>
      <c r="AB221" s="410">
        <f>'KB23'!J$121</f>
        <v>0</v>
      </c>
      <c r="AC221" s="410">
        <f>'KB23'!K$121</f>
        <v>0</v>
      </c>
      <c r="AD221" s="410">
        <f>'KB23'!L$121</f>
        <v>0</v>
      </c>
      <c r="AE221" s="410">
        <f>'KB23'!M$121</f>
        <v>0</v>
      </c>
      <c r="AF221" s="410">
        <f>'KB23'!N$121</f>
        <v>0</v>
      </c>
      <c r="AG221" s="410">
        <f>'KB23'!O$121</f>
        <v>0</v>
      </c>
    </row>
    <row r="222" spans="1:33" s="412" customFormat="1" ht="3.75" customHeight="1" outlineLevel="1" x14ac:dyDescent="0.15">
      <c r="A222" s="409" t="e">
        <f>#REF!</f>
        <v>#REF!</v>
      </c>
      <c r="B222" s="427" t="e">
        <f>#REF!</f>
        <v>#REF!</v>
      </c>
      <c r="C222" s="427" t="e">
        <f>#REF!</f>
        <v>#REF!</v>
      </c>
      <c r="D222" s="427" t="e">
        <f>#REF!</f>
        <v>#REF!</v>
      </c>
      <c r="E222" s="427" t="e">
        <f>#REF!</f>
        <v>#REF!</v>
      </c>
      <c r="S222" s="413">
        <f>'KB23'!I8</f>
        <v>0</v>
      </c>
      <c r="T222" s="413">
        <f>'KB23'!L8</f>
        <v>0</v>
      </c>
      <c r="U222" s="410">
        <f>'KB23'!B$150</f>
        <v>0</v>
      </c>
      <c r="V222" s="410">
        <f>'KB23'!C$150</f>
        <v>0</v>
      </c>
      <c r="W222" s="410">
        <f>'KB23'!D$150</f>
        <v>0</v>
      </c>
      <c r="X222" s="410">
        <f>'KB23'!E$150</f>
        <v>0</v>
      </c>
      <c r="Y222" s="410">
        <f>'KB23'!F$150</f>
        <v>0</v>
      </c>
      <c r="Z222" s="410">
        <f>'KB23'!G$150</f>
        <v>0</v>
      </c>
      <c r="AA222" s="410"/>
      <c r="AB222" s="410">
        <f>'KB23'!J$160</f>
        <v>0</v>
      </c>
      <c r="AC222" s="410">
        <f>'KB23'!K$160</f>
        <v>0</v>
      </c>
      <c r="AD222" s="410">
        <f>'KB23'!L$160</f>
        <v>0</v>
      </c>
      <c r="AE222" s="410">
        <f>'KB23'!M$160</f>
        <v>0</v>
      </c>
      <c r="AF222" s="410">
        <f>'KB23'!N$160</f>
        <v>0</v>
      </c>
      <c r="AG222" s="410">
        <f>'KB23'!O$160</f>
        <v>0</v>
      </c>
    </row>
    <row r="223" spans="1:33" s="412" customFormat="1" ht="3.75" customHeight="1" outlineLevel="1" x14ac:dyDescent="0.15">
      <c r="A223" s="409" t="e">
        <f>#REF!</f>
        <v>#REF!</v>
      </c>
      <c r="B223" s="427" t="e">
        <f>#REF!</f>
        <v>#REF!</v>
      </c>
      <c r="C223" s="427" t="e">
        <f>#REF!</f>
        <v>#REF!</v>
      </c>
      <c r="D223" s="427" t="e">
        <f>#REF!</f>
        <v>#REF!</v>
      </c>
      <c r="E223" s="427" t="e">
        <f>#REF!</f>
        <v>#REF!</v>
      </c>
      <c r="S223" s="413">
        <f>'KB23'!I9</f>
        <v>0</v>
      </c>
      <c r="T223" s="413">
        <f>'KB23'!L9</f>
        <v>0</v>
      </c>
      <c r="U223" s="410">
        <f>'KB23'!B$188</f>
        <v>0</v>
      </c>
      <c r="V223" s="410">
        <f>'KB23'!C$188</f>
        <v>0</v>
      </c>
      <c r="W223" s="410">
        <f>'KB23'!D$188</f>
        <v>0</v>
      </c>
      <c r="X223" s="410">
        <f>'KB23'!E$188</f>
        <v>0</v>
      </c>
      <c r="Y223" s="410">
        <f>'KB23'!F$188</f>
        <v>0</v>
      </c>
      <c r="Z223" s="410">
        <f>'KB23'!G$188</f>
        <v>0</v>
      </c>
      <c r="AA223" s="410"/>
      <c r="AB223" s="410">
        <f>'KB23'!J$198</f>
        <v>0</v>
      </c>
      <c r="AC223" s="410">
        <f>'KB23'!K$198</f>
        <v>0</v>
      </c>
      <c r="AD223" s="410">
        <f>'KB23'!L$198</f>
        <v>0</v>
      </c>
      <c r="AE223" s="410">
        <f>'KB23'!M$198</f>
        <v>0</v>
      </c>
      <c r="AF223" s="410">
        <f>'KB23'!N$198</f>
        <v>0</v>
      </c>
      <c r="AG223" s="410">
        <f>'KB23'!O$198</f>
        <v>0</v>
      </c>
    </row>
    <row r="224" spans="1:33" s="412" customFormat="1" ht="3.75" customHeight="1" outlineLevel="1" x14ac:dyDescent="0.15">
      <c r="A224" s="409" t="e">
        <f>#REF!</f>
        <v>#REF!</v>
      </c>
      <c r="B224" s="427" t="e">
        <f>#REF!</f>
        <v>#REF!</v>
      </c>
      <c r="C224" s="427" t="e">
        <f>#REF!</f>
        <v>#REF!</v>
      </c>
      <c r="D224" s="427" t="e">
        <f>#REF!</f>
        <v>#REF!</v>
      </c>
      <c r="E224" s="427" t="e">
        <f>#REF!</f>
        <v>#REF!</v>
      </c>
      <c r="S224" s="413">
        <f>'KB23'!I10</f>
        <v>0</v>
      </c>
      <c r="T224" s="413">
        <f>'KB23'!L10</f>
        <v>0</v>
      </c>
      <c r="U224" s="410">
        <f>'KB23'!B$226</f>
        <v>0</v>
      </c>
      <c r="V224" s="410">
        <f>'KB23'!C$226</f>
        <v>0</v>
      </c>
      <c r="W224" s="410">
        <f>'KB23'!D$226</f>
        <v>0</v>
      </c>
      <c r="X224" s="410">
        <f>'KB23'!E$226</f>
        <v>0</v>
      </c>
      <c r="Y224" s="410">
        <f>'KB23'!F$226</f>
        <v>0</v>
      </c>
      <c r="Z224" s="410">
        <f>'KB23'!G$226</f>
        <v>0</v>
      </c>
      <c r="AA224" s="410"/>
      <c r="AB224" s="410">
        <f>'KB23'!J$236</f>
        <v>0</v>
      </c>
      <c r="AC224" s="410">
        <f>'KB23'!K$236</f>
        <v>0</v>
      </c>
      <c r="AD224" s="410">
        <f>'KB23'!L$236</f>
        <v>0</v>
      </c>
      <c r="AE224" s="410">
        <f>'KB23'!M$236</f>
        <v>0</v>
      </c>
      <c r="AF224" s="410">
        <f>'KB23'!N$236</f>
        <v>0</v>
      </c>
      <c r="AG224" s="410">
        <f>'KB23'!O$236</f>
        <v>0</v>
      </c>
    </row>
    <row r="225" spans="1:33" s="412" customFormat="1" ht="3.75" customHeight="1" outlineLevel="1" x14ac:dyDescent="0.15">
      <c r="A225" s="409" t="e">
        <f>#REF!</f>
        <v>#REF!</v>
      </c>
      <c r="B225" s="427" t="e">
        <f>#REF!</f>
        <v>#REF!</v>
      </c>
      <c r="C225" s="427" t="e">
        <f>#REF!</f>
        <v>#REF!</v>
      </c>
      <c r="D225" s="427" t="e">
        <f>#REF!</f>
        <v>#REF!</v>
      </c>
      <c r="E225" s="427" t="e">
        <f>#REF!</f>
        <v>#REF!</v>
      </c>
      <c r="S225" s="413">
        <f>'KB23'!I11</f>
        <v>0</v>
      </c>
      <c r="T225" s="413">
        <f>'KB23'!L11</f>
        <v>0</v>
      </c>
      <c r="U225" s="412">
        <f>'KB23'!B$264</f>
        <v>0</v>
      </c>
      <c r="V225" s="412">
        <f>'KB23'!C$264</f>
        <v>0</v>
      </c>
      <c r="W225" s="412">
        <f>'KB23'!D$264</f>
        <v>0</v>
      </c>
      <c r="X225" s="412">
        <f>'KB23'!E$264</f>
        <v>0</v>
      </c>
      <c r="Y225" s="412">
        <f>'KB23'!F$264</f>
        <v>0</v>
      </c>
      <c r="Z225" s="412">
        <f>'KB23'!G$264</f>
        <v>0</v>
      </c>
      <c r="AB225" s="412">
        <f>'KB23'!J$274</f>
        <v>0</v>
      </c>
      <c r="AC225" s="412">
        <f>'KB23'!K$274</f>
        <v>0</v>
      </c>
      <c r="AD225" s="412">
        <f>'KB23'!L$274</f>
        <v>0</v>
      </c>
      <c r="AE225" s="412">
        <f>'KB23'!M$274</f>
        <v>0</v>
      </c>
      <c r="AF225" s="412">
        <f>'KB23'!N$274</f>
        <v>0</v>
      </c>
      <c r="AG225" s="412">
        <f>'KB23'!O$274</f>
        <v>0</v>
      </c>
    </row>
    <row r="226" spans="1:33" s="412" customFormat="1" ht="3.75" customHeight="1" outlineLevel="1" x14ac:dyDescent="0.15">
      <c r="A226" s="409" t="e">
        <f>#REF!</f>
        <v>#REF!</v>
      </c>
      <c r="B226" s="427" t="e">
        <f>#REF!</f>
        <v>#REF!</v>
      </c>
      <c r="C226" s="427" t="e">
        <f>#REF!</f>
        <v>#REF!</v>
      </c>
      <c r="D226" s="427" t="e">
        <f>#REF!</f>
        <v>#REF!</v>
      </c>
      <c r="E226" s="427" t="e">
        <f>#REF!</f>
        <v>#REF!</v>
      </c>
      <c r="S226" s="413"/>
      <c r="T226" s="413"/>
    </row>
    <row r="227" spans="1:33" s="412" customFormat="1" ht="3.75" customHeight="1" outlineLevel="1" x14ac:dyDescent="0.15">
      <c r="A227" s="409" t="e">
        <f>#REF!</f>
        <v>#REF!</v>
      </c>
      <c r="B227" s="427" t="e">
        <f>#REF!</f>
        <v>#REF!</v>
      </c>
      <c r="C227" s="427" t="e">
        <f>#REF!</f>
        <v>#REF!</v>
      </c>
      <c r="D227" s="427" t="e">
        <f>#REF!</f>
        <v>#REF!</v>
      </c>
      <c r="E227" s="427" t="e">
        <f>#REF!</f>
        <v>#REF!</v>
      </c>
      <c r="R227" s="412">
        <v>25</v>
      </c>
      <c r="S227" s="413" t="str">
        <f>'KB24'!I6</f>
        <v>E detyrueshme</v>
      </c>
      <c r="T227" s="413" t="str">
        <f>'KB24'!L6</f>
        <v>I veti</v>
      </c>
      <c r="U227" s="412">
        <f>'KB24'!B$72</f>
        <v>0</v>
      </c>
      <c r="V227" s="412">
        <f>'KB24'!C$72</f>
        <v>0</v>
      </c>
      <c r="W227" s="412">
        <f>'KB24'!D$72</f>
        <v>0</v>
      </c>
      <c r="X227" s="412">
        <f>'KB24'!E$72</f>
        <v>0</v>
      </c>
      <c r="Y227" s="412">
        <f>'KB24'!F$72</f>
        <v>0</v>
      </c>
      <c r="Z227" s="412">
        <f>'KB24'!G$72</f>
        <v>0</v>
      </c>
      <c r="AB227" s="412">
        <f>'KB24'!J$82</f>
        <v>0</v>
      </c>
      <c r="AC227" s="412">
        <f>'KB24'!K$82</f>
        <v>0</v>
      </c>
      <c r="AD227" s="412">
        <f>'KB24'!L$82</f>
        <v>0</v>
      </c>
      <c r="AE227" s="412">
        <f>'KB24'!M$82</f>
        <v>0</v>
      </c>
      <c r="AF227" s="412">
        <f>'KB24'!N$82</f>
        <v>0</v>
      </c>
      <c r="AG227" s="412">
        <f>'KB24'!O$82</f>
        <v>0</v>
      </c>
    </row>
    <row r="228" spans="1:33" s="412" customFormat="1" ht="3.75" customHeight="1" outlineLevel="1" x14ac:dyDescent="0.15">
      <c r="A228" s="409" t="e">
        <f>#REF!</f>
        <v>#REF!</v>
      </c>
      <c r="B228" s="427" t="e">
        <f>#REF!</f>
        <v>#REF!</v>
      </c>
      <c r="C228" s="427" t="e">
        <f>#REF!</f>
        <v>#REF!</v>
      </c>
      <c r="D228" s="427" t="e">
        <f>#REF!</f>
        <v>#REF!</v>
      </c>
      <c r="E228" s="427" t="e">
        <f>#REF!</f>
        <v>#REF!</v>
      </c>
      <c r="S228" s="413">
        <f>'KB24'!I7</f>
        <v>0</v>
      </c>
      <c r="T228" s="413">
        <f>'KB24'!L7</f>
        <v>0</v>
      </c>
      <c r="U228" s="410">
        <f>'KB24'!B$111</f>
        <v>0</v>
      </c>
      <c r="V228" s="410">
        <f>'KB24'!C$111</f>
        <v>0</v>
      </c>
      <c r="W228" s="410">
        <f>'KB24'!D$111</f>
        <v>0</v>
      </c>
      <c r="X228" s="410">
        <f>'KB24'!E$111</f>
        <v>0</v>
      </c>
      <c r="Y228" s="410">
        <f>'KB24'!F$111</f>
        <v>0</v>
      </c>
      <c r="Z228" s="410">
        <f>'KB24'!G$111</f>
        <v>0</v>
      </c>
      <c r="AA228" s="410"/>
      <c r="AB228" s="410">
        <f>'KB24'!J$121</f>
        <v>0</v>
      </c>
      <c r="AC228" s="410">
        <f>'KB24'!K$121</f>
        <v>0</v>
      </c>
      <c r="AD228" s="410">
        <f>'KB24'!L$121</f>
        <v>0</v>
      </c>
      <c r="AE228" s="410">
        <f>'KB24'!M$121</f>
        <v>0</v>
      </c>
      <c r="AF228" s="410">
        <f>'KB24'!N$121</f>
        <v>0</v>
      </c>
      <c r="AG228" s="410">
        <f>'KB24'!O$121</f>
        <v>0</v>
      </c>
    </row>
    <row r="229" spans="1:33" s="412" customFormat="1" ht="3.75" customHeight="1" outlineLevel="1" x14ac:dyDescent="0.15">
      <c r="A229" s="409" t="e">
        <f>#REF!</f>
        <v>#REF!</v>
      </c>
      <c r="B229" s="427" t="e">
        <f>#REF!</f>
        <v>#REF!</v>
      </c>
      <c r="C229" s="427" t="e">
        <f>#REF!</f>
        <v>#REF!</v>
      </c>
      <c r="D229" s="427" t="e">
        <f>#REF!</f>
        <v>#REF!</v>
      </c>
      <c r="E229" s="427" t="e">
        <f>#REF!</f>
        <v>#REF!</v>
      </c>
      <c r="S229" s="413">
        <f>'KB24'!I8</f>
        <v>0</v>
      </c>
      <c r="T229" s="413">
        <f>'KB24'!L8</f>
        <v>0</v>
      </c>
      <c r="U229" s="410">
        <f>'KB24'!B$150</f>
        <v>0</v>
      </c>
      <c r="V229" s="410">
        <f>'KB24'!C$150</f>
        <v>0</v>
      </c>
      <c r="W229" s="410">
        <f>'KB24'!D$150</f>
        <v>0</v>
      </c>
      <c r="X229" s="410">
        <f>'KB24'!E$150</f>
        <v>0</v>
      </c>
      <c r="Y229" s="410">
        <f>'KB24'!F$150</f>
        <v>0</v>
      </c>
      <c r="Z229" s="410">
        <f>'KB24'!G$150</f>
        <v>0</v>
      </c>
      <c r="AA229" s="410"/>
      <c r="AB229" s="410">
        <f>'KB24'!J$160</f>
        <v>0</v>
      </c>
      <c r="AC229" s="410">
        <f>'KB24'!K$160</f>
        <v>0</v>
      </c>
      <c r="AD229" s="410">
        <f>'KB24'!L$160</f>
        <v>0</v>
      </c>
      <c r="AE229" s="410">
        <f>'KB24'!M$160</f>
        <v>0</v>
      </c>
      <c r="AF229" s="410">
        <f>'KB24'!N$160</f>
        <v>0</v>
      </c>
      <c r="AG229" s="410">
        <f>'KB24'!O$160</f>
        <v>0</v>
      </c>
    </row>
    <row r="230" spans="1:33" s="412" customFormat="1" ht="3.75" customHeight="1" outlineLevel="1" x14ac:dyDescent="0.15">
      <c r="A230" s="409" t="e">
        <f>#REF!</f>
        <v>#REF!</v>
      </c>
      <c r="B230" s="427" t="e">
        <f>#REF!</f>
        <v>#REF!</v>
      </c>
      <c r="C230" s="427" t="e">
        <f>#REF!</f>
        <v>#REF!</v>
      </c>
      <c r="D230" s="427" t="e">
        <f>#REF!</f>
        <v>#REF!</v>
      </c>
      <c r="E230" s="427" t="e">
        <f>#REF!</f>
        <v>#REF!</v>
      </c>
      <c r="S230" s="413">
        <f>'KB24'!I9</f>
        <v>0</v>
      </c>
      <c r="T230" s="413">
        <f>'KB24'!L9</f>
        <v>0</v>
      </c>
      <c r="U230" s="410">
        <f>'KB24'!B$188</f>
        <v>0</v>
      </c>
      <c r="V230" s="410">
        <f>'KB24'!C$188</f>
        <v>0</v>
      </c>
      <c r="W230" s="410">
        <f>'KB24'!D$188</f>
        <v>0</v>
      </c>
      <c r="X230" s="410">
        <f>'KB24'!E$188</f>
        <v>0</v>
      </c>
      <c r="Y230" s="410">
        <f>'KB24'!F$188</f>
        <v>0</v>
      </c>
      <c r="Z230" s="410">
        <f>'KB24'!G$188</f>
        <v>0</v>
      </c>
      <c r="AA230" s="410"/>
      <c r="AB230" s="410">
        <f>'KB24'!J$198</f>
        <v>0</v>
      </c>
      <c r="AC230" s="410">
        <f>'KB24'!K$198</f>
        <v>0</v>
      </c>
      <c r="AD230" s="410">
        <f>'KB24'!L$198</f>
        <v>0</v>
      </c>
      <c r="AE230" s="410">
        <f>'KB24'!M$198</f>
        <v>0</v>
      </c>
      <c r="AF230" s="410">
        <f>'KB24'!N$198</f>
        <v>0</v>
      </c>
      <c r="AG230" s="410">
        <f>'KB24'!O$198</f>
        <v>0</v>
      </c>
    </row>
    <row r="231" spans="1:33" s="412" customFormat="1" ht="3.75" customHeight="1" outlineLevel="1" x14ac:dyDescent="0.15">
      <c r="A231" s="409" t="e">
        <f>#REF!</f>
        <v>#REF!</v>
      </c>
      <c r="B231" s="427" t="e">
        <f>#REF!</f>
        <v>#REF!</v>
      </c>
      <c r="C231" s="427" t="e">
        <f>#REF!</f>
        <v>#REF!</v>
      </c>
      <c r="D231" s="427" t="e">
        <f>#REF!</f>
        <v>#REF!</v>
      </c>
      <c r="E231" s="427" t="e">
        <f>#REF!</f>
        <v>#REF!</v>
      </c>
      <c r="S231" s="413">
        <f>'KB24'!I10</f>
        <v>0</v>
      </c>
      <c r="T231" s="413">
        <f>'KB24'!L10</f>
        <v>0</v>
      </c>
      <c r="U231" s="410">
        <f>'KB24'!B$226</f>
        <v>0</v>
      </c>
      <c r="V231" s="410">
        <f>'KB24'!C$226</f>
        <v>0</v>
      </c>
      <c r="W231" s="410">
        <f>'KB24'!D$226</f>
        <v>0</v>
      </c>
      <c r="X231" s="410">
        <f>'KB24'!E$226</f>
        <v>0</v>
      </c>
      <c r="Y231" s="410">
        <f>'KB24'!F$226</f>
        <v>0</v>
      </c>
      <c r="Z231" s="410">
        <f>'KB24'!G$226</f>
        <v>0</v>
      </c>
      <c r="AA231" s="410"/>
      <c r="AB231" s="410">
        <f>'KB24'!J$236</f>
        <v>0</v>
      </c>
      <c r="AC231" s="410">
        <f>'KB24'!K$236</f>
        <v>0</v>
      </c>
      <c r="AD231" s="410">
        <f>'KB24'!L$236</f>
        <v>0</v>
      </c>
      <c r="AE231" s="410">
        <f>'KB24'!M$236</f>
        <v>0</v>
      </c>
      <c r="AF231" s="410">
        <f>'KB24'!N$236</f>
        <v>0</v>
      </c>
      <c r="AG231" s="410">
        <f>'KB24'!O$236</f>
        <v>0</v>
      </c>
    </row>
    <row r="232" spans="1:33" s="412" customFormat="1" ht="3.75" customHeight="1" outlineLevel="1" x14ac:dyDescent="0.15">
      <c r="A232" s="409" t="e">
        <f>#REF!</f>
        <v>#REF!</v>
      </c>
      <c r="B232" s="427" t="e">
        <f>#REF!</f>
        <v>#REF!</v>
      </c>
      <c r="C232" s="427" t="e">
        <f>#REF!</f>
        <v>#REF!</v>
      </c>
      <c r="D232" s="427" t="e">
        <f>#REF!</f>
        <v>#REF!</v>
      </c>
      <c r="E232" s="427" t="e">
        <f>#REF!</f>
        <v>#REF!</v>
      </c>
      <c r="S232" s="413">
        <f>'KB24'!I11</f>
        <v>0</v>
      </c>
      <c r="T232" s="413">
        <f>'KB24'!L11</f>
        <v>0</v>
      </c>
      <c r="U232" s="412">
        <f>'KB24'!B$264</f>
        <v>0</v>
      </c>
      <c r="V232" s="412">
        <f>'KB24'!C$264</f>
        <v>0</v>
      </c>
      <c r="W232" s="412">
        <f>'KB24'!D$264</f>
        <v>0</v>
      </c>
      <c r="X232" s="412">
        <f>'KB24'!E$264</f>
        <v>0</v>
      </c>
      <c r="Y232" s="412">
        <f>'KB24'!F$264</f>
        <v>0</v>
      </c>
      <c r="Z232" s="412">
        <f>'KB24'!G$264</f>
        <v>0</v>
      </c>
      <c r="AB232" s="412">
        <f>'KB24'!J$274</f>
        <v>0</v>
      </c>
      <c r="AC232" s="412">
        <f>'KB24'!K$274</f>
        <v>0</v>
      </c>
      <c r="AD232" s="412">
        <f>'KB24'!L$274</f>
        <v>0</v>
      </c>
      <c r="AE232" s="412">
        <f>'KB24'!M$274</f>
        <v>0</v>
      </c>
      <c r="AF232" s="412">
        <f>'KB24'!N$274</f>
        <v>0</v>
      </c>
      <c r="AG232" s="412">
        <f>'KB24'!O$274</f>
        <v>0</v>
      </c>
    </row>
    <row r="233" spans="1:33" s="412" customFormat="1" ht="3.75" customHeight="1" thickBot="1" x14ac:dyDescent="0.2">
      <c r="A233" s="428"/>
      <c r="B233" s="429"/>
      <c r="C233" s="429"/>
      <c r="D233" s="429"/>
      <c r="E233" s="429"/>
      <c r="S233" s="413"/>
      <c r="T233" s="413"/>
    </row>
    <row r="234" spans="1:33" s="412" customFormat="1" ht="3.75" customHeight="1" outlineLevel="1" thickBot="1" x14ac:dyDescent="0.2">
      <c r="A234" s="409"/>
      <c r="B234" s="410"/>
      <c r="C234" s="410"/>
      <c r="D234" s="410"/>
      <c r="E234" s="410"/>
      <c r="R234" s="412">
        <v>26</v>
      </c>
      <c r="S234" s="413" t="str">
        <f>'KB25'!I6</f>
        <v>E detyrueshme</v>
      </c>
      <c r="T234" s="413" t="str">
        <f>'KB25'!L6</f>
        <v>I deleguar</v>
      </c>
      <c r="U234" s="412">
        <f>'KB25'!B$72</f>
        <v>754931278</v>
      </c>
      <c r="V234" s="412">
        <f>'KB25'!C$72</f>
        <v>937920190</v>
      </c>
      <c r="W234" s="412">
        <f>'KB25'!D$72</f>
        <v>940463352</v>
      </c>
      <c r="X234" s="412">
        <f>'KB25'!E$72</f>
        <v>957789000</v>
      </c>
      <c r="Y234" s="412">
        <f>'KB25'!F$72</f>
        <v>957789000</v>
      </c>
      <c r="Z234" s="412">
        <f>'KB25'!G$72</f>
        <v>957789000</v>
      </c>
      <c r="AB234" s="412">
        <f>'KB25'!J$82</f>
        <v>751666276</v>
      </c>
      <c r="AC234" s="412">
        <f>'KB25'!K$82</f>
        <v>931944018</v>
      </c>
      <c r="AD234" s="412">
        <f>'KB25'!L$82</f>
        <v>934462425</v>
      </c>
      <c r="AE234" s="412">
        <f>'KB25'!M$82</f>
        <v>944008000</v>
      </c>
      <c r="AF234" s="412">
        <f>'KB25'!N$82</f>
        <v>944008000</v>
      </c>
      <c r="AG234" s="412">
        <f>'KB25'!O$82</f>
        <v>944008000</v>
      </c>
    </row>
    <row r="235" spans="1:33" s="412" customFormat="1" ht="3.75" customHeight="1" x14ac:dyDescent="0.15">
      <c r="A235" s="424" t="s">
        <v>2</v>
      </c>
      <c r="B235" s="425" t="s">
        <v>42</v>
      </c>
      <c r="C235" s="425" t="s">
        <v>36</v>
      </c>
      <c r="D235" s="425" t="s">
        <v>31</v>
      </c>
      <c r="E235" s="426" t="s">
        <v>41</v>
      </c>
      <c r="F235" s="412" t="e">
        <f>#REF!</f>
        <v>#REF!</v>
      </c>
      <c r="S235" s="413" t="str">
        <f>'KB25'!I7</f>
        <v>E detyrueshme</v>
      </c>
      <c r="T235" s="413" t="str">
        <f>'KB25'!L7</f>
        <v>I veti</v>
      </c>
      <c r="U235" s="410">
        <f>'KB25'!B$111</f>
        <v>0</v>
      </c>
      <c r="V235" s="410">
        <f>'KB25'!C$111</f>
        <v>0</v>
      </c>
      <c r="W235" s="410">
        <f>'KB25'!D$111</f>
        <v>0</v>
      </c>
      <c r="X235" s="410">
        <f>'KB25'!E$111</f>
        <v>0</v>
      </c>
      <c r="Y235" s="410">
        <f>'KB25'!F$111</f>
        <v>0</v>
      </c>
      <c r="Z235" s="410">
        <f>'KB25'!G$111</f>
        <v>0</v>
      </c>
      <c r="AA235" s="410"/>
      <c r="AB235" s="410">
        <f>'KB25'!J$121</f>
        <v>0</v>
      </c>
      <c r="AC235" s="410">
        <f>'KB25'!K$121</f>
        <v>0</v>
      </c>
      <c r="AD235" s="410">
        <f>'KB25'!L$121</f>
        <v>0</v>
      </c>
      <c r="AE235" s="410">
        <f>'KB25'!M$121</f>
        <v>0</v>
      </c>
      <c r="AF235" s="410">
        <f>'KB25'!N$121</f>
        <v>0</v>
      </c>
      <c r="AG235" s="410">
        <f>'KB25'!O$121</f>
        <v>0</v>
      </c>
    </row>
    <row r="236" spans="1:33" s="412" customFormat="1" ht="3.75" customHeight="1" x14ac:dyDescent="0.15">
      <c r="A236" s="409" t="e">
        <f>#REF!</f>
        <v>#REF!</v>
      </c>
      <c r="B236" s="427" t="e">
        <f>#REF!</f>
        <v>#REF!</v>
      </c>
      <c r="C236" s="427" t="e">
        <f>#REF!</f>
        <v>#REF!</v>
      </c>
      <c r="D236" s="427" t="e">
        <f>#REF!</f>
        <v>#REF!</v>
      </c>
      <c r="E236" s="427" t="e">
        <f>#REF!</f>
        <v>#REF!</v>
      </c>
      <c r="S236" s="413">
        <f>'KB25'!I8</f>
        <v>0</v>
      </c>
      <c r="T236" s="413">
        <f>'KB25'!L8</f>
        <v>0</v>
      </c>
      <c r="U236" s="410">
        <f>'KB25'!B$150</f>
        <v>0</v>
      </c>
      <c r="V236" s="410">
        <f>'KB25'!C$150</f>
        <v>0</v>
      </c>
      <c r="W236" s="410">
        <f>'KB25'!D$150</f>
        <v>0</v>
      </c>
      <c r="X236" s="410">
        <f>'KB25'!E$150</f>
        <v>0</v>
      </c>
      <c r="Y236" s="410">
        <f>'KB25'!F$150</f>
        <v>0</v>
      </c>
      <c r="Z236" s="410">
        <f>'KB25'!G$150</f>
        <v>0</v>
      </c>
      <c r="AA236" s="410"/>
      <c r="AB236" s="410">
        <f>'KB25'!J$160</f>
        <v>0</v>
      </c>
      <c r="AC236" s="410">
        <f>'KB25'!K$160</f>
        <v>0</v>
      </c>
      <c r="AD236" s="410">
        <f>'KB25'!L$160</f>
        <v>0</v>
      </c>
      <c r="AE236" s="410">
        <f>'KB25'!M$160</f>
        <v>0</v>
      </c>
      <c r="AF236" s="410">
        <f>'KB25'!N$160</f>
        <v>0</v>
      </c>
      <c r="AG236" s="410">
        <f>'KB25'!O$160</f>
        <v>0</v>
      </c>
    </row>
    <row r="237" spans="1:33" s="412" customFormat="1" ht="3.75" customHeight="1" x14ac:dyDescent="0.15">
      <c r="A237" s="409" t="e">
        <f>#REF!</f>
        <v>#REF!</v>
      </c>
      <c r="B237" s="427" t="e">
        <f>#REF!</f>
        <v>#REF!</v>
      </c>
      <c r="C237" s="427" t="e">
        <f>#REF!</f>
        <v>#REF!</v>
      </c>
      <c r="D237" s="427" t="e">
        <f>#REF!</f>
        <v>#REF!</v>
      </c>
      <c r="E237" s="427" t="e">
        <f>#REF!</f>
        <v>#REF!</v>
      </c>
      <c r="S237" s="413">
        <f>'KB25'!I9</f>
        <v>0</v>
      </c>
      <c r="T237" s="413">
        <f>'KB25'!L9</f>
        <v>0</v>
      </c>
      <c r="U237" s="410">
        <f>'KB25'!B$188</f>
        <v>0</v>
      </c>
      <c r="V237" s="410">
        <f>'KB25'!C$188</f>
        <v>0</v>
      </c>
      <c r="W237" s="410">
        <f>'KB25'!D$188</f>
        <v>0</v>
      </c>
      <c r="X237" s="410">
        <f>'KB25'!E$188</f>
        <v>0</v>
      </c>
      <c r="Y237" s="410">
        <f>'KB25'!F$188</f>
        <v>0</v>
      </c>
      <c r="Z237" s="410">
        <f>'KB25'!G$188</f>
        <v>0</v>
      </c>
      <c r="AA237" s="410"/>
      <c r="AB237" s="410">
        <f>'KB25'!J$198</f>
        <v>0</v>
      </c>
      <c r="AC237" s="410">
        <f>'KB25'!K$198</f>
        <v>0</v>
      </c>
      <c r="AD237" s="410">
        <f>'KB25'!L$198</f>
        <v>0</v>
      </c>
      <c r="AE237" s="410">
        <f>'KB25'!M$198</f>
        <v>0</v>
      </c>
      <c r="AF237" s="410">
        <f>'KB25'!N$198</f>
        <v>0</v>
      </c>
      <c r="AG237" s="410">
        <f>'KB25'!O$198</f>
        <v>0</v>
      </c>
    </row>
    <row r="238" spans="1:33" s="412" customFormat="1" ht="3.75" customHeight="1" outlineLevel="1" x14ac:dyDescent="0.15">
      <c r="A238" s="409" t="e">
        <f>#REF!</f>
        <v>#REF!</v>
      </c>
      <c r="B238" s="410" t="e">
        <f>#REF!</f>
        <v>#REF!</v>
      </c>
      <c r="C238" s="410" t="e">
        <f>#REF!</f>
        <v>#REF!</v>
      </c>
      <c r="D238" s="410" t="e">
        <f>#REF!</f>
        <v>#REF!</v>
      </c>
      <c r="E238" s="410" t="e">
        <f>#REF!</f>
        <v>#REF!</v>
      </c>
      <c r="S238" s="413">
        <f>'KB25'!I10</f>
        <v>0</v>
      </c>
      <c r="T238" s="413">
        <f>'KB25'!L10</f>
        <v>0</v>
      </c>
      <c r="U238" s="410">
        <f>'KB25'!B$226</f>
        <v>0</v>
      </c>
      <c r="V238" s="410">
        <f>'KB25'!C$226</f>
        <v>0</v>
      </c>
      <c r="W238" s="410">
        <f>'KB25'!D$226</f>
        <v>0</v>
      </c>
      <c r="X238" s="410">
        <f>'KB25'!E$226</f>
        <v>0</v>
      </c>
      <c r="Y238" s="410">
        <f>'KB25'!F$226</f>
        <v>0</v>
      </c>
      <c r="Z238" s="410">
        <f>'KB25'!G$226</f>
        <v>0</v>
      </c>
      <c r="AA238" s="410"/>
      <c r="AB238" s="410">
        <f>'KB25'!J$236</f>
        <v>0</v>
      </c>
      <c r="AC238" s="410">
        <f>'KB25'!K$236</f>
        <v>0</v>
      </c>
      <c r="AD238" s="410">
        <f>'KB25'!L$236</f>
        <v>0</v>
      </c>
      <c r="AE238" s="410">
        <f>'KB25'!M$236</f>
        <v>0</v>
      </c>
      <c r="AF238" s="410">
        <f>'KB25'!N$236</f>
        <v>0</v>
      </c>
      <c r="AG238" s="410">
        <f>'KB25'!O$236</f>
        <v>0</v>
      </c>
    </row>
    <row r="239" spans="1:33" s="412" customFormat="1" ht="3.75" customHeight="1" outlineLevel="1" x14ac:dyDescent="0.15">
      <c r="A239" s="409" t="e">
        <f>#REF!</f>
        <v>#REF!</v>
      </c>
      <c r="B239" s="410" t="e">
        <f>#REF!</f>
        <v>#REF!</v>
      </c>
      <c r="C239" s="410" t="e">
        <f>#REF!</f>
        <v>#REF!</v>
      </c>
      <c r="D239" s="410" t="e">
        <f>#REF!</f>
        <v>#REF!</v>
      </c>
      <c r="E239" s="410" t="e">
        <f>#REF!</f>
        <v>#REF!</v>
      </c>
      <c r="S239" s="413">
        <f>'KB25'!I11</f>
        <v>0</v>
      </c>
      <c r="T239" s="413">
        <f>'KB25'!L11</f>
        <v>0</v>
      </c>
      <c r="U239" s="412">
        <f>'KB25'!B$264</f>
        <v>0</v>
      </c>
      <c r="V239" s="412">
        <f>'KB25'!C$264</f>
        <v>0</v>
      </c>
      <c r="W239" s="412">
        <f>'KB25'!D$264</f>
        <v>0</v>
      </c>
      <c r="X239" s="412">
        <f>'KB25'!E$264</f>
        <v>0</v>
      </c>
      <c r="Y239" s="412">
        <f>'KB25'!F$264</f>
        <v>0</v>
      </c>
      <c r="Z239" s="412">
        <f>'KB25'!G$264</f>
        <v>0</v>
      </c>
      <c r="AB239" s="412">
        <f>'KB25'!J$274</f>
        <v>0</v>
      </c>
      <c r="AC239" s="412">
        <f>'KB25'!K$274</f>
        <v>0</v>
      </c>
      <c r="AD239" s="412">
        <f>'KB25'!L$274</f>
        <v>0</v>
      </c>
      <c r="AE239" s="412">
        <f>'KB25'!M$274</f>
        <v>0</v>
      </c>
      <c r="AF239" s="412">
        <f>'KB25'!N$274</f>
        <v>0</v>
      </c>
      <c r="AG239" s="412">
        <f>'KB25'!O$274</f>
        <v>0</v>
      </c>
    </row>
    <row r="240" spans="1:33" s="412" customFormat="1" ht="3.75" customHeight="1" outlineLevel="1" x14ac:dyDescent="0.15">
      <c r="A240" s="409" t="e">
        <f>#REF!</f>
        <v>#REF!</v>
      </c>
      <c r="B240" s="410" t="e">
        <f>#REF!</f>
        <v>#REF!</v>
      </c>
      <c r="C240" s="410" t="e">
        <f>#REF!</f>
        <v>#REF!</v>
      </c>
      <c r="D240" s="410" t="e">
        <f>#REF!</f>
        <v>#REF!</v>
      </c>
      <c r="E240" s="410" t="e">
        <f>#REF!</f>
        <v>#REF!</v>
      </c>
      <c r="S240" s="413"/>
      <c r="T240" s="413"/>
    </row>
    <row r="241" spans="1:33" s="412" customFormat="1" ht="3.75" customHeight="1" outlineLevel="1" x14ac:dyDescent="0.15">
      <c r="A241" s="409" t="e">
        <f>#REF!</f>
        <v>#REF!</v>
      </c>
      <c r="B241" s="410" t="e">
        <f>#REF!</f>
        <v>#REF!</v>
      </c>
      <c r="C241" s="410" t="e">
        <f>#REF!</f>
        <v>#REF!</v>
      </c>
      <c r="D241" s="410" t="e">
        <f>#REF!</f>
        <v>#REF!</v>
      </c>
      <c r="E241" s="410" t="e">
        <f>#REF!</f>
        <v>#REF!</v>
      </c>
      <c r="R241" s="412">
        <v>27</v>
      </c>
      <c r="S241" s="413" t="str">
        <f>'KB26'!I6</f>
        <v>E detyrueshme</v>
      </c>
      <c r="T241" s="413" t="str">
        <f>'KB26'!L6</f>
        <v>I veti</v>
      </c>
      <c r="U241" s="412">
        <f>'KB26'!B$72</f>
        <v>0</v>
      </c>
      <c r="V241" s="412">
        <f>'KB26'!C$72</f>
        <v>0</v>
      </c>
      <c r="W241" s="412">
        <f>'KB26'!D$72</f>
        <v>0</v>
      </c>
      <c r="X241" s="412">
        <f>'KB26'!E$72</f>
        <v>0</v>
      </c>
      <c r="Y241" s="412">
        <f>'KB26'!F$72</f>
        <v>0</v>
      </c>
      <c r="Z241" s="412">
        <f>'KB26'!G$72</f>
        <v>0</v>
      </c>
      <c r="AB241" s="412">
        <f>'KB26'!J$82</f>
        <v>0</v>
      </c>
      <c r="AC241" s="412">
        <f>'KB26'!K$82</f>
        <v>0</v>
      </c>
      <c r="AD241" s="412">
        <f>'KB26'!L$82</f>
        <v>0</v>
      </c>
      <c r="AE241" s="412">
        <f>'KB26'!M$82</f>
        <v>0</v>
      </c>
      <c r="AF241" s="412">
        <f>'KB26'!N$82</f>
        <v>0</v>
      </c>
      <c r="AG241" s="412">
        <f>'KB26'!O$82</f>
        <v>0</v>
      </c>
    </row>
    <row r="242" spans="1:33" s="412" customFormat="1" ht="3.75" customHeight="1" outlineLevel="1" x14ac:dyDescent="0.15">
      <c r="A242" s="409" t="e">
        <f>#REF!</f>
        <v>#REF!</v>
      </c>
      <c r="B242" s="410" t="e">
        <f>#REF!</f>
        <v>#REF!</v>
      </c>
      <c r="C242" s="410" t="e">
        <f>#REF!</f>
        <v>#REF!</v>
      </c>
      <c r="D242" s="410" t="e">
        <f>#REF!</f>
        <v>#REF!</v>
      </c>
      <c r="E242" s="410" t="e">
        <f>#REF!</f>
        <v>#REF!</v>
      </c>
      <c r="S242" s="413">
        <f>'KB26'!I7</f>
        <v>0</v>
      </c>
      <c r="T242" s="413">
        <f>'KB26'!L7</f>
        <v>0</v>
      </c>
      <c r="U242" s="410">
        <f>'KB26'!B$111</f>
        <v>0</v>
      </c>
      <c r="V242" s="410">
        <f>'KB26'!C$111</f>
        <v>0</v>
      </c>
      <c r="W242" s="410">
        <f>'KB26'!D$111</f>
        <v>0</v>
      </c>
      <c r="X242" s="410">
        <f>'KB26'!E$111</f>
        <v>0</v>
      </c>
      <c r="Y242" s="410">
        <f>'KB26'!F$111</f>
        <v>0</v>
      </c>
      <c r="Z242" s="410">
        <f>'KB26'!G$111</f>
        <v>0</v>
      </c>
      <c r="AA242" s="410"/>
      <c r="AB242" s="410">
        <f>'KB26'!J$121</f>
        <v>0</v>
      </c>
      <c r="AC242" s="410">
        <f>'KB26'!K$121</f>
        <v>0</v>
      </c>
      <c r="AD242" s="410">
        <f>'KB26'!L$121</f>
        <v>0</v>
      </c>
      <c r="AE242" s="410">
        <f>'KB26'!M$121</f>
        <v>0</v>
      </c>
      <c r="AF242" s="410">
        <f>'KB26'!N$121</f>
        <v>0</v>
      </c>
      <c r="AG242" s="410">
        <f>'KB26'!O$121</f>
        <v>0</v>
      </c>
    </row>
    <row r="243" spans="1:33" s="412" customFormat="1" ht="3.75" customHeight="1" outlineLevel="1" x14ac:dyDescent="0.15">
      <c r="A243" s="409" t="e">
        <f>#REF!</f>
        <v>#REF!</v>
      </c>
      <c r="B243" s="410" t="e">
        <f>#REF!</f>
        <v>#REF!</v>
      </c>
      <c r="C243" s="410" t="e">
        <f>#REF!</f>
        <v>#REF!</v>
      </c>
      <c r="D243" s="410" t="e">
        <f>#REF!</f>
        <v>#REF!</v>
      </c>
      <c r="E243" s="410" t="e">
        <f>#REF!</f>
        <v>#REF!</v>
      </c>
      <c r="S243" s="413">
        <f>'KB26'!I8</f>
        <v>0</v>
      </c>
      <c r="T243" s="413">
        <f>'KB26'!L8</f>
        <v>0</v>
      </c>
      <c r="U243" s="410">
        <f>'KB26'!B$150</f>
        <v>0</v>
      </c>
      <c r="V243" s="410">
        <f>'KB26'!C$150</f>
        <v>0</v>
      </c>
      <c r="W243" s="410">
        <f>'KB26'!D$150</f>
        <v>0</v>
      </c>
      <c r="X243" s="410">
        <f>'KB26'!E$150</f>
        <v>0</v>
      </c>
      <c r="Y243" s="410">
        <f>'KB26'!F$150</f>
        <v>0</v>
      </c>
      <c r="Z243" s="410">
        <f>'KB26'!G$150</f>
        <v>0</v>
      </c>
      <c r="AA243" s="410"/>
      <c r="AB243" s="410">
        <f>'KB26'!J$160</f>
        <v>0</v>
      </c>
      <c r="AC243" s="410">
        <f>'KB26'!K$160</f>
        <v>0</v>
      </c>
      <c r="AD243" s="410">
        <f>'KB26'!L$160</f>
        <v>0</v>
      </c>
      <c r="AE243" s="410">
        <f>'KB26'!M$160</f>
        <v>0</v>
      </c>
      <c r="AF243" s="410">
        <f>'KB26'!N$160</f>
        <v>0</v>
      </c>
      <c r="AG243" s="410">
        <f>'KB26'!O$160</f>
        <v>0</v>
      </c>
    </row>
    <row r="244" spans="1:33" s="412" customFormat="1" ht="3.75" customHeight="1" outlineLevel="1" x14ac:dyDescent="0.15">
      <c r="A244" s="409" t="e">
        <f>#REF!</f>
        <v>#REF!</v>
      </c>
      <c r="B244" s="410" t="e">
        <f>#REF!</f>
        <v>#REF!</v>
      </c>
      <c r="C244" s="410" t="e">
        <f>#REF!</f>
        <v>#REF!</v>
      </c>
      <c r="D244" s="410" t="e">
        <f>#REF!</f>
        <v>#REF!</v>
      </c>
      <c r="E244" s="410" t="e">
        <f>#REF!</f>
        <v>#REF!</v>
      </c>
      <c r="S244" s="413">
        <f>'KB26'!I9</f>
        <v>0</v>
      </c>
      <c r="T244" s="413">
        <f>'KB26'!L9</f>
        <v>0</v>
      </c>
      <c r="U244" s="410">
        <f>'KB26'!B$188</f>
        <v>0</v>
      </c>
      <c r="V244" s="410">
        <f>'KB26'!C$188</f>
        <v>0</v>
      </c>
      <c r="W244" s="410">
        <f>'KB26'!D$188</f>
        <v>0</v>
      </c>
      <c r="X244" s="410">
        <f>'KB26'!E$188</f>
        <v>0</v>
      </c>
      <c r="Y244" s="410">
        <f>'KB26'!F$188</f>
        <v>0</v>
      </c>
      <c r="Z244" s="410">
        <f>'KB26'!G$188</f>
        <v>0</v>
      </c>
      <c r="AA244" s="410"/>
      <c r="AB244" s="410">
        <f>'KB26'!J$198</f>
        <v>0</v>
      </c>
      <c r="AC244" s="410">
        <f>'KB26'!K$198</f>
        <v>0</v>
      </c>
      <c r="AD244" s="410">
        <f>'KB26'!L$198</f>
        <v>0</v>
      </c>
      <c r="AE244" s="410">
        <f>'KB26'!M$198</f>
        <v>0</v>
      </c>
      <c r="AF244" s="410">
        <f>'KB26'!N$198</f>
        <v>0</v>
      </c>
      <c r="AG244" s="410">
        <f>'KB26'!O$198</f>
        <v>0</v>
      </c>
    </row>
    <row r="245" spans="1:33" s="412" customFormat="1" ht="3.75" customHeight="1" outlineLevel="1" x14ac:dyDescent="0.15">
      <c r="A245" s="409" t="e">
        <f>#REF!</f>
        <v>#REF!</v>
      </c>
      <c r="B245" s="410" t="e">
        <f>#REF!</f>
        <v>#REF!</v>
      </c>
      <c r="C245" s="410" t="e">
        <f>#REF!</f>
        <v>#REF!</v>
      </c>
      <c r="D245" s="410" t="e">
        <f>#REF!</f>
        <v>#REF!</v>
      </c>
      <c r="E245" s="410" t="e">
        <f>#REF!</f>
        <v>#REF!</v>
      </c>
      <c r="S245" s="413">
        <f>'KB26'!I10</f>
        <v>0</v>
      </c>
      <c r="T245" s="413">
        <f>'KB26'!L10</f>
        <v>0</v>
      </c>
      <c r="U245" s="410">
        <f>'KB26'!B$226</f>
        <v>0</v>
      </c>
      <c r="V245" s="410">
        <f>'KB26'!C$226</f>
        <v>0</v>
      </c>
      <c r="W245" s="410">
        <f>'KB26'!D$226</f>
        <v>0</v>
      </c>
      <c r="X245" s="410">
        <f>'KB26'!E$226</f>
        <v>0</v>
      </c>
      <c r="Y245" s="410">
        <f>'KB26'!F$226</f>
        <v>0</v>
      </c>
      <c r="Z245" s="410">
        <f>'KB26'!G$226</f>
        <v>0</v>
      </c>
      <c r="AA245" s="410"/>
      <c r="AB245" s="410">
        <f>'KB26'!J$236</f>
        <v>0</v>
      </c>
      <c r="AC245" s="410">
        <f>'KB26'!K$236</f>
        <v>0</v>
      </c>
      <c r="AD245" s="410">
        <f>'KB26'!L$236</f>
        <v>0</v>
      </c>
      <c r="AE245" s="410">
        <f>'KB26'!M$236</f>
        <v>0</v>
      </c>
      <c r="AF245" s="410">
        <f>'KB26'!N$236</f>
        <v>0</v>
      </c>
      <c r="AG245" s="410">
        <f>'KB26'!O$236</f>
        <v>0</v>
      </c>
    </row>
    <row r="246" spans="1:33" s="412" customFormat="1" ht="3.75" customHeight="1" outlineLevel="1" x14ac:dyDescent="0.15">
      <c r="A246" s="409" t="e">
        <f>#REF!</f>
        <v>#REF!</v>
      </c>
      <c r="B246" s="410" t="e">
        <f>#REF!</f>
        <v>#REF!</v>
      </c>
      <c r="C246" s="410" t="e">
        <f>#REF!</f>
        <v>#REF!</v>
      </c>
      <c r="D246" s="410" t="e">
        <f>#REF!</f>
        <v>#REF!</v>
      </c>
      <c r="E246" s="410" t="e">
        <f>#REF!</f>
        <v>#REF!</v>
      </c>
      <c r="S246" s="413">
        <f>'KB26'!I11</f>
        <v>0</v>
      </c>
      <c r="T246" s="413">
        <f>'KB26'!L11</f>
        <v>0</v>
      </c>
      <c r="U246" s="412">
        <f>'KB26'!B$264</f>
        <v>0</v>
      </c>
      <c r="V246" s="412">
        <f>'KB26'!C$264</f>
        <v>0</v>
      </c>
      <c r="W246" s="412">
        <f>'KB26'!D$264</f>
        <v>0</v>
      </c>
      <c r="X246" s="412">
        <f>'KB26'!E$264</f>
        <v>0</v>
      </c>
      <c r="Y246" s="412">
        <f>'KB26'!F$264</f>
        <v>0</v>
      </c>
      <c r="Z246" s="412">
        <f>'KB26'!G$264</f>
        <v>0</v>
      </c>
      <c r="AB246" s="412">
        <f>'KB26'!J$274</f>
        <v>0</v>
      </c>
      <c r="AC246" s="412">
        <f>'KB26'!K$274</f>
        <v>0</v>
      </c>
      <c r="AD246" s="412">
        <f>'KB26'!L$274</f>
        <v>0</v>
      </c>
      <c r="AE246" s="412">
        <f>'KB26'!M$274</f>
        <v>0</v>
      </c>
      <c r="AF246" s="412">
        <f>'KB26'!N$274</f>
        <v>0</v>
      </c>
      <c r="AG246" s="412">
        <f>'KB26'!O$274</f>
        <v>0</v>
      </c>
    </row>
    <row r="247" spans="1:33" s="412" customFormat="1" ht="3.75" customHeight="1" outlineLevel="1" x14ac:dyDescent="0.15">
      <c r="A247" s="409" t="e">
        <f>#REF!</f>
        <v>#REF!</v>
      </c>
      <c r="B247" s="410" t="e">
        <f>#REF!</f>
        <v>#REF!</v>
      </c>
      <c r="C247" s="410" t="e">
        <f>#REF!</f>
        <v>#REF!</v>
      </c>
      <c r="D247" s="410" t="e">
        <f>#REF!</f>
        <v>#REF!</v>
      </c>
      <c r="E247" s="410" t="e">
        <f>#REF!</f>
        <v>#REF!</v>
      </c>
      <c r="S247" s="413"/>
      <c r="T247" s="413"/>
    </row>
    <row r="248" spans="1:33" s="412" customFormat="1" ht="3.75" customHeight="1" outlineLevel="1" x14ac:dyDescent="0.15">
      <c r="A248" s="409" t="e">
        <f>#REF!</f>
        <v>#REF!</v>
      </c>
      <c r="B248" s="410" t="e">
        <f>#REF!</f>
        <v>#REF!</v>
      </c>
      <c r="C248" s="410" t="e">
        <f>#REF!</f>
        <v>#REF!</v>
      </c>
      <c r="D248" s="410" t="e">
        <f>#REF!</f>
        <v>#REF!</v>
      </c>
      <c r="E248" s="410" t="e">
        <f>#REF!</f>
        <v>#REF!</v>
      </c>
      <c r="R248" s="412">
        <v>28</v>
      </c>
      <c r="S248" s="413" t="str">
        <f>'KB27'!I6</f>
        <v>E detyrueshme</v>
      </c>
      <c r="T248" s="413" t="str">
        <f>'KB27'!L6</f>
        <v>I veti</v>
      </c>
      <c r="U248" s="412">
        <f>'KB27'!B$72</f>
        <v>0</v>
      </c>
      <c r="V248" s="412">
        <f>'KB27'!C$72</f>
        <v>0</v>
      </c>
      <c r="W248" s="412">
        <f>'KB27'!D$72</f>
        <v>0</v>
      </c>
      <c r="X248" s="412">
        <f>'KB27'!E$72</f>
        <v>0</v>
      </c>
      <c r="Y248" s="412">
        <f>'KB27'!F$72</f>
        <v>0</v>
      </c>
      <c r="Z248" s="412">
        <f>'KB27'!G$72</f>
        <v>0</v>
      </c>
      <c r="AB248" s="412">
        <f>'KB27'!J$82</f>
        <v>0</v>
      </c>
      <c r="AC248" s="412">
        <f>'KB27'!K$82</f>
        <v>0</v>
      </c>
      <c r="AD248" s="412">
        <f>'KB27'!L$82</f>
        <v>0</v>
      </c>
      <c r="AE248" s="412">
        <f>'KB27'!M$82</f>
        <v>0</v>
      </c>
      <c r="AF248" s="412">
        <f>'KB27'!N$82</f>
        <v>0</v>
      </c>
      <c r="AG248" s="412">
        <f>'KB27'!O$82</f>
        <v>0</v>
      </c>
    </row>
    <row r="249" spans="1:33" s="412" customFormat="1" ht="3.75" customHeight="1" outlineLevel="1" x14ac:dyDescent="0.15">
      <c r="A249" s="409" t="e">
        <f>#REF!</f>
        <v>#REF!</v>
      </c>
      <c r="B249" s="410" t="e">
        <f>#REF!</f>
        <v>#REF!</v>
      </c>
      <c r="C249" s="410" t="e">
        <f>#REF!</f>
        <v>#REF!</v>
      </c>
      <c r="D249" s="410" t="e">
        <f>#REF!</f>
        <v>#REF!</v>
      </c>
      <c r="E249" s="410" t="e">
        <f>#REF!</f>
        <v>#REF!</v>
      </c>
      <c r="S249" s="413">
        <f>'KB27'!I7</f>
        <v>0</v>
      </c>
      <c r="T249" s="413">
        <f>'KB27'!L7</f>
        <v>0</v>
      </c>
      <c r="U249" s="410">
        <f>'KB27'!B$111</f>
        <v>0</v>
      </c>
      <c r="V249" s="410">
        <f>'KB27'!C$111</f>
        <v>0</v>
      </c>
      <c r="W249" s="410">
        <f>'KB27'!D$111</f>
        <v>0</v>
      </c>
      <c r="X249" s="410">
        <f>'KB27'!E$111</f>
        <v>0</v>
      </c>
      <c r="Y249" s="410">
        <f>'KB27'!F$111</f>
        <v>0</v>
      </c>
      <c r="Z249" s="410">
        <f>'KB27'!G$111</f>
        <v>0</v>
      </c>
      <c r="AA249" s="410"/>
      <c r="AB249" s="410">
        <f>'KB27'!J$121</f>
        <v>0</v>
      </c>
      <c r="AC249" s="410">
        <f>'KB27'!K$121</f>
        <v>0</v>
      </c>
      <c r="AD249" s="410">
        <f>'KB27'!L$121</f>
        <v>0</v>
      </c>
      <c r="AE249" s="410">
        <f>'KB27'!M$121</f>
        <v>0</v>
      </c>
      <c r="AF249" s="410">
        <f>'KB27'!N$121</f>
        <v>0</v>
      </c>
      <c r="AG249" s="410">
        <f>'KB27'!O$121</f>
        <v>0</v>
      </c>
    </row>
    <row r="250" spans="1:33" s="412" customFormat="1" ht="3.75" customHeight="1" outlineLevel="1" x14ac:dyDescent="0.15">
      <c r="A250" s="409" t="e">
        <f>#REF!</f>
        <v>#REF!</v>
      </c>
      <c r="B250" s="410" t="e">
        <f>#REF!</f>
        <v>#REF!</v>
      </c>
      <c r="C250" s="410" t="e">
        <f>#REF!</f>
        <v>#REF!</v>
      </c>
      <c r="D250" s="410" t="e">
        <f>#REF!</f>
        <v>#REF!</v>
      </c>
      <c r="E250" s="410" t="e">
        <f>#REF!</f>
        <v>#REF!</v>
      </c>
      <c r="S250" s="413">
        <f>'KB27'!I8</f>
        <v>0</v>
      </c>
      <c r="T250" s="413">
        <f>'KB27'!L8</f>
        <v>0</v>
      </c>
      <c r="U250" s="410">
        <f>'KB27'!B$150</f>
        <v>0</v>
      </c>
      <c r="V250" s="410">
        <f>'KB27'!C$150</f>
        <v>0</v>
      </c>
      <c r="W250" s="410">
        <f>'KB27'!D$150</f>
        <v>0</v>
      </c>
      <c r="X250" s="410">
        <f>'KB27'!E$150</f>
        <v>0</v>
      </c>
      <c r="Y250" s="410">
        <f>'KB27'!F$150</f>
        <v>0</v>
      </c>
      <c r="Z250" s="410">
        <f>'KB27'!G$150</f>
        <v>0</v>
      </c>
      <c r="AA250" s="410"/>
      <c r="AB250" s="410">
        <f>'KB27'!J$160</f>
        <v>0</v>
      </c>
      <c r="AC250" s="410">
        <f>'KB27'!K$160</f>
        <v>0</v>
      </c>
      <c r="AD250" s="410">
        <f>'KB27'!L$160</f>
        <v>0</v>
      </c>
      <c r="AE250" s="410">
        <f>'KB27'!M$160</f>
        <v>0</v>
      </c>
      <c r="AF250" s="410">
        <f>'KB27'!N$160</f>
        <v>0</v>
      </c>
      <c r="AG250" s="410">
        <f>'KB27'!O$160</f>
        <v>0</v>
      </c>
    </row>
    <row r="251" spans="1:33" s="412" customFormat="1" ht="3.75" customHeight="1" outlineLevel="1" x14ac:dyDescent="0.15">
      <c r="A251" s="409" t="e">
        <f>#REF!</f>
        <v>#REF!</v>
      </c>
      <c r="B251" s="410" t="e">
        <f>#REF!</f>
        <v>#REF!</v>
      </c>
      <c r="C251" s="410" t="e">
        <f>#REF!</f>
        <v>#REF!</v>
      </c>
      <c r="D251" s="410" t="e">
        <f>#REF!</f>
        <v>#REF!</v>
      </c>
      <c r="E251" s="410" t="e">
        <f>#REF!</f>
        <v>#REF!</v>
      </c>
      <c r="S251" s="413">
        <f>'KB27'!I9</f>
        <v>0</v>
      </c>
      <c r="T251" s="413">
        <f>'KB27'!L9</f>
        <v>0</v>
      </c>
      <c r="U251" s="410">
        <f>'KB27'!B$188</f>
        <v>0</v>
      </c>
      <c r="V251" s="410">
        <f>'KB27'!C$188</f>
        <v>0</v>
      </c>
      <c r="W251" s="410">
        <f>'KB27'!D$188</f>
        <v>0</v>
      </c>
      <c r="X251" s="410">
        <f>'KB27'!E$188</f>
        <v>0</v>
      </c>
      <c r="Y251" s="410">
        <f>'KB27'!F$188</f>
        <v>0</v>
      </c>
      <c r="Z251" s="410">
        <f>'KB27'!G$188</f>
        <v>0</v>
      </c>
      <c r="AA251" s="410"/>
      <c r="AB251" s="410">
        <f>'KB27'!J$198</f>
        <v>0</v>
      </c>
      <c r="AC251" s="410">
        <f>'KB27'!K$198</f>
        <v>0</v>
      </c>
      <c r="AD251" s="410">
        <f>'KB27'!L$198</f>
        <v>0</v>
      </c>
      <c r="AE251" s="410">
        <f>'KB27'!M$198</f>
        <v>0</v>
      </c>
      <c r="AF251" s="410">
        <f>'KB27'!N$198</f>
        <v>0</v>
      </c>
      <c r="AG251" s="410">
        <f>'KB27'!O$198</f>
        <v>0</v>
      </c>
    </row>
    <row r="252" spans="1:33" s="412" customFormat="1" ht="3.75" customHeight="1" outlineLevel="1" x14ac:dyDescent="0.15">
      <c r="A252" s="409" t="e">
        <f>#REF!</f>
        <v>#REF!</v>
      </c>
      <c r="B252" s="410" t="e">
        <f>#REF!</f>
        <v>#REF!</v>
      </c>
      <c r="C252" s="410" t="e">
        <f>#REF!</f>
        <v>#REF!</v>
      </c>
      <c r="D252" s="410" t="e">
        <f>#REF!</f>
        <v>#REF!</v>
      </c>
      <c r="E252" s="410" t="e">
        <f>#REF!</f>
        <v>#REF!</v>
      </c>
      <c r="S252" s="413">
        <f>'KB27'!I10</f>
        <v>0</v>
      </c>
      <c r="T252" s="413">
        <f>'KB27'!L10</f>
        <v>0</v>
      </c>
      <c r="U252" s="410">
        <f>'KB27'!B$226</f>
        <v>0</v>
      </c>
      <c r="V252" s="410">
        <f>'KB27'!C$226</f>
        <v>0</v>
      </c>
      <c r="W252" s="410">
        <f>'KB27'!D$226</f>
        <v>0</v>
      </c>
      <c r="X252" s="410">
        <f>'KB27'!E$226</f>
        <v>0</v>
      </c>
      <c r="Y252" s="410">
        <f>'KB27'!F$226</f>
        <v>0</v>
      </c>
      <c r="Z252" s="410">
        <f>'KB27'!G$226</f>
        <v>0</v>
      </c>
      <c r="AA252" s="410"/>
      <c r="AB252" s="410">
        <f>'KB27'!J$236</f>
        <v>0</v>
      </c>
      <c r="AC252" s="410">
        <f>'KB27'!K$236</f>
        <v>0</v>
      </c>
      <c r="AD252" s="410">
        <f>'KB27'!L$236</f>
        <v>0</v>
      </c>
      <c r="AE252" s="410">
        <f>'KB27'!M$236</f>
        <v>0</v>
      </c>
      <c r="AF252" s="410">
        <f>'KB27'!N$236</f>
        <v>0</v>
      </c>
      <c r="AG252" s="410">
        <f>'KB27'!O$236</f>
        <v>0</v>
      </c>
    </row>
    <row r="253" spans="1:33" s="412" customFormat="1" ht="3.75" customHeight="1" outlineLevel="1" x14ac:dyDescent="0.15">
      <c r="A253" s="409" t="e">
        <f>#REF!</f>
        <v>#REF!</v>
      </c>
      <c r="B253" s="410" t="e">
        <f>#REF!</f>
        <v>#REF!</v>
      </c>
      <c r="C253" s="410" t="e">
        <f>#REF!</f>
        <v>#REF!</v>
      </c>
      <c r="D253" s="410" t="e">
        <f>#REF!</f>
        <v>#REF!</v>
      </c>
      <c r="E253" s="410" t="e">
        <f>#REF!</f>
        <v>#REF!</v>
      </c>
      <c r="S253" s="413">
        <f>'KB27'!I11</f>
        <v>0</v>
      </c>
      <c r="T253" s="413">
        <f>'KB27'!L11</f>
        <v>0</v>
      </c>
      <c r="U253" s="412">
        <f>'KB27'!B$264</f>
        <v>0</v>
      </c>
      <c r="V253" s="412">
        <f>'KB27'!C$264</f>
        <v>0</v>
      </c>
      <c r="W253" s="412">
        <f>'KB27'!D$264</f>
        <v>0</v>
      </c>
      <c r="X253" s="412">
        <f>'KB27'!E$264</f>
        <v>0</v>
      </c>
      <c r="Y253" s="412">
        <f>'KB27'!F$264</f>
        <v>0</v>
      </c>
      <c r="Z253" s="412">
        <f>'KB27'!G$264</f>
        <v>0</v>
      </c>
      <c r="AB253" s="412">
        <f>'KB27'!J$274</f>
        <v>0</v>
      </c>
      <c r="AC253" s="412">
        <f>'KB27'!K$274</f>
        <v>0</v>
      </c>
      <c r="AD253" s="412">
        <f>'KB27'!L$274</f>
        <v>0</v>
      </c>
      <c r="AE253" s="412">
        <f>'KB27'!M$274</f>
        <v>0</v>
      </c>
      <c r="AF253" s="412">
        <f>'KB27'!N$274</f>
        <v>0</v>
      </c>
      <c r="AG253" s="412">
        <f>'KB27'!O$274</f>
        <v>0</v>
      </c>
    </row>
    <row r="254" spans="1:33" s="412" customFormat="1" ht="3.75" customHeight="1" outlineLevel="1" x14ac:dyDescent="0.15">
      <c r="A254" s="409" t="e">
        <f>#REF!</f>
        <v>#REF!</v>
      </c>
      <c r="B254" s="410" t="e">
        <f>#REF!</f>
        <v>#REF!</v>
      </c>
      <c r="C254" s="410" t="e">
        <f>#REF!</f>
        <v>#REF!</v>
      </c>
      <c r="D254" s="410" t="e">
        <f>#REF!</f>
        <v>#REF!</v>
      </c>
      <c r="E254" s="410" t="e">
        <f>#REF!</f>
        <v>#REF!</v>
      </c>
      <c r="S254" s="413"/>
      <c r="T254" s="413"/>
    </row>
    <row r="255" spans="1:33" s="412" customFormat="1" ht="3.75" customHeight="1" outlineLevel="1" x14ac:dyDescent="0.15">
      <c r="A255" s="409" t="e">
        <f>#REF!</f>
        <v>#REF!</v>
      </c>
      <c r="B255" s="410" t="e">
        <f>#REF!</f>
        <v>#REF!</v>
      </c>
      <c r="C255" s="410" t="e">
        <f>#REF!</f>
        <v>#REF!</v>
      </c>
      <c r="D255" s="410" t="e">
        <f>#REF!</f>
        <v>#REF!</v>
      </c>
      <c r="E255" s="410" t="e">
        <f>#REF!</f>
        <v>#REF!</v>
      </c>
      <c r="R255" s="412">
        <v>29</v>
      </c>
      <c r="S255" s="413" t="e">
        <f>#REF!</f>
        <v>#REF!</v>
      </c>
      <c r="T255" s="413" t="e">
        <f>#REF!</f>
        <v>#REF!</v>
      </c>
      <c r="U255" s="412" t="e">
        <f>#REF!</f>
        <v>#REF!</v>
      </c>
      <c r="V255" s="412" t="e">
        <f>#REF!</f>
        <v>#REF!</v>
      </c>
      <c r="W255" s="412" t="e">
        <f>#REF!</f>
        <v>#REF!</v>
      </c>
      <c r="X255" s="412" t="e">
        <f>#REF!</f>
        <v>#REF!</v>
      </c>
      <c r="Y255" s="412" t="e">
        <f>#REF!</f>
        <v>#REF!</v>
      </c>
      <c r="Z255" s="412" t="e">
        <f>#REF!</f>
        <v>#REF!</v>
      </c>
      <c r="AB255" s="412" t="e">
        <f>#REF!</f>
        <v>#REF!</v>
      </c>
      <c r="AC255" s="412" t="e">
        <f>#REF!</f>
        <v>#REF!</v>
      </c>
      <c r="AD255" s="412" t="e">
        <f>#REF!</f>
        <v>#REF!</v>
      </c>
      <c r="AE255" s="412" t="e">
        <f>#REF!</f>
        <v>#REF!</v>
      </c>
      <c r="AF255" s="412" t="e">
        <f>#REF!</f>
        <v>#REF!</v>
      </c>
      <c r="AG255" s="412" t="e">
        <f>#REF!</f>
        <v>#REF!</v>
      </c>
    </row>
    <row r="256" spans="1:33" s="412" customFormat="1" ht="3.75" customHeight="1" outlineLevel="1" x14ac:dyDescent="0.15">
      <c r="A256" s="409" t="e">
        <f>#REF!</f>
        <v>#REF!</v>
      </c>
      <c r="B256" s="410" t="e">
        <f>#REF!</f>
        <v>#REF!</v>
      </c>
      <c r="C256" s="410" t="e">
        <f>#REF!</f>
        <v>#REF!</v>
      </c>
      <c r="D256" s="410" t="e">
        <f>#REF!</f>
        <v>#REF!</v>
      </c>
      <c r="E256" s="410" t="e">
        <f>#REF!</f>
        <v>#REF!</v>
      </c>
      <c r="S256" s="413" t="e">
        <f>#REF!</f>
        <v>#REF!</v>
      </c>
      <c r="T256" s="413" t="e">
        <f>#REF!</f>
        <v>#REF!</v>
      </c>
      <c r="U256" s="410" t="e">
        <f>#REF!</f>
        <v>#REF!</v>
      </c>
      <c r="V256" s="410" t="e">
        <f>#REF!</f>
        <v>#REF!</v>
      </c>
      <c r="W256" s="410" t="e">
        <f>#REF!</f>
        <v>#REF!</v>
      </c>
      <c r="X256" s="410" t="e">
        <f>#REF!</f>
        <v>#REF!</v>
      </c>
      <c r="Y256" s="410" t="e">
        <f>#REF!</f>
        <v>#REF!</v>
      </c>
      <c r="Z256" s="410" t="e">
        <f>#REF!</f>
        <v>#REF!</v>
      </c>
      <c r="AA256" s="410"/>
      <c r="AB256" s="410" t="e">
        <f>#REF!</f>
        <v>#REF!</v>
      </c>
      <c r="AC256" s="410" t="e">
        <f>#REF!</f>
        <v>#REF!</v>
      </c>
      <c r="AD256" s="410" t="e">
        <f>#REF!</f>
        <v>#REF!</v>
      </c>
      <c r="AE256" s="410" t="e">
        <f>#REF!</f>
        <v>#REF!</v>
      </c>
      <c r="AF256" s="410" t="e">
        <f>#REF!</f>
        <v>#REF!</v>
      </c>
      <c r="AG256" s="410" t="e">
        <f>#REF!</f>
        <v>#REF!</v>
      </c>
    </row>
    <row r="257" spans="1:33" s="412" customFormat="1" ht="3.75" customHeight="1" outlineLevel="1" x14ac:dyDescent="0.15">
      <c r="A257" s="409" t="e">
        <f>#REF!</f>
        <v>#REF!</v>
      </c>
      <c r="B257" s="410" t="e">
        <f>#REF!</f>
        <v>#REF!</v>
      </c>
      <c r="C257" s="410" t="e">
        <f>#REF!</f>
        <v>#REF!</v>
      </c>
      <c r="D257" s="410" t="e">
        <f>#REF!</f>
        <v>#REF!</v>
      </c>
      <c r="E257" s="410" t="e">
        <f>#REF!</f>
        <v>#REF!</v>
      </c>
      <c r="S257" s="413" t="e">
        <f>#REF!</f>
        <v>#REF!</v>
      </c>
      <c r="T257" s="413" t="e">
        <f>#REF!</f>
        <v>#REF!</v>
      </c>
      <c r="U257" s="410" t="e">
        <f>#REF!</f>
        <v>#REF!</v>
      </c>
      <c r="V257" s="410" t="e">
        <f>#REF!</f>
        <v>#REF!</v>
      </c>
      <c r="W257" s="410" t="e">
        <f>#REF!</f>
        <v>#REF!</v>
      </c>
      <c r="X257" s="410" t="e">
        <f>#REF!</f>
        <v>#REF!</v>
      </c>
      <c r="Y257" s="410" t="e">
        <f>#REF!</f>
        <v>#REF!</v>
      </c>
      <c r="Z257" s="410" t="e">
        <f>#REF!</f>
        <v>#REF!</v>
      </c>
      <c r="AA257" s="410"/>
      <c r="AB257" s="410" t="e">
        <f>#REF!</f>
        <v>#REF!</v>
      </c>
      <c r="AC257" s="410" t="e">
        <f>#REF!</f>
        <v>#REF!</v>
      </c>
      <c r="AD257" s="410" t="e">
        <f>#REF!</f>
        <v>#REF!</v>
      </c>
      <c r="AE257" s="410" t="e">
        <f>#REF!</f>
        <v>#REF!</v>
      </c>
      <c r="AF257" s="410" t="e">
        <f>#REF!</f>
        <v>#REF!</v>
      </c>
      <c r="AG257" s="410" t="e">
        <f>#REF!</f>
        <v>#REF!</v>
      </c>
    </row>
    <row r="258" spans="1:33" s="412" customFormat="1" ht="3.75" customHeight="1" thickBot="1" x14ac:dyDescent="0.2">
      <c r="A258" s="428"/>
      <c r="B258" s="429"/>
      <c r="C258" s="429"/>
      <c r="D258" s="429"/>
      <c r="E258" s="429"/>
      <c r="F258" s="430"/>
      <c r="S258" s="413" t="e">
        <f>#REF!</f>
        <v>#REF!</v>
      </c>
      <c r="T258" s="413" t="e">
        <f>#REF!</f>
        <v>#REF!</v>
      </c>
      <c r="U258" s="410" t="e">
        <f>#REF!</f>
        <v>#REF!</v>
      </c>
      <c r="V258" s="410" t="e">
        <f>#REF!</f>
        <v>#REF!</v>
      </c>
      <c r="W258" s="410" t="e">
        <f>#REF!</f>
        <v>#REF!</v>
      </c>
      <c r="X258" s="410" t="e">
        <f>#REF!</f>
        <v>#REF!</v>
      </c>
      <c r="Y258" s="410" t="e">
        <f>#REF!</f>
        <v>#REF!</v>
      </c>
      <c r="Z258" s="410" t="e">
        <f>#REF!</f>
        <v>#REF!</v>
      </c>
      <c r="AA258" s="410"/>
      <c r="AB258" s="410" t="e">
        <f>#REF!</f>
        <v>#REF!</v>
      </c>
      <c r="AC258" s="410" t="e">
        <f>#REF!</f>
        <v>#REF!</v>
      </c>
      <c r="AD258" s="410" t="e">
        <f>#REF!</f>
        <v>#REF!</v>
      </c>
      <c r="AE258" s="410" t="e">
        <f>#REF!</f>
        <v>#REF!</v>
      </c>
      <c r="AF258" s="410" t="e">
        <f>#REF!</f>
        <v>#REF!</v>
      </c>
      <c r="AG258" s="410" t="e">
        <f>#REF!</f>
        <v>#REF!</v>
      </c>
    </row>
    <row r="259" spans="1:33" s="412" customFormat="1" ht="3.75" customHeight="1" x14ac:dyDescent="0.15">
      <c r="A259" s="409" t="e">
        <f>#REF!</f>
        <v>#REF!</v>
      </c>
      <c r="B259" s="427" t="e">
        <f>#REF!</f>
        <v>#REF!</v>
      </c>
      <c r="C259" s="427" t="e">
        <f>#REF!</f>
        <v>#REF!</v>
      </c>
      <c r="D259" s="427" t="e">
        <f>#REF!</f>
        <v>#REF!</v>
      </c>
      <c r="E259" s="427" t="e">
        <f>#REF!</f>
        <v>#REF!</v>
      </c>
      <c r="F259" s="411"/>
      <c r="S259" s="413" t="e">
        <f>#REF!</f>
        <v>#REF!</v>
      </c>
      <c r="T259" s="413" t="e">
        <f>#REF!</f>
        <v>#REF!</v>
      </c>
      <c r="U259" s="410" t="e">
        <f>#REF!</f>
        <v>#REF!</v>
      </c>
      <c r="V259" s="410" t="e">
        <f>#REF!</f>
        <v>#REF!</v>
      </c>
      <c r="W259" s="410" t="e">
        <f>#REF!</f>
        <v>#REF!</v>
      </c>
      <c r="X259" s="410" t="e">
        <f>#REF!</f>
        <v>#REF!</v>
      </c>
      <c r="Y259" s="410" t="e">
        <f>#REF!</f>
        <v>#REF!</v>
      </c>
      <c r="Z259" s="410" t="e">
        <f>#REF!</f>
        <v>#REF!</v>
      </c>
      <c r="AA259" s="410"/>
      <c r="AB259" s="410" t="e">
        <f>#REF!</f>
        <v>#REF!</v>
      </c>
      <c r="AC259" s="410" t="e">
        <f>#REF!</f>
        <v>#REF!</v>
      </c>
      <c r="AD259" s="410" t="e">
        <f>#REF!</f>
        <v>#REF!</v>
      </c>
      <c r="AE259" s="410" t="e">
        <f>#REF!</f>
        <v>#REF!</v>
      </c>
      <c r="AF259" s="410" t="e">
        <f>#REF!</f>
        <v>#REF!</v>
      </c>
      <c r="AG259" s="410" t="e">
        <f>#REF!</f>
        <v>#REF!</v>
      </c>
    </row>
    <row r="260" spans="1:33" s="412" customFormat="1" ht="3.75" customHeight="1" x14ac:dyDescent="0.15">
      <c r="A260" s="409" t="e">
        <f>#REF!</f>
        <v>#REF!</v>
      </c>
      <c r="B260" s="427" t="e">
        <f>#REF!</f>
        <v>#REF!</v>
      </c>
      <c r="C260" s="427" t="e">
        <f>#REF!</f>
        <v>#REF!</v>
      </c>
      <c r="D260" s="427" t="e">
        <f>#REF!</f>
        <v>#REF!</v>
      </c>
      <c r="E260" s="427" t="e">
        <f>#REF!</f>
        <v>#REF!</v>
      </c>
      <c r="F260" s="411"/>
      <c r="S260" s="413" t="e">
        <f>#REF!</f>
        <v>#REF!</v>
      </c>
      <c r="T260" s="413" t="e">
        <f>#REF!</f>
        <v>#REF!</v>
      </c>
      <c r="U260" s="412" t="e">
        <f>#REF!</f>
        <v>#REF!</v>
      </c>
      <c r="V260" s="412" t="e">
        <f>#REF!</f>
        <v>#REF!</v>
      </c>
      <c r="W260" s="412" t="e">
        <f>#REF!</f>
        <v>#REF!</v>
      </c>
      <c r="X260" s="412" t="e">
        <f>#REF!</f>
        <v>#REF!</v>
      </c>
      <c r="Y260" s="412" t="e">
        <f>#REF!</f>
        <v>#REF!</v>
      </c>
      <c r="Z260" s="412" t="e">
        <f>#REF!</f>
        <v>#REF!</v>
      </c>
      <c r="AB260" s="412" t="e">
        <f>#REF!</f>
        <v>#REF!</v>
      </c>
      <c r="AC260" s="412" t="e">
        <f>#REF!</f>
        <v>#REF!</v>
      </c>
      <c r="AD260" s="412" t="e">
        <f>#REF!</f>
        <v>#REF!</v>
      </c>
      <c r="AE260" s="412" t="e">
        <f>#REF!</f>
        <v>#REF!</v>
      </c>
      <c r="AF260" s="412" t="e">
        <f>#REF!</f>
        <v>#REF!</v>
      </c>
      <c r="AG260" s="412" t="e">
        <f>#REF!</f>
        <v>#REF!</v>
      </c>
    </row>
    <row r="261" spans="1:33" s="468" customFormat="1" ht="8.25" outlineLevel="1" x14ac:dyDescent="0.15">
      <c r="A261" s="466" t="e">
        <f>#REF!</f>
        <v>#REF!</v>
      </c>
      <c r="B261" s="467" t="e">
        <f>#REF!</f>
        <v>#REF!</v>
      </c>
      <c r="C261" s="467" t="e">
        <f>#REF!</f>
        <v>#REF!</v>
      </c>
      <c r="D261" s="467" t="e">
        <f>#REF!</f>
        <v>#REF!</v>
      </c>
      <c r="E261" s="467" t="e">
        <f>#REF!</f>
        <v>#REF!</v>
      </c>
    </row>
    <row r="262" spans="1:33" s="468" customFormat="1" ht="8.25" outlineLevel="1" x14ac:dyDescent="0.15">
      <c r="A262" s="466" t="e">
        <f>#REF!</f>
        <v>#REF!</v>
      </c>
      <c r="B262" s="467" t="e">
        <f>#REF!</f>
        <v>#REF!</v>
      </c>
      <c r="C262" s="467" t="e">
        <f>#REF!</f>
        <v>#REF!</v>
      </c>
      <c r="D262" s="467" t="e">
        <f>#REF!</f>
        <v>#REF!</v>
      </c>
      <c r="E262" s="467" t="e">
        <f>#REF!</f>
        <v>#REF!</v>
      </c>
    </row>
    <row r="263" spans="1:33" s="468" customFormat="1" ht="8.25" outlineLevel="1" x14ac:dyDescent="0.15">
      <c r="A263" s="466" t="e">
        <f>#REF!</f>
        <v>#REF!</v>
      </c>
      <c r="B263" s="467" t="e">
        <f>#REF!</f>
        <v>#REF!</v>
      </c>
      <c r="C263" s="467" t="e">
        <f>#REF!</f>
        <v>#REF!</v>
      </c>
      <c r="D263" s="467" t="e">
        <f>#REF!</f>
        <v>#REF!</v>
      </c>
      <c r="E263" s="467" t="e">
        <f>#REF!</f>
        <v>#REF!</v>
      </c>
    </row>
    <row r="264" spans="1:33" s="468" customFormat="1" ht="8.25" outlineLevel="1" x14ac:dyDescent="0.15">
      <c r="A264" s="466" t="e">
        <f>#REF!</f>
        <v>#REF!</v>
      </c>
      <c r="B264" s="467" t="e">
        <f>#REF!</f>
        <v>#REF!</v>
      </c>
      <c r="C264" s="467" t="e">
        <f>#REF!</f>
        <v>#REF!</v>
      </c>
      <c r="D264" s="467" t="e">
        <f>#REF!</f>
        <v>#REF!</v>
      </c>
      <c r="E264" s="467" t="e">
        <f>#REF!</f>
        <v>#REF!</v>
      </c>
    </row>
    <row r="265" spans="1:33" s="468" customFormat="1" ht="8.25" outlineLevel="1" x14ac:dyDescent="0.15">
      <c r="A265" s="466" t="e">
        <f>#REF!</f>
        <v>#REF!</v>
      </c>
      <c r="B265" s="467" t="e">
        <f>#REF!</f>
        <v>#REF!</v>
      </c>
      <c r="C265" s="467" t="e">
        <f>#REF!</f>
        <v>#REF!</v>
      </c>
      <c r="D265" s="467" t="e">
        <f>#REF!</f>
        <v>#REF!</v>
      </c>
      <c r="E265" s="467" t="e">
        <f>#REF!</f>
        <v>#REF!</v>
      </c>
    </row>
    <row r="266" spans="1:33" s="468" customFormat="1" ht="8.25" outlineLevel="1" x14ac:dyDescent="0.15">
      <c r="A266" s="466" t="e">
        <f>#REF!</f>
        <v>#REF!</v>
      </c>
      <c r="B266" s="467" t="e">
        <f>#REF!</f>
        <v>#REF!</v>
      </c>
      <c r="C266" s="467" t="e">
        <f>#REF!</f>
        <v>#REF!</v>
      </c>
      <c r="D266" s="467" t="e">
        <f>#REF!</f>
        <v>#REF!</v>
      </c>
      <c r="E266" s="467" t="e">
        <f>#REF!</f>
        <v>#REF!</v>
      </c>
    </row>
    <row r="267" spans="1:33" s="465" customFormat="1" outlineLevel="1" x14ac:dyDescent="0.25">
      <c r="A267" s="462" t="e">
        <f>#REF!</f>
        <v>#REF!</v>
      </c>
      <c r="B267" s="463" t="e">
        <f>#REF!</f>
        <v>#REF!</v>
      </c>
      <c r="C267" s="463" t="e">
        <f>#REF!</f>
        <v>#REF!</v>
      </c>
      <c r="D267" s="463" t="e">
        <f>#REF!</f>
        <v>#REF!</v>
      </c>
      <c r="E267" s="463" t="e">
        <f>#REF!</f>
        <v>#REF!</v>
      </c>
    </row>
    <row r="268" spans="1:33" s="465" customFormat="1" outlineLevel="1" x14ac:dyDescent="0.25">
      <c r="A268" s="462" t="e">
        <f>#REF!</f>
        <v>#REF!</v>
      </c>
      <c r="B268" s="463" t="e">
        <f>#REF!</f>
        <v>#REF!</v>
      </c>
      <c r="C268" s="463" t="e">
        <f>#REF!</f>
        <v>#REF!</v>
      </c>
      <c r="D268" s="463" t="e">
        <f>#REF!</f>
        <v>#REF!</v>
      </c>
      <c r="E268" s="463" t="e">
        <f>#REF!</f>
        <v>#REF!</v>
      </c>
    </row>
    <row r="269" spans="1:33" s="465" customFormat="1" outlineLevel="1" x14ac:dyDescent="0.25">
      <c r="A269" s="462" t="e">
        <f>#REF!</f>
        <v>#REF!</v>
      </c>
      <c r="B269" s="463" t="e">
        <f>#REF!</f>
        <v>#REF!</v>
      </c>
      <c r="C269" s="463" t="e">
        <f>#REF!</f>
        <v>#REF!</v>
      </c>
      <c r="D269" s="463" t="e">
        <f>#REF!</f>
        <v>#REF!</v>
      </c>
      <c r="E269" s="463" t="e">
        <f>#REF!</f>
        <v>#REF!</v>
      </c>
    </row>
    <row r="270" spans="1:33" s="465" customFormat="1" outlineLevel="1" x14ac:dyDescent="0.25">
      <c r="A270" s="462" t="e">
        <f>#REF!</f>
        <v>#REF!</v>
      </c>
      <c r="B270" s="463" t="e">
        <f>#REF!</f>
        <v>#REF!</v>
      </c>
      <c r="C270" s="463" t="e">
        <f>#REF!</f>
        <v>#REF!</v>
      </c>
      <c r="D270" s="463" t="e">
        <f>#REF!</f>
        <v>#REF!</v>
      </c>
      <c r="E270" s="463" t="e">
        <f>#REF!</f>
        <v>#REF!</v>
      </c>
    </row>
    <row r="271" spans="1:33" s="465" customFormat="1" outlineLevel="1" x14ac:dyDescent="0.25">
      <c r="A271" s="462" t="e">
        <f>#REF!</f>
        <v>#REF!</v>
      </c>
      <c r="B271" s="463" t="e">
        <f>#REF!</f>
        <v>#REF!</v>
      </c>
      <c r="C271" s="463" t="e">
        <f>#REF!</f>
        <v>#REF!</v>
      </c>
      <c r="D271" s="463" t="e">
        <f>#REF!</f>
        <v>#REF!</v>
      </c>
      <c r="E271" s="463" t="e">
        <f>#REF!</f>
        <v>#REF!</v>
      </c>
    </row>
    <row r="272" spans="1:33" s="465" customFormat="1" outlineLevel="1" x14ac:dyDescent="0.25">
      <c r="A272" s="462" t="e">
        <f>#REF!</f>
        <v>#REF!</v>
      </c>
      <c r="B272" s="463" t="e">
        <f>#REF!</f>
        <v>#REF!</v>
      </c>
      <c r="C272" s="463" t="e">
        <f>#REF!</f>
        <v>#REF!</v>
      </c>
      <c r="D272" s="463" t="e">
        <f>#REF!</f>
        <v>#REF!</v>
      </c>
      <c r="E272" s="463" t="e">
        <f>#REF!</f>
        <v>#REF!</v>
      </c>
    </row>
    <row r="273" spans="1:6" s="465" customFormat="1" outlineLevel="1" x14ac:dyDescent="0.25">
      <c r="A273" s="462" t="e">
        <f>#REF!</f>
        <v>#REF!</v>
      </c>
      <c r="B273" s="463" t="e">
        <f>#REF!</f>
        <v>#REF!</v>
      </c>
      <c r="C273" s="463" t="e">
        <f>#REF!</f>
        <v>#REF!</v>
      </c>
      <c r="D273" s="463" t="e">
        <f>#REF!</f>
        <v>#REF!</v>
      </c>
      <c r="E273" s="463" t="e">
        <f>#REF!</f>
        <v>#REF!</v>
      </c>
    </row>
    <row r="274" spans="1:6" s="465" customFormat="1" outlineLevel="1" x14ac:dyDescent="0.25">
      <c r="A274" s="462" t="e">
        <f>#REF!</f>
        <v>#REF!</v>
      </c>
      <c r="B274" s="463" t="e">
        <f>#REF!</f>
        <v>#REF!</v>
      </c>
      <c r="C274" s="463" t="e">
        <f>#REF!</f>
        <v>#REF!</v>
      </c>
      <c r="D274" s="463" t="e">
        <f>#REF!</f>
        <v>#REF!</v>
      </c>
      <c r="E274" s="463" t="e">
        <f>#REF!</f>
        <v>#REF!</v>
      </c>
    </row>
    <row r="275" spans="1:6" s="465" customFormat="1" outlineLevel="1" x14ac:dyDescent="0.25">
      <c r="A275" s="462" t="e">
        <f>#REF!</f>
        <v>#REF!</v>
      </c>
      <c r="B275" s="463" t="e">
        <f>#REF!</f>
        <v>#REF!</v>
      </c>
      <c r="C275" s="463" t="e">
        <f>#REF!</f>
        <v>#REF!</v>
      </c>
      <c r="D275" s="463" t="e">
        <f>#REF!</f>
        <v>#REF!</v>
      </c>
      <c r="E275" s="463" t="e">
        <f>#REF!</f>
        <v>#REF!</v>
      </c>
    </row>
    <row r="276" spans="1:6" s="465" customFormat="1" outlineLevel="1" x14ac:dyDescent="0.25">
      <c r="A276" s="462" t="e">
        <f>#REF!</f>
        <v>#REF!</v>
      </c>
      <c r="B276" s="463" t="e">
        <f>#REF!</f>
        <v>#REF!</v>
      </c>
      <c r="C276" s="463" t="e">
        <f>#REF!</f>
        <v>#REF!</v>
      </c>
      <c r="D276" s="463" t="e">
        <f>#REF!</f>
        <v>#REF!</v>
      </c>
      <c r="E276" s="463" t="e">
        <f>#REF!</f>
        <v>#REF!</v>
      </c>
    </row>
    <row r="277" spans="1:6" s="465" customFormat="1" outlineLevel="1" x14ac:dyDescent="0.25">
      <c r="A277" s="462" t="e">
        <f>#REF!</f>
        <v>#REF!</v>
      </c>
      <c r="B277" s="463" t="e">
        <f>#REF!</f>
        <v>#REF!</v>
      </c>
      <c r="C277" s="463" t="e">
        <f>#REF!</f>
        <v>#REF!</v>
      </c>
      <c r="D277" s="463" t="e">
        <f>#REF!</f>
        <v>#REF!</v>
      </c>
      <c r="E277" s="463" t="e">
        <f>#REF!</f>
        <v>#REF!</v>
      </c>
    </row>
    <row r="278" spans="1:6" s="465" customFormat="1" outlineLevel="1" x14ac:dyDescent="0.25">
      <c r="A278" s="462" t="e">
        <f>#REF!</f>
        <v>#REF!</v>
      </c>
      <c r="B278" s="463" t="e">
        <f>#REF!</f>
        <v>#REF!</v>
      </c>
      <c r="C278" s="463" t="e">
        <f>#REF!</f>
        <v>#REF!</v>
      </c>
      <c r="D278" s="463" t="e">
        <f>#REF!</f>
        <v>#REF!</v>
      </c>
      <c r="E278" s="463" t="e">
        <f>#REF!</f>
        <v>#REF!</v>
      </c>
    </row>
    <row r="279" spans="1:6" s="465" customFormat="1" outlineLevel="1" x14ac:dyDescent="0.25">
      <c r="A279" s="462" t="e">
        <f>#REF!</f>
        <v>#REF!</v>
      </c>
      <c r="B279" s="463" t="e">
        <f>#REF!</f>
        <v>#REF!</v>
      </c>
      <c r="C279" s="463" t="e">
        <f>#REF!</f>
        <v>#REF!</v>
      </c>
      <c r="D279" s="463" t="e">
        <f>#REF!</f>
        <v>#REF!</v>
      </c>
      <c r="E279" s="463" t="e">
        <f>#REF!</f>
        <v>#REF!</v>
      </c>
    </row>
    <row r="280" spans="1:6" s="465" customFormat="1" outlineLevel="1" x14ac:dyDescent="0.25">
      <c r="A280" s="462" t="e">
        <f>#REF!</f>
        <v>#REF!</v>
      </c>
      <c r="B280" s="463" t="e">
        <f>#REF!</f>
        <v>#REF!</v>
      </c>
      <c r="C280" s="463" t="e">
        <f>#REF!</f>
        <v>#REF!</v>
      </c>
      <c r="D280" s="463" t="e">
        <f>#REF!</f>
        <v>#REF!</v>
      </c>
      <c r="E280" s="463" t="e">
        <f>#REF!</f>
        <v>#REF!</v>
      </c>
    </row>
    <row r="281" spans="1:6" s="465" customFormat="1" ht="15.75" thickBot="1" x14ac:dyDescent="0.3">
      <c r="A281" s="469"/>
      <c r="B281" s="470"/>
      <c r="C281" s="470"/>
      <c r="D281" s="470"/>
      <c r="E281" s="470"/>
      <c r="F281" s="471"/>
    </row>
    <row r="282" spans="1:6" s="465" customFormat="1" x14ac:dyDescent="0.25">
      <c r="A282" s="462" t="e">
        <f>#REF!</f>
        <v>#REF!</v>
      </c>
      <c r="B282" s="472" t="e">
        <f>#REF!</f>
        <v>#REF!</v>
      </c>
      <c r="C282" s="472" t="e">
        <f>#REF!</f>
        <v>#REF!</v>
      </c>
      <c r="D282" s="472" t="e">
        <f>#REF!</f>
        <v>#REF!</v>
      </c>
      <c r="E282" s="472" t="e">
        <f>#REF!</f>
        <v>#REF!</v>
      </c>
      <c r="F282" s="464"/>
    </row>
    <row r="283" spans="1:6" s="465" customFormat="1" x14ac:dyDescent="0.25">
      <c r="A283" s="462" t="e">
        <f>#REF!</f>
        <v>#REF!</v>
      </c>
      <c r="B283" s="472" t="e">
        <f>#REF!</f>
        <v>#REF!</v>
      </c>
      <c r="C283" s="472" t="e">
        <f>#REF!</f>
        <v>#REF!</v>
      </c>
      <c r="D283" s="472" t="e">
        <f>#REF!</f>
        <v>#REF!</v>
      </c>
      <c r="E283" s="472" t="e">
        <f>#REF!</f>
        <v>#REF!</v>
      </c>
      <c r="F283" s="464"/>
    </row>
    <row r="284" spans="1:6" s="465" customFormat="1" x14ac:dyDescent="0.25">
      <c r="A284" s="462" t="e">
        <f>#REF!</f>
        <v>#REF!</v>
      </c>
      <c r="B284" s="463" t="e">
        <f>#REF!</f>
        <v>#REF!</v>
      </c>
      <c r="C284" s="463" t="e">
        <f>#REF!</f>
        <v>#REF!</v>
      </c>
      <c r="D284" s="463" t="e">
        <f>#REF!</f>
        <v>#REF!</v>
      </c>
      <c r="E284" s="463" t="e">
        <f>#REF!</f>
        <v>#REF!</v>
      </c>
      <c r="F284" s="464"/>
    </row>
    <row r="285" spans="1:6" s="465" customFormat="1" x14ac:dyDescent="0.25">
      <c r="A285" s="462" t="e">
        <f>#REF!</f>
        <v>#REF!</v>
      </c>
      <c r="B285" s="463" t="e">
        <f>#REF!</f>
        <v>#REF!</v>
      </c>
      <c r="C285" s="463" t="e">
        <f>#REF!</f>
        <v>#REF!</v>
      </c>
      <c r="D285" s="463" t="e">
        <f>#REF!</f>
        <v>#REF!</v>
      </c>
      <c r="E285" s="463" t="e">
        <f>#REF!</f>
        <v>#REF!</v>
      </c>
      <c r="F285" s="464"/>
    </row>
    <row r="286" spans="1:6" s="465" customFormat="1" x14ac:dyDescent="0.25">
      <c r="A286" s="462" t="e">
        <f>#REF!</f>
        <v>#REF!</v>
      </c>
      <c r="B286" s="463" t="e">
        <f>#REF!</f>
        <v>#REF!</v>
      </c>
      <c r="C286" s="463" t="e">
        <f>#REF!</f>
        <v>#REF!</v>
      </c>
      <c r="D286" s="463" t="e">
        <f>#REF!</f>
        <v>#REF!</v>
      </c>
      <c r="E286" s="463" t="e">
        <f>#REF!</f>
        <v>#REF!</v>
      </c>
      <c r="F286" s="464"/>
    </row>
    <row r="287" spans="1:6" s="465" customFormat="1" x14ac:dyDescent="0.25">
      <c r="A287" s="462" t="e">
        <f>#REF!</f>
        <v>#REF!</v>
      </c>
      <c r="B287" s="463" t="e">
        <f>#REF!</f>
        <v>#REF!</v>
      </c>
      <c r="C287" s="463" t="e">
        <f>#REF!</f>
        <v>#REF!</v>
      </c>
      <c r="D287" s="463" t="e">
        <f>#REF!</f>
        <v>#REF!</v>
      </c>
      <c r="E287" s="463" t="e">
        <f>#REF!</f>
        <v>#REF!</v>
      </c>
      <c r="F287" s="464"/>
    </row>
    <row r="288" spans="1:6" s="465" customFormat="1" x14ac:dyDescent="0.25">
      <c r="A288" s="462" t="e">
        <f>#REF!</f>
        <v>#REF!</v>
      </c>
      <c r="B288" s="463" t="e">
        <f>#REF!</f>
        <v>#REF!</v>
      </c>
      <c r="C288" s="463" t="e">
        <f>#REF!</f>
        <v>#REF!</v>
      </c>
      <c r="D288" s="463" t="e">
        <f>#REF!</f>
        <v>#REF!</v>
      </c>
      <c r="E288" s="463" t="e">
        <f>#REF!</f>
        <v>#REF!</v>
      </c>
      <c r="F288" s="464"/>
    </row>
    <row r="289" spans="1:10" s="465" customFormat="1" x14ac:dyDescent="0.25">
      <c r="A289" s="462" t="e">
        <f>#REF!</f>
        <v>#REF!</v>
      </c>
      <c r="B289" s="463" t="e">
        <f>#REF!</f>
        <v>#REF!</v>
      </c>
      <c r="C289" s="463" t="e">
        <f>#REF!</f>
        <v>#REF!</v>
      </c>
      <c r="D289" s="463" t="e">
        <f>#REF!</f>
        <v>#REF!</v>
      </c>
      <c r="E289" s="463" t="e">
        <f>#REF!</f>
        <v>#REF!</v>
      </c>
      <c r="F289" s="464"/>
    </row>
    <row r="290" spans="1:10" s="465" customFormat="1" x14ac:dyDescent="0.25">
      <c r="A290" s="462" t="e">
        <f>#REF!</f>
        <v>#REF!</v>
      </c>
      <c r="B290" s="463" t="e">
        <f>#REF!</f>
        <v>#REF!</v>
      </c>
      <c r="C290" s="463" t="e">
        <f>#REF!</f>
        <v>#REF!</v>
      </c>
      <c r="D290" s="463" t="e">
        <f>#REF!</f>
        <v>#REF!</v>
      </c>
      <c r="E290" s="463" t="e">
        <f>#REF!</f>
        <v>#REF!</v>
      </c>
      <c r="F290" s="464"/>
    </row>
    <row r="291" spans="1:10" s="465" customFormat="1" x14ac:dyDescent="0.25">
      <c r="A291" s="462" t="e">
        <f>#REF!</f>
        <v>#REF!</v>
      </c>
      <c r="B291" s="463" t="e">
        <f>#REF!</f>
        <v>#REF!</v>
      </c>
      <c r="C291" s="463" t="e">
        <f>#REF!</f>
        <v>#REF!</v>
      </c>
      <c r="D291" s="463" t="e">
        <f>#REF!</f>
        <v>#REF!</v>
      </c>
      <c r="E291" s="463" t="e">
        <f>#REF!</f>
        <v>#REF!</v>
      </c>
      <c r="F291" s="464"/>
    </row>
    <row r="292" spans="1:10" s="465" customFormat="1" x14ac:dyDescent="0.25">
      <c r="A292" s="462" t="e">
        <f>#REF!</f>
        <v>#REF!</v>
      </c>
      <c r="B292" s="463" t="e">
        <f>#REF!</f>
        <v>#REF!</v>
      </c>
      <c r="C292" s="463" t="e">
        <f>#REF!</f>
        <v>#REF!</v>
      </c>
      <c r="D292" s="463" t="e">
        <f>#REF!</f>
        <v>#REF!</v>
      </c>
      <c r="E292" s="463" t="e">
        <f>#REF!</f>
        <v>#REF!</v>
      </c>
      <c r="F292" s="464"/>
    </row>
    <row r="293" spans="1:10" s="465" customFormat="1" x14ac:dyDescent="0.25">
      <c r="A293" s="462" t="e">
        <f>#REF!</f>
        <v>#REF!</v>
      </c>
      <c r="B293" s="463" t="e">
        <f>#REF!</f>
        <v>#REF!</v>
      </c>
      <c r="C293" s="463" t="e">
        <f>#REF!</f>
        <v>#REF!</v>
      </c>
      <c r="D293" s="463" t="e">
        <f>#REF!</f>
        <v>#REF!</v>
      </c>
      <c r="E293" s="463" t="e">
        <f>#REF!</f>
        <v>#REF!</v>
      </c>
      <c r="F293" s="464"/>
    </row>
    <row r="294" spans="1:10" s="465" customFormat="1" x14ac:dyDescent="0.25">
      <c r="A294" s="462" t="e">
        <f>#REF!</f>
        <v>#REF!</v>
      </c>
      <c r="B294" s="463" t="e">
        <f>#REF!</f>
        <v>#REF!</v>
      </c>
      <c r="C294" s="463" t="e">
        <f>#REF!</f>
        <v>#REF!</v>
      </c>
      <c r="D294" s="463" t="e">
        <f>#REF!</f>
        <v>#REF!</v>
      </c>
      <c r="E294" s="463" t="e">
        <f>#REF!</f>
        <v>#REF!</v>
      </c>
      <c r="F294" s="464"/>
    </row>
    <row r="295" spans="1:10" s="465" customFormat="1" x14ac:dyDescent="0.25">
      <c r="A295" s="462" t="e">
        <f>#REF!</f>
        <v>#REF!</v>
      </c>
      <c r="B295" s="463" t="e">
        <f>#REF!</f>
        <v>#REF!</v>
      </c>
      <c r="C295" s="463" t="e">
        <f>#REF!</f>
        <v>#REF!</v>
      </c>
      <c r="D295" s="463" t="e">
        <f>#REF!</f>
        <v>#REF!</v>
      </c>
      <c r="E295" s="463" t="e">
        <f>#REF!</f>
        <v>#REF!</v>
      </c>
      <c r="F295" s="464"/>
    </row>
    <row r="296" spans="1:10" s="465" customFormat="1" x14ac:dyDescent="0.25">
      <c r="A296" s="462" t="e">
        <f>#REF!</f>
        <v>#REF!</v>
      </c>
      <c r="B296" s="463" t="e">
        <f>#REF!</f>
        <v>#REF!</v>
      </c>
      <c r="C296" s="463" t="e">
        <f>#REF!</f>
        <v>#REF!</v>
      </c>
      <c r="D296" s="463" t="e">
        <f>#REF!</f>
        <v>#REF!</v>
      </c>
      <c r="E296" s="463" t="e">
        <f>#REF!</f>
        <v>#REF!</v>
      </c>
      <c r="F296" s="464"/>
    </row>
    <row r="297" spans="1:10" s="465" customFormat="1" x14ac:dyDescent="0.25">
      <c r="A297" s="462" t="e">
        <f>#REF!</f>
        <v>#REF!</v>
      </c>
      <c r="B297" s="463" t="e">
        <f>#REF!</f>
        <v>#REF!</v>
      </c>
      <c r="C297" s="463" t="e">
        <f>#REF!</f>
        <v>#REF!</v>
      </c>
      <c r="D297" s="463" t="e">
        <f>#REF!</f>
        <v>#REF!</v>
      </c>
      <c r="E297" s="463" t="e">
        <f>#REF!</f>
        <v>#REF!</v>
      </c>
      <c r="F297" s="464"/>
    </row>
    <row r="298" spans="1:10" s="465" customFormat="1" x14ac:dyDescent="0.25">
      <c r="A298" s="462" t="e">
        <f>#REF!</f>
        <v>#REF!</v>
      </c>
      <c r="B298" s="463" t="e">
        <f>#REF!</f>
        <v>#REF!</v>
      </c>
      <c r="C298" s="463" t="e">
        <f>#REF!</f>
        <v>#REF!</v>
      </c>
      <c r="D298" s="463" t="e">
        <f>#REF!</f>
        <v>#REF!</v>
      </c>
      <c r="E298" s="463" t="e">
        <f>#REF!</f>
        <v>#REF!</v>
      </c>
      <c r="F298" s="464"/>
    </row>
    <row r="299" spans="1:10" s="465" customFormat="1" x14ac:dyDescent="0.25">
      <c r="A299" s="462" t="e">
        <f>#REF!</f>
        <v>#REF!</v>
      </c>
      <c r="B299" s="463" t="e">
        <f>#REF!</f>
        <v>#REF!</v>
      </c>
      <c r="C299" s="463" t="e">
        <f>#REF!</f>
        <v>#REF!</v>
      </c>
      <c r="D299" s="463" t="e">
        <f>#REF!</f>
        <v>#REF!</v>
      </c>
      <c r="E299" s="463" t="e">
        <f>#REF!</f>
        <v>#REF!</v>
      </c>
      <c r="F299" s="464"/>
    </row>
    <row r="300" spans="1:10" s="465" customFormat="1" x14ac:dyDescent="0.25">
      <c r="A300" s="462" t="e">
        <f>#REF!</f>
        <v>#REF!</v>
      </c>
      <c r="B300" s="463" t="e">
        <f>#REF!</f>
        <v>#REF!</v>
      </c>
      <c r="C300" s="463" t="e">
        <f>#REF!</f>
        <v>#REF!</v>
      </c>
      <c r="D300" s="463" t="e">
        <f>#REF!</f>
        <v>#REF!</v>
      </c>
      <c r="E300" s="463" t="e">
        <f>#REF!</f>
        <v>#REF!</v>
      </c>
      <c r="F300" s="464"/>
    </row>
    <row r="301" spans="1:10" s="465" customFormat="1" x14ac:dyDescent="0.25">
      <c r="A301" s="462" t="e">
        <f>#REF!</f>
        <v>#REF!</v>
      </c>
      <c r="B301" s="463" t="e">
        <f>#REF!</f>
        <v>#REF!</v>
      </c>
      <c r="C301" s="463" t="e">
        <f>#REF!</f>
        <v>#REF!</v>
      </c>
      <c r="D301" s="463" t="e">
        <f>#REF!</f>
        <v>#REF!</v>
      </c>
      <c r="E301" s="463" t="e">
        <f>#REF!</f>
        <v>#REF!</v>
      </c>
      <c r="F301" s="464"/>
    </row>
    <row r="302" spans="1:10" outlineLevel="1" x14ac:dyDescent="0.25">
      <c r="A302" s="82" t="e">
        <f>#REF!</f>
        <v>#REF!</v>
      </c>
      <c r="B302" s="88" t="e">
        <f>#REF!</f>
        <v>#REF!</v>
      </c>
      <c r="C302" s="88" t="e">
        <f>#REF!</f>
        <v>#REF!</v>
      </c>
      <c r="D302" s="88" t="e">
        <f>#REF!</f>
        <v>#REF!</v>
      </c>
      <c r="E302" s="88" t="e">
        <f>#REF!</f>
        <v>#REF!</v>
      </c>
      <c r="J302" s="74"/>
    </row>
    <row r="303" spans="1:10" x14ac:dyDescent="0.25">
      <c r="A303" s="82" t="e">
        <f>#REF!</f>
        <v>#REF!</v>
      </c>
      <c r="B303" s="88" t="e">
        <f>#REF!</f>
        <v>#REF!</v>
      </c>
      <c r="C303" s="88" t="e">
        <f>#REF!</f>
        <v>#REF!</v>
      </c>
      <c r="D303" s="88" t="e">
        <f>#REF!</f>
        <v>#REF!</v>
      </c>
      <c r="E303" s="88" t="e">
        <f>#REF!</f>
        <v>#REF!</v>
      </c>
      <c r="F303" s="78" t="e">
        <f>#REF!</f>
        <v>#REF!</v>
      </c>
      <c r="J303" s="74"/>
    </row>
    <row r="304" spans="1:10" ht="15.75" thickBot="1" x14ac:dyDescent="0.3">
      <c r="A304" s="83"/>
      <c r="B304" s="89"/>
      <c r="C304" s="89"/>
      <c r="D304" s="89"/>
      <c r="E304" s="89"/>
      <c r="F304" s="74" t="s">
        <v>61</v>
      </c>
      <c r="J304" s="74"/>
    </row>
    <row r="305" spans="1:10" ht="15.75" thickBot="1" x14ac:dyDescent="0.3">
      <c r="J305" s="74"/>
    </row>
    <row r="306" spans="1:10" ht="18.75" x14ac:dyDescent="0.3">
      <c r="A306" s="81" t="s">
        <v>3</v>
      </c>
      <c r="B306" s="86" t="s">
        <v>42</v>
      </c>
      <c r="C306" s="86" t="s">
        <v>36</v>
      </c>
      <c r="D306" s="86" t="s">
        <v>31</v>
      </c>
      <c r="E306" s="87" t="s">
        <v>41</v>
      </c>
      <c r="F306" s="74" t="e">
        <f>#REF!</f>
        <v>#REF!</v>
      </c>
      <c r="J306" s="74"/>
    </row>
    <row r="307" spans="1:10" x14ac:dyDescent="0.25">
      <c r="A307" s="82" t="e">
        <f>#REF!</f>
        <v>#REF!</v>
      </c>
      <c r="B307" s="76" t="e">
        <f>#REF!</f>
        <v>#REF!</v>
      </c>
      <c r="C307" s="76" t="e">
        <f>#REF!</f>
        <v>#REF!</v>
      </c>
      <c r="D307" s="76" t="e">
        <f>#REF!</f>
        <v>#REF!</v>
      </c>
      <c r="E307" s="76" t="e">
        <f>#REF!</f>
        <v>#REF!</v>
      </c>
      <c r="J307" s="74"/>
    </row>
    <row r="308" spans="1:10" x14ac:dyDescent="0.25">
      <c r="A308" s="82" t="e">
        <f>#REF!</f>
        <v>#REF!</v>
      </c>
      <c r="B308" s="76" t="e">
        <f>#REF!</f>
        <v>#REF!</v>
      </c>
      <c r="C308" s="76" t="e">
        <f>#REF!</f>
        <v>#REF!</v>
      </c>
      <c r="D308" s="76" t="e">
        <f>#REF!</f>
        <v>#REF!</v>
      </c>
      <c r="E308" s="76" t="e">
        <f>#REF!</f>
        <v>#REF!</v>
      </c>
      <c r="J308" s="74"/>
    </row>
    <row r="309" spans="1:10" outlineLevel="1" x14ac:dyDescent="0.25">
      <c r="A309" s="82" t="e">
        <f>#REF!</f>
        <v>#REF!</v>
      </c>
      <c r="B309" s="88" t="e">
        <f>#REF!</f>
        <v>#REF!</v>
      </c>
      <c r="C309" s="88" t="e">
        <f>#REF!</f>
        <v>#REF!</v>
      </c>
      <c r="D309" s="88" t="e">
        <f>#REF!</f>
        <v>#REF!</v>
      </c>
      <c r="E309" s="88" t="e">
        <f>#REF!</f>
        <v>#REF!</v>
      </c>
      <c r="J309" s="74"/>
    </row>
    <row r="310" spans="1:10" outlineLevel="1" x14ac:dyDescent="0.25">
      <c r="A310" s="82" t="e">
        <f>#REF!</f>
        <v>#REF!</v>
      </c>
      <c r="B310" s="88" t="e">
        <f>#REF!</f>
        <v>#REF!</v>
      </c>
      <c r="C310" s="88" t="e">
        <f>#REF!</f>
        <v>#REF!</v>
      </c>
      <c r="D310" s="88" t="e">
        <f>#REF!</f>
        <v>#REF!</v>
      </c>
      <c r="E310" s="88" t="e">
        <f>#REF!</f>
        <v>#REF!</v>
      </c>
      <c r="J310" s="74"/>
    </row>
    <row r="311" spans="1:10" outlineLevel="1" x14ac:dyDescent="0.25">
      <c r="A311" s="82" t="e">
        <f>#REF!</f>
        <v>#REF!</v>
      </c>
      <c r="B311" s="88" t="e">
        <f>#REF!</f>
        <v>#REF!</v>
      </c>
      <c r="C311" s="88" t="e">
        <f>#REF!</f>
        <v>#REF!</v>
      </c>
      <c r="D311" s="88" t="e">
        <f>#REF!</f>
        <v>#REF!</v>
      </c>
      <c r="E311" s="88" t="e">
        <f>#REF!</f>
        <v>#REF!</v>
      </c>
      <c r="J311" s="74"/>
    </row>
    <row r="312" spans="1:10" outlineLevel="1" x14ac:dyDescent="0.25">
      <c r="A312" s="82" t="e">
        <f>#REF!</f>
        <v>#REF!</v>
      </c>
      <c r="B312" s="88" t="e">
        <f>#REF!</f>
        <v>#REF!</v>
      </c>
      <c r="C312" s="88" t="e">
        <f>#REF!</f>
        <v>#REF!</v>
      </c>
      <c r="D312" s="88" t="e">
        <f>#REF!</f>
        <v>#REF!</v>
      </c>
      <c r="E312" s="88" t="e">
        <f>#REF!</f>
        <v>#REF!</v>
      </c>
      <c r="J312" s="74"/>
    </row>
    <row r="313" spans="1:10" outlineLevel="1" x14ac:dyDescent="0.25">
      <c r="A313" s="82" t="e">
        <f>#REF!</f>
        <v>#REF!</v>
      </c>
      <c r="B313" s="88" t="e">
        <f>#REF!</f>
        <v>#REF!</v>
      </c>
      <c r="C313" s="88" t="e">
        <f>#REF!</f>
        <v>#REF!</v>
      </c>
      <c r="D313" s="88" t="e">
        <f>#REF!</f>
        <v>#REF!</v>
      </c>
      <c r="E313" s="88" t="e">
        <f>#REF!</f>
        <v>#REF!</v>
      </c>
      <c r="J313" s="74"/>
    </row>
    <row r="314" spans="1:10" outlineLevel="1" x14ac:dyDescent="0.25">
      <c r="A314" s="82" t="e">
        <f>#REF!</f>
        <v>#REF!</v>
      </c>
      <c r="B314" s="88" t="e">
        <f>#REF!</f>
        <v>#REF!</v>
      </c>
      <c r="C314" s="88" t="e">
        <f>#REF!</f>
        <v>#REF!</v>
      </c>
      <c r="D314" s="88" t="e">
        <f>#REF!</f>
        <v>#REF!</v>
      </c>
      <c r="E314" s="88" t="e">
        <f>#REF!</f>
        <v>#REF!</v>
      </c>
      <c r="J314" s="74"/>
    </row>
    <row r="315" spans="1:10" outlineLevel="1" x14ac:dyDescent="0.25">
      <c r="A315" s="82" t="e">
        <f>#REF!</f>
        <v>#REF!</v>
      </c>
      <c r="B315" s="88" t="e">
        <f>#REF!</f>
        <v>#REF!</v>
      </c>
      <c r="C315" s="88" t="e">
        <f>#REF!</f>
        <v>#REF!</v>
      </c>
      <c r="D315" s="88" t="e">
        <f>#REF!</f>
        <v>#REF!</v>
      </c>
      <c r="E315" s="88" t="e">
        <f>#REF!</f>
        <v>#REF!</v>
      </c>
      <c r="J315" s="74"/>
    </row>
    <row r="316" spans="1:10" outlineLevel="1" x14ac:dyDescent="0.25">
      <c r="A316" s="82" t="e">
        <f>#REF!</f>
        <v>#REF!</v>
      </c>
      <c r="B316" s="88" t="e">
        <f>#REF!</f>
        <v>#REF!</v>
      </c>
      <c r="C316" s="88" t="e">
        <f>#REF!</f>
        <v>#REF!</v>
      </c>
      <c r="D316" s="88" t="e">
        <f>#REF!</f>
        <v>#REF!</v>
      </c>
      <c r="E316" s="88" t="e">
        <f>#REF!</f>
        <v>#REF!</v>
      </c>
      <c r="J316" s="74"/>
    </row>
    <row r="317" spans="1:10" outlineLevel="1" x14ac:dyDescent="0.25">
      <c r="A317" s="82" t="e">
        <f>#REF!</f>
        <v>#REF!</v>
      </c>
      <c r="B317" s="88" t="e">
        <f>#REF!</f>
        <v>#REF!</v>
      </c>
      <c r="C317" s="88" t="e">
        <f>#REF!</f>
        <v>#REF!</v>
      </c>
      <c r="D317" s="88" t="e">
        <f>#REF!</f>
        <v>#REF!</v>
      </c>
      <c r="E317" s="88" t="e">
        <f>#REF!</f>
        <v>#REF!</v>
      </c>
      <c r="J317" s="74"/>
    </row>
    <row r="318" spans="1:10" outlineLevel="1" x14ac:dyDescent="0.25">
      <c r="A318" s="82" t="e">
        <f>#REF!</f>
        <v>#REF!</v>
      </c>
      <c r="B318" s="88" t="e">
        <f>#REF!</f>
        <v>#REF!</v>
      </c>
      <c r="C318" s="88" t="e">
        <f>#REF!</f>
        <v>#REF!</v>
      </c>
      <c r="D318" s="88" t="e">
        <f>#REF!</f>
        <v>#REF!</v>
      </c>
      <c r="E318" s="88" t="e">
        <f>#REF!</f>
        <v>#REF!</v>
      </c>
      <c r="J318" s="74"/>
    </row>
    <row r="319" spans="1:10" outlineLevel="1" x14ac:dyDescent="0.25">
      <c r="A319" s="82" t="e">
        <f>#REF!</f>
        <v>#REF!</v>
      </c>
      <c r="B319" s="88" t="e">
        <f>#REF!</f>
        <v>#REF!</v>
      </c>
      <c r="C319" s="88" t="e">
        <f>#REF!</f>
        <v>#REF!</v>
      </c>
      <c r="D319" s="88" t="e">
        <f>#REF!</f>
        <v>#REF!</v>
      </c>
      <c r="E319" s="88" t="e">
        <f>#REF!</f>
        <v>#REF!</v>
      </c>
      <c r="J319" s="74"/>
    </row>
    <row r="320" spans="1:10" outlineLevel="1" x14ac:dyDescent="0.25">
      <c r="A320" s="82" t="e">
        <f>#REF!</f>
        <v>#REF!</v>
      </c>
      <c r="B320" s="88" t="e">
        <f>#REF!</f>
        <v>#REF!</v>
      </c>
      <c r="C320" s="88" t="e">
        <f>#REF!</f>
        <v>#REF!</v>
      </c>
      <c r="D320" s="88" t="e">
        <f>#REF!</f>
        <v>#REF!</v>
      </c>
      <c r="E320" s="88" t="e">
        <f>#REF!</f>
        <v>#REF!</v>
      </c>
      <c r="J320" s="74"/>
    </row>
    <row r="321" spans="1:10" outlineLevel="1" x14ac:dyDescent="0.25">
      <c r="A321" s="82" t="e">
        <f>#REF!</f>
        <v>#REF!</v>
      </c>
      <c r="B321" s="88" t="e">
        <f>#REF!</f>
        <v>#REF!</v>
      </c>
      <c r="C321" s="88" t="e">
        <f>#REF!</f>
        <v>#REF!</v>
      </c>
      <c r="D321" s="88" t="e">
        <f>#REF!</f>
        <v>#REF!</v>
      </c>
      <c r="E321" s="88" t="e">
        <f>#REF!</f>
        <v>#REF!</v>
      </c>
      <c r="J321" s="74"/>
    </row>
    <row r="322" spans="1:10" outlineLevel="1" x14ac:dyDescent="0.25">
      <c r="A322" s="82" t="e">
        <f>#REF!</f>
        <v>#REF!</v>
      </c>
      <c r="B322" s="88" t="e">
        <f>#REF!</f>
        <v>#REF!</v>
      </c>
      <c r="C322" s="88" t="e">
        <f>#REF!</f>
        <v>#REF!</v>
      </c>
      <c r="D322" s="88" t="e">
        <f>#REF!</f>
        <v>#REF!</v>
      </c>
      <c r="E322" s="88" t="e">
        <f>#REF!</f>
        <v>#REF!</v>
      </c>
      <c r="J322" s="74"/>
    </row>
    <row r="323" spans="1:10" outlineLevel="1" x14ac:dyDescent="0.25">
      <c r="A323" s="82" t="e">
        <f>#REF!</f>
        <v>#REF!</v>
      </c>
      <c r="B323" s="88" t="e">
        <f>#REF!</f>
        <v>#REF!</v>
      </c>
      <c r="C323" s="88" t="e">
        <f>#REF!</f>
        <v>#REF!</v>
      </c>
      <c r="D323" s="88" t="e">
        <f>#REF!</f>
        <v>#REF!</v>
      </c>
      <c r="E323" s="88" t="e">
        <f>#REF!</f>
        <v>#REF!</v>
      </c>
      <c r="J323" s="74"/>
    </row>
    <row r="324" spans="1:10" outlineLevel="1" x14ac:dyDescent="0.25">
      <c r="A324" s="82" t="e">
        <f>#REF!</f>
        <v>#REF!</v>
      </c>
      <c r="B324" s="88" t="e">
        <f>#REF!</f>
        <v>#REF!</v>
      </c>
      <c r="C324" s="88" t="e">
        <f>#REF!</f>
        <v>#REF!</v>
      </c>
      <c r="D324" s="88" t="e">
        <f>#REF!</f>
        <v>#REF!</v>
      </c>
      <c r="E324" s="88" t="e">
        <f>#REF!</f>
        <v>#REF!</v>
      </c>
      <c r="J324" s="74"/>
    </row>
    <row r="325" spans="1:10" outlineLevel="1" x14ac:dyDescent="0.25">
      <c r="A325" s="82" t="e">
        <f>#REF!</f>
        <v>#REF!</v>
      </c>
      <c r="B325" s="88" t="e">
        <f>#REF!</f>
        <v>#REF!</v>
      </c>
      <c r="C325" s="88" t="e">
        <f>#REF!</f>
        <v>#REF!</v>
      </c>
      <c r="D325" s="88" t="e">
        <f>#REF!</f>
        <v>#REF!</v>
      </c>
      <c r="E325" s="88" t="e">
        <f>#REF!</f>
        <v>#REF!</v>
      </c>
      <c r="J325" s="74"/>
    </row>
    <row r="326" spans="1:10" outlineLevel="1" x14ac:dyDescent="0.25">
      <c r="A326" s="82" t="e">
        <f>#REF!</f>
        <v>#REF!</v>
      </c>
      <c r="B326" s="88" t="e">
        <f>#REF!</f>
        <v>#REF!</v>
      </c>
      <c r="C326" s="88" t="e">
        <f>#REF!</f>
        <v>#REF!</v>
      </c>
      <c r="D326" s="88" t="e">
        <f>#REF!</f>
        <v>#REF!</v>
      </c>
      <c r="E326" s="88" t="e">
        <f>#REF!</f>
        <v>#REF!</v>
      </c>
      <c r="J326" s="74"/>
    </row>
    <row r="327" spans="1:10" outlineLevel="1" x14ac:dyDescent="0.25">
      <c r="A327" s="82" t="e">
        <f>#REF!</f>
        <v>#REF!</v>
      </c>
      <c r="B327" s="88" t="e">
        <f>#REF!</f>
        <v>#REF!</v>
      </c>
      <c r="C327" s="88" t="e">
        <f>#REF!</f>
        <v>#REF!</v>
      </c>
      <c r="D327" s="88" t="e">
        <f>#REF!</f>
        <v>#REF!</v>
      </c>
      <c r="E327" s="88" t="e">
        <f>#REF!</f>
        <v>#REF!</v>
      </c>
      <c r="J327" s="74"/>
    </row>
    <row r="328" spans="1:10" outlineLevel="1" x14ac:dyDescent="0.25">
      <c r="A328" s="82" t="e">
        <f>#REF!</f>
        <v>#REF!</v>
      </c>
      <c r="B328" s="88" t="e">
        <f>#REF!</f>
        <v>#REF!</v>
      </c>
      <c r="C328" s="88" t="e">
        <f>#REF!</f>
        <v>#REF!</v>
      </c>
      <c r="D328" s="88" t="e">
        <f>#REF!</f>
        <v>#REF!</v>
      </c>
      <c r="E328" s="88" t="e">
        <f>#REF!</f>
        <v>#REF!</v>
      </c>
      <c r="J328" s="74"/>
    </row>
    <row r="329" spans="1:10" ht="15.75" thickBot="1" x14ac:dyDescent="0.3">
      <c r="A329" s="83"/>
      <c r="B329" s="89"/>
      <c r="C329" s="89"/>
      <c r="D329" s="89"/>
      <c r="E329" s="89"/>
      <c r="J329" s="74"/>
    </row>
    <row r="330" spans="1:10" x14ac:dyDescent="0.25">
      <c r="A330" s="82" t="e">
        <f>#REF!</f>
        <v>#REF!</v>
      </c>
      <c r="B330" s="76" t="e">
        <f>#REF!</f>
        <v>#REF!</v>
      </c>
      <c r="C330" s="76" t="e">
        <f>#REF!</f>
        <v>#REF!</v>
      </c>
      <c r="D330" s="76" t="e">
        <f>#REF!</f>
        <v>#REF!</v>
      </c>
      <c r="E330" s="76" t="e">
        <f>#REF!</f>
        <v>#REF!</v>
      </c>
      <c r="J330" s="74"/>
    </row>
    <row r="331" spans="1:10" x14ac:dyDescent="0.25">
      <c r="A331" s="82" t="e">
        <f>#REF!</f>
        <v>#REF!</v>
      </c>
      <c r="B331" s="76" t="e">
        <f>#REF!</f>
        <v>#REF!</v>
      </c>
      <c r="C331" s="76" t="e">
        <f>#REF!</f>
        <v>#REF!</v>
      </c>
      <c r="D331" s="76" t="e">
        <f>#REF!</f>
        <v>#REF!</v>
      </c>
      <c r="E331" s="76" t="e">
        <f>#REF!</f>
        <v>#REF!</v>
      </c>
      <c r="J331" s="74"/>
    </row>
    <row r="332" spans="1:10" x14ac:dyDescent="0.25">
      <c r="A332" s="82" t="e">
        <f>#REF!</f>
        <v>#REF!</v>
      </c>
      <c r="B332" s="88" t="e">
        <f>#REF!</f>
        <v>#REF!</v>
      </c>
      <c r="C332" s="88" t="e">
        <f>#REF!</f>
        <v>#REF!</v>
      </c>
      <c r="D332" s="88" t="e">
        <f>#REF!</f>
        <v>#REF!</v>
      </c>
      <c r="E332" s="88" t="e">
        <f>#REF!</f>
        <v>#REF!</v>
      </c>
      <c r="J332" s="74"/>
    </row>
    <row r="333" spans="1:10" x14ac:dyDescent="0.25">
      <c r="A333" s="82" t="e">
        <f>#REF!</f>
        <v>#REF!</v>
      </c>
      <c r="B333" s="88" t="e">
        <f>#REF!</f>
        <v>#REF!</v>
      </c>
      <c r="C333" s="88" t="e">
        <f>#REF!</f>
        <v>#REF!</v>
      </c>
      <c r="D333" s="88" t="e">
        <f>#REF!</f>
        <v>#REF!</v>
      </c>
      <c r="E333" s="88" t="e">
        <f>#REF!</f>
        <v>#REF!</v>
      </c>
      <c r="J333" s="74"/>
    </row>
    <row r="334" spans="1:10" x14ac:dyDescent="0.25">
      <c r="A334" s="82" t="e">
        <f>#REF!</f>
        <v>#REF!</v>
      </c>
      <c r="B334" s="88" t="e">
        <f>#REF!</f>
        <v>#REF!</v>
      </c>
      <c r="C334" s="88" t="e">
        <f>#REF!</f>
        <v>#REF!</v>
      </c>
      <c r="D334" s="88" t="e">
        <f>#REF!</f>
        <v>#REF!</v>
      </c>
      <c r="E334" s="88" t="e">
        <f>#REF!</f>
        <v>#REF!</v>
      </c>
      <c r="J334" s="74"/>
    </row>
    <row r="335" spans="1:10" x14ac:dyDescent="0.25">
      <c r="A335" s="82" t="e">
        <f>#REF!</f>
        <v>#REF!</v>
      </c>
      <c r="B335" s="88" t="e">
        <f>#REF!</f>
        <v>#REF!</v>
      </c>
      <c r="C335" s="88" t="e">
        <f>#REF!</f>
        <v>#REF!</v>
      </c>
      <c r="D335" s="88" t="e">
        <f>#REF!</f>
        <v>#REF!</v>
      </c>
      <c r="E335" s="88" t="e">
        <f>#REF!</f>
        <v>#REF!</v>
      </c>
      <c r="J335" s="74"/>
    </row>
    <row r="336" spans="1:10" x14ac:dyDescent="0.25">
      <c r="A336" s="82" t="e">
        <f>#REF!</f>
        <v>#REF!</v>
      </c>
      <c r="B336" s="88" t="e">
        <f>#REF!</f>
        <v>#REF!</v>
      </c>
      <c r="C336" s="88" t="e">
        <f>#REF!</f>
        <v>#REF!</v>
      </c>
      <c r="D336" s="88" t="e">
        <f>#REF!</f>
        <v>#REF!</v>
      </c>
      <c r="E336" s="88" t="e">
        <f>#REF!</f>
        <v>#REF!</v>
      </c>
      <c r="J336" s="74"/>
    </row>
    <row r="337" spans="1:10" x14ac:dyDescent="0.25">
      <c r="A337" s="82" t="e">
        <f>#REF!</f>
        <v>#REF!</v>
      </c>
      <c r="B337" s="88" t="e">
        <f>#REF!</f>
        <v>#REF!</v>
      </c>
      <c r="C337" s="88" t="e">
        <f>#REF!</f>
        <v>#REF!</v>
      </c>
      <c r="D337" s="88" t="e">
        <f>#REF!</f>
        <v>#REF!</v>
      </c>
      <c r="E337" s="88" t="e">
        <f>#REF!</f>
        <v>#REF!</v>
      </c>
      <c r="J337" s="74"/>
    </row>
    <row r="338" spans="1:10" x14ac:dyDescent="0.25">
      <c r="A338" s="82" t="e">
        <f>#REF!</f>
        <v>#REF!</v>
      </c>
      <c r="B338" s="88" t="e">
        <f>#REF!</f>
        <v>#REF!</v>
      </c>
      <c r="C338" s="88" t="e">
        <f>#REF!</f>
        <v>#REF!</v>
      </c>
      <c r="D338" s="88" t="e">
        <f>#REF!</f>
        <v>#REF!</v>
      </c>
      <c r="E338" s="88" t="e">
        <f>#REF!</f>
        <v>#REF!</v>
      </c>
      <c r="J338" s="74"/>
    </row>
    <row r="339" spans="1:10" x14ac:dyDescent="0.25">
      <c r="A339" s="82" t="e">
        <f>#REF!</f>
        <v>#REF!</v>
      </c>
      <c r="B339" s="88" t="e">
        <f>#REF!</f>
        <v>#REF!</v>
      </c>
      <c r="C339" s="88" t="e">
        <f>#REF!</f>
        <v>#REF!</v>
      </c>
      <c r="D339" s="88" t="e">
        <f>#REF!</f>
        <v>#REF!</v>
      </c>
      <c r="E339" s="88" t="e">
        <f>#REF!</f>
        <v>#REF!</v>
      </c>
      <c r="J339" s="74"/>
    </row>
    <row r="340" spans="1:10" x14ac:dyDescent="0.25">
      <c r="A340" s="82" t="e">
        <f>#REF!</f>
        <v>#REF!</v>
      </c>
      <c r="B340" s="88" t="e">
        <f>#REF!</f>
        <v>#REF!</v>
      </c>
      <c r="C340" s="88" t="e">
        <f>#REF!</f>
        <v>#REF!</v>
      </c>
      <c r="D340" s="88" t="e">
        <f>#REF!</f>
        <v>#REF!</v>
      </c>
      <c r="E340" s="88" t="e">
        <f>#REF!</f>
        <v>#REF!</v>
      </c>
      <c r="J340" s="74"/>
    </row>
    <row r="341" spans="1:10" x14ac:dyDescent="0.25">
      <c r="A341" s="82" t="e">
        <f>#REF!</f>
        <v>#REF!</v>
      </c>
      <c r="B341" s="88" t="e">
        <f>#REF!</f>
        <v>#REF!</v>
      </c>
      <c r="C341" s="88" t="e">
        <f>#REF!</f>
        <v>#REF!</v>
      </c>
      <c r="D341" s="88" t="e">
        <f>#REF!</f>
        <v>#REF!</v>
      </c>
      <c r="E341" s="88" t="e">
        <f>#REF!</f>
        <v>#REF!</v>
      </c>
      <c r="J341" s="74"/>
    </row>
    <row r="342" spans="1:10" x14ac:dyDescent="0.25">
      <c r="A342" s="82" t="e">
        <f>#REF!</f>
        <v>#REF!</v>
      </c>
      <c r="B342" s="88" t="e">
        <f>#REF!</f>
        <v>#REF!</v>
      </c>
      <c r="C342" s="88" t="e">
        <f>#REF!</f>
        <v>#REF!</v>
      </c>
      <c r="D342" s="88" t="e">
        <f>#REF!</f>
        <v>#REF!</v>
      </c>
      <c r="E342" s="88" t="e">
        <f>#REF!</f>
        <v>#REF!</v>
      </c>
      <c r="J342" s="74"/>
    </row>
    <row r="343" spans="1:10" x14ac:dyDescent="0.25">
      <c r="A343" s="82" t="e">
        <f>#REF!</f>
        <v>#REF!</v>
      </c>
      <c r="B343" s="88" t="e">
        <f>#REF!</f>
        <v>#REF!</v>
      </c>
      <c r="C343" s="88" t="e">
        <f>#REF!</f>
        <v>#REF!</v>
      </c>
      <c r="D343" s="88" t="e">
        <f>#REF!</f>
        <v>#REF!</v>
      </c>
      <c r="E343" s="88" t="e">
        <f>#REF!</f>
        <v>#REF!</v>
      </c>
      <c r="J343" s="74"/>
    </row>
    <row r="344" spans="1:10" x14ac:dyDescent="0.25">
      <c r="A344" s="82" t="e">
        <f>#REF!</f>
        <v>#REF!</v>
      </c>
      <c r="B344" s="88" t="e">
        <f>#REF!</f>
        <v>#REF!</v>
      </c>
      <c r="C344" s="88" t="e">
        <f>#REF!</f>
        <v>#REF!</v>
      </c>
      <c r="D344" s="88" t="e">
        <f>#REF!</f>
        <v>#REF!</v>
      </c>
      <c r="E344" s="88" t="e">
        <f>#REF!</f>
        <v>#REF!</v>
      </c>
      <c r="J344" s="74"/>
    </row>
    <row r="345" spans="1:10" x14ac:dyDescent="0.25">
      <c r="A345" s="82" t="e">
        <f>#REF!</f>
        <v>#REF!</v>
      </c>
      <c r="B345" s="88" t="e">
        <f>#REF!</f>
        <v>#REF!</v>
      </c>
      <c r="C345" s="88" t="e">
        <f>#REF!</f>
        <v>#REF!</v>
      </c>
      <c r="D345" s="88" t="e">
        <f>#REF!</f>
        <v>#REF!</v>
      </c>
      <c r="E345" s="88" t="e">
        <f>#REF!</f>
        <v>#REF!</v>
      </c>
      <c r="J345" s="74"/>
    </row>
    <row r="346" spans="1:10" x14ac:dyDescent="0.25">
      <c r="A346" s="82" t="e">
        <f>#REF!</f>
        <v>#REF!</v>
      </c>
      <c r="B346" s="88" t="e">
        <f>#REF!</f>
        <v>#REF!</v>
      </c>
      <c r="C346" s="88" t="e">
        <f>#REF!</f>
        <v>#REF!</v>
      </c>
      <c r="D346" s="88" t="e">
        <f>#REF!</f>
        <v>#REF!</v>
      </c>
      <c r="E346" s="88" t="e">
        <f>#REF!</f>
        <v>#REF!</v>
      </c>
      <c r="J346" s="74"/>
    </row>
    <row r="347" spans="1:10" x14ac:dyDescent="0.25">
      <c r="A347" s="82" t="e">
        <f>#REF!</f>
        <v>#REF!</v>
      </c>
      <c r="B347" s="88" t="e">
        <f>#REF!</f>
        <v>#REF!</v>
      </c>
      <c r="C347" s="88" t="e">
        <f>#REF!</f>
        <v>#REF!</v>
      </c>
      <c r="D347" s="88" t="e">
        <f>#REF!</f>
        <v>#REF!</v>
      </c>
      <c r="E347" s="88" t="e">
        <f>#REF!</f>
        <v>#REF!</v>
      </c>
      <c r="J347" s="74"/>
    </row>
    <row r="348" spans="1:10" x14ac:dyDescent="0.25">
      <c r="A348" s="82" t="e">
        <f>#REF!</f>
        <v>#REF!</v>
      </c>
      <c r="B348" s="88" t="e">
        <f>#REF!</f>
        <v>#REF!</v>
      </c>
      <c r="C348" s="88" t="e">
        <f>#REF!</f>
        <v>#REF!</v>
      </c>
      <c r="D348" s="88" t="e">
        <f>#REF!</f>
        <v>#REF!</v>
      </c>
      <c r="E348" s="88" t="e">
        <f>#REF!</f>
        <v>#REF!</v>
      </c>
      <c r="J348" s="74"/>
    </row>
    <row r="349" spans="1:10" x14ac:dyDescent="0.25">
      <c r="A349" s="82" t="e">
        <f>#REF!</f>
        <v>#REF!</v>
      </c>
      <c r="B349" s="88" t="e">
        <f>#REF!</f>
        <v>#REF!</v>
      </c>
      <c r="C349" s="88" t="e">
        <f>#REF!</f>
        <v>#REF!</v>
      </c>
      <c r="D349" s="88" t="e">
        <f>#REF!</f>
        <v>#REF!</v>
      </c>
      <c r="E349" s="88" t="e">
        <f>#REF!</f>
        <v>#REF!</v>
      </c>
      <c r="J349" s="74"/>
    </row>
    <row r="350" spans="1:10" x14ac:dyDescent="0.25">
      <c r="A350" s="82" t="e">
        <f>#REF!</f>
        <v>#REF!</v>
      </c>
      <c r="B350" s="88" t="e">
        <f>#REF!</f>
        <v>#REF!</v>
      </c>
      <c r="C350" s="88" t="e">
        <f>#REF!</f>
        <v>#REF!</v>
      </c>
      <c r="D350" s="88" t="e">
        <f>#REF!</f>
        <v>#REF!</v>
      </c>
      <c r="E350" s="88" t="e">
        <f>#REF!</f>
        <v>#REF!</v>
      </c>
      <c r="J350" s="74"/>
    </row>
    <row r="351" spans="1:10" x14ac:dyDescent="0.25">
      <c r="A351" s="82" t="e">
        <f>#REF!</f>
        <v>#REF!</v>
      </c>
      <c r="B351" s="88" t="e">
        <f>#REF!</f>
        <v>#REF!</v>
      </c>
      <c r="C351" s="88" t="e">
        <f>#REF!</f>
        <v>#REF!</v>
      </c>
      <c r="D351" s="88" t="e">
        <f>#REF!</f>
        <v>#REF!</v>
      </c>
      <c r="E351" s="88" t="e">
        <f>#REF!</f>
        <v>#REF!</v>
      </c>
      <c r="J351" s="74"/>
    </row>
    <row r="352" spans="1:10" x14ac:dyDescent="0.25">
      <c r="A352" s="85"/>
      <c r="B352" s="91"/>
      <c r="C352" s="91"/>
      <c r="D352" s="91"/>
      <c r="E352" s="92"/>
      <c r="J352" s="74"/>
    </row>
    <row r="353" spans="1:10" x14ac:dyDescent="0.25">
      <c r="A353" s="82" t="e">
        <f>#REF!</f>
        <v>#REF!</v>
      </c>
      <c r="B353" s="76" t="e">
        <f>#REF!</f>
        <v>#REF!</v>
      </c>
      <c r="C353" s="76" t="e">
        <f>#REF!</f>
        <v>#REF!</v>
      </c>
      <c r="D353" s="76" t="e">
        <f>#REF!</f>
        <v>#REF!</v>
      </c>
      <c r="E353" s="76" t="e">
        <f>#REF!</f>
        <v>#REF!</v>
      </c>
      <c r="J353" s="74"/>
    </row>
    <row r="354" spans="1:10" x14ac:dyDescent="0.25">
      <c r="A354" s="82" t="e">
        <f>#REF!</f>
        <v>#REF!</v>
      </c>
      <c r="B354" s="76" t="e">
        <f>#REF!</f>
        <v>#REF!</v>
      </c>
      <c r="C354" s="76" t="e">
        <f>#REF!</f>
        <v>#REF!</v>
      </c>
      <c r="D354" s="76" t="e">
        <f>#REF!</f>
        <v>#REF!</v>
      </c>
      <c r="E354" s="76" t="e">
        <f>#REF!</f>
        <v>#REF!</v>
      </c>
      <c r="J354" s="74"/>
    </row>
    <row r="355" spans="1:10" x14ac:dyDescent="0.25">
      <c r="A355" s="82" t="e">
        <f>#REF!</f>
        <v>#REF!</v>
      </c>
      <c r="B355" s="88" t="e">
        <f>#REF!</f>
        <v>#REF!</v>
      </c>
      <c r="C355" s="88" t="e">
        <f>#REF!</f>
        <v>#REF!</v>
      </c>
      <c r="D355" s="88" t="e">
        <f>#REF!</f>
        <v>#REF!</v>
      </c>
      <c r="E355" s="88" t="e">
        <f>#REF!</f>
        <v>#REF!</v>
      </c>
      <c r="J355" s="74"/>
    </row>
    <row r="356" spans="1:10" x14ac:dyDescent="0.25">
      <c r="A356" s="82" t="e">
        <f>#REF!</f>
        <v>#REF!</v>
      </c>
      <c r="B356" s="88" t="e">
        <f>#REF!</f>
        <v>#REF!</v>
      </c>
      <c r="C356" s="88" t="e">
        <f>#REF!</f>
        <v>#REF!</v>
      </c>
      <c r="D356" s="88" t="e">
        <f>#REF!</f>
        <v>#REF!</v>
      </c>
      <c r="E356" s="88" t="e">
        <f>#REF!</f>
        <v>#REF!</v>
      </c>
      <c r="J356" s="74"/>
    </row>
    <row r="357" spans="1:10" x14ac:dyDescent="0.25">
      <c r="A357" s="82" t="e">
        <f>#REF!</f>
        <v>#REF!</v>
      </c>
      <c r="B357" s="88" t="e">
        <f>#REF!</f>
        <v>#REF!</v>
      </c>
      <c r="C357" s="88" t="e">
        <f>#REF!</f>
        <v>#REF!</v>
      </c>
      <c r="D357" s="88" t="e">
        <f>#REF!</f>
        <v>#REF!</v>
      </c>
      <c r="E357" s="88" t="e">
        <f>#REF!</f>
        <v>#REF!</v>
      </c>
      <c r="J357" s="74"/>
    </row>
    <row r="358" spans="1:10" x14ac:dyDescent="0.25">
      <c r="A358" s="82" t="e">
        <f>#REF!</f>
        <v>#REF!</v>
      </c>
      <c r="B358" s="88" t="e">
        <f>#REF!</f>
        <v>#REF!</v>
      </c>
      <c r="C358" s="88" t="e">
        <f>#REF!</f>
        <v>#REF!</v>
      </c>
      <c r="D358" s="88" t="e">
        <f>#REF!</f>
        <v>#REF!</v>
      </c>
      <c r="E358" s="88" t="e">
        <f>#REF!</f>
        <v>#REF!</v>
      </c>
      <c r="J358" s="74"/>
    </row>
    <row r="359" spans="1:10" x14ac:dyDescent="0.25">
      <c r="A359" s="82" t="e">
        <f>#REF!</f>
        <v>#REF!</v>
      </c>
      <c r="B359" s="88" t="e">
        <f>#REF!</f>
        <v>#REF!</v>
      </c>
      <c r="C359" s="88" t="e">
        <f>#REF!</f>
        <v>#REF!</v>
      </c>
      <c r="D359" s="88" t="e">
        <f>#REF!</f>
        <v>#REF!</v>
      </c>
      <c r="E359" s="88" t="e">
        <f>#REF!</f>
        <v>#REF!</v>
      </c>
      <c r="J359" s="74"/>
    </row>
    <row r="360" spans="1:10" x14ac:dyDescent="0.25">
      <c r="A360" s="82" t="e">
        <f>#REF!</f>
        <v>#REF!</v>
      </c>
      <c r="B360" s="88" t="e">
        <f>#REF!</f>
        <v>#REF!</v>
      </c>
      <c r="C360" s="88" t="e">
        <f>#REF!</f>
        <v>#REF!</v>
      </c>
      <c r="D360" s="88" t="e">
        <f>#REF!</f>
        <v>#REF!</v>
      </c>
      <c r="E360" s="88" t="e">
        <f>#REF!</f>
        <v>#REF!</v>
      </c>
      <c r="J360" s="74"/>
    </row>
    <row r="361" spans="1:10" x14ac:dyDescent="0.25">
      <c r="A361" s="82" t="e">
        <f>#REF!</f>
        <v>#REF!</v>
      </c>
      <c r="B361" s="88" t="e">
        <f>#REF!</f>
        <v>#REF!</v>
      </c>
      <c r="C361" s="88" t="e">
        <f>#REF!</f>
        <v>#REF!</v>
      </c>
      <c r="D361" s="88" t="e">
        <f>#REF!</f>
        <v>#REF!</v>
      </c>
      <c r="E361" s="88" t="e">
        <f>#REF!</f>
        <v>#REF!</v>
      </c>
      <c r="J361" s="74"/>
    </row>
    <row r="362" spans="1:10" x14ac:dyDescent="0.25">
      <c r="A362" s="82" t="e">
        <f>#REF!</f>
        <v>#REF!</v>
      </c>
      <c r="B362" s="88" t="e">
        <f>#REF!</f>
        <v>#REF!</v>
      </c>
      <c r="C362" s="88" t="e">
        <f>#REF!</f>
        <v>#REF!</v>
      </c>
      <c r="D362" s="88" t="e">
        <f>#REF!</f>
        <v>#REF!</v>
      </c>
      <c r="E362" s="88" t="e">
        <f>#REF!</f>
        <v>#REF!</v>
      </c>
      <c r="J362" s="74"/>
    </row>
    <row r="363" spans="1:10" x14ac:dyDescent="0.25">
      <c r="A363" s="82" t="e">
        <f>#REF!</f>
        <v>#REF!</v>
      </c>
      <c r="B363" s="88" t="e">
        <f>#REF!</f>
        <v>#REF!</v>
      </c>
      <c r="C363" s="88" t="e">
        <f>#REF!</f>
        <v>#REF!</v>
      </c>
      <c r="D363" s="88" t="e">
        <f>#REF!</f>
        <v>#REF!</v>
      </c>
      <c r="E363" s="88" t="e">
        <f>#REF!</f>
        <v>#REF!</v>
      </c>
      <c r="J363" s="74"/>
    </row>
    <row r="364" spans="1:10" x14ac:dyDescent="0.25">
      <c r="A364" s="82" t="e">
        <f>#REF!</f>
        <v>#REF!</v>
      </c>
      <c r="B364" s="88" t="e">
        <f>#REF!</f>
        <v>#REF!</v>
      </c>
      <c r="C364" s="88" t="e">
        <f>#REF!</f>
        <v>#REF!</v>
      </c>
      <c r="D364" s="88" t="e">
        <f>#REF!</f>
        <v>#REF!</v>
      </c>
      <c r="E364" s="88" t="e">
        <f>#REF!</f>
        <v>#REF!</v>
      </c>
      <c r="J364" s="74"/>
    </row>
    <row r="365" spans="1:10" x14ac:dyDescent="0.25">
      <c r="A365" s="82" t="e">
        <f>#REF!</f>
        <v>#REF!</v>
      </c>
      <c r="B365" s="88" t="e">
        <f>#REF!</f>
        <v>#REF!</v>
      </c>
      <c r="C365" s="88" t="e">
        <f>#REF!</f>
        <v>#REF!</v>
      </c>
      <c r="D365" s="88" t="e">
        <f>#REF!</f>
        <v>#REF!</v>
      </c>
      <c r="E365" s="88" t="e">
        <f>#REF!</f>
        <v>#REF!</v>
      </c>
      <c r="J365" s="74"/>
    </row>
    <row r="366" spans="1:10" x14ac:dyDescent="0.25">
      <c r="A366" s="82" t="e">
        <f>#REF!</f>
        <v>#REF!</v>
      </c>
      <c r="B366" s="88" t="e">
        <f>#REF!</f>
        <v>#REF!</v>
      </c>
      <c r="C366" s="88" t="e">
        <f>#REF!</f>
        <v>#REF!</v>
      </c>
      <c r="D366" s="88" t="e">
        <f>#REF!</f>
        <v>#REF!</v>
      </c>
      <c r="E366" s="88" t="e">
        <f>#REF!</f>
        <v>#REF!</v>
      </c>
      <c r="J366" s="74"/>
    </row>
    <row r="367" spans="1:10" x14ac:dyDescent="0.25">
      <c r="A367" s="82" t="e">
        <f>#REF!</f>
        <v>#REF!</v>
      </c>
      <c r="B367" s="88" t="e">
        <f>#REF!</f>
        <v>#REF!</v>
      </c>
      <c r="C367" s="88" t="e">
        <f>#REF!</f>
        <v>#REF!</v>
      </c>
      <c r="D367" s="88" t="e">
        <f>#REF!</f>
        <v>#REF!</v>
      </c>
      <c r="E367" s="88" t="e">
        <f>#REF!</f>
        <v>#REF!</v>
      </c>
      <c r="J367" s="74"/>
    </row>
    <row r="368" spans="1:10" x14ac:dyDescent="0.25">
      <c r="A368" s="82" t="e">
        <f>#REF!</f>
        <v>#REF!</v>
      </c>
      <c r="B368" s="88" t="e">
        <f>#REF!</f>
        <v>#REF!</v>
      </c>
      <c r="C368" s="88" t="e">
        <f>#REF!</f>
        <v>#REF!</v>
      </c>
      <c r="D368" s="88" t="e">
        <f>#REF!</f>
        <v>#REF!</v>
      </c>
      <c r="E368" s="88" t="e">
        <f>#REF!</f>
        <v>#REF!</v>
      </c>
      <c r="J368" s="74"/>
    </row>
    <row r="369" spans="1:10" x14ac:dyDescent="0.25">
      <c r="A369" s="82" t="e">
        <f>#REF!</f>
        <v>#REF!</v>
      </c>
      <c r="B369" s="88" t="e">
        <f>#REF!</f>
        <v>#REF!</v>
      </c>
      <c r="C369" s="88" t="e">
        <f>#REF!</f>
        <v>#REF!</v>
      </c>
      <c r="D369" s="88" t="e">
        <f>#REF!</f>
        <v>#REF!</v>
      </c>
      <c r="E369" s="88" t="e">
        <f>#REF!</f>
        <v>#REF!</v>
      </c>
      <c r="J369" s="74"/>
    </row>
    <row r="370" spans="1:10" x14ac:dyDescent="0.25">
      <c r="A370" s="82" t="e">
        <f>#REF!</f>
        <v>#REF!</v>
      </c>
      <c r="B370" s="88" t="e">
        <f>#REF!</f>
        <v>#REF!</v>
      </c>
      <c r="C370" s="88" t="e">
        <f>#REF!</f>
        <v>#REF!</v>
      </c>
      <c r="D370" s="88" t="e">
        <f>#REF!</f>
        <v>#REF!</v>
      </c>
      <c r="E370" s="88" t="e">
        <f>#REF!</f>
        <v>#REF!</v>
      </c>
      <c r="J370" s="74"/>
    </row>
    <row r="371" spans="1:10" x14ac:dyDescent="0.25">
      <c r="A371" s="82" t="e">
        <f>#REF!</f>
        <v>#REF!</v>
      </c>
      <c r="B371" s="88" t="e">
        <f>#REF!</f>
        <v>#REF!</v>
      </c>
      <c r="C371" s="88" t="e">
        <f>#REF!</f>
        <v>#REF!</v>
      </c>
      <c r="D371" s="88" t="e">
        <f>#REF!</f>
        <v>#REF!</v>
      </c>
      <c r="E371" s="88" t="e">
        <f>#REF!</f>
        <v>#REF!</v>
      </c>
      <c r="J371" s="74"/>
    </row>
    <row r="372" spans="1:10" x14ac:dyDescent="0.25">
      <c r="A372" s="82" t="e">
        <f>#REF!</f>
        <v>#REF!</v>
      </c>
      <c r="B372" s="88" t="e">
        <f>#REF!</f>
        <v>#REF!</v>
      </c>
      <c r="C372" s="88" t="e">
        <f>#REF!</f>
        <v>#REF!</v>
      </c>
      <c r="D372" s="88" t="e">
        <f>#REF!</f>
        <v>#REF!</v>
      </c>
      <c r="E372" s="88" t="e">
        <f>#REF!</f>
        <v>#REF!</v>
      </c>
      <c r="J372" s="74"/>
    </row>
    <row r="373" spans="1:10" x14ac:dyDescent="0.25">
      <c r="A373" s="82" t="e">
        <f>#REF!</f>
        <v>#REF!</v>
      </c>
      <c r="B373" s="88" t="e">
        <f>#REF!</f>
        <v>#REF!</v>
      </c>
      <c r="C373" s="88" t="e">
        <f>#REF!</f>
        <v>#REF!</v>
      </c>
      <c r="D373" s="88" t="e">
        <f>#REF!</f>
        <v>#REF!</v>
      </c>
      <c r="E373" s="88" t="e">
        <f>#REF!</f>
        <v>#REF!</v>
      </c>
      <c r="J373" s="74"/>
    </row>
    <row r="374" spans="1:10" x14ac:dyDescent="0.25">
      <c r="A374" s="82" t="e">
        <f>#REF!</f>
        <v>#REF!</v>
      </c>
      <c r="B374" s="88" t="e">
        <f>#REF!</f>
        <v>#REF!</v>
      </c>
      <c r="C374" s="88" t="e">
        <f>#REF!</f>
        <v>#REF!</v>
      </c>
      <c r="D374" s="88" t="e">
        <f>#REF!</f>
        <v>#REF!</v>
      </c>
      <c r="E374" s="88" t="e">
        <f>#REF!</f>
        <v>#REF!</v>
      </c>
      <c r="J374" s="74"/>
    </row>
    <row r="375" spans="1:10" x14ac:dyDescent="0.25">
      <c r="A375" s="85"/>
      <c r="B375" s="91"/>
      <c r="C375" s="91"/>
      <c r="D375" s="91"/>
      <c r="E375" s="92"/>
      <c r="J375" s="74"/>
    </row>
    <row r="414" spans="1:10" x14ac:dyDescent="0.25">
      <c r="A414" s="74"/>
      <c r="B414" s="74"/>
      <c r="C414" s="74"/>
      <c r="D414" s="74"/>
      <c r="E414" s="74"/>
      <c r="F414" s="75"/>
      <c r="G414" s="75"/>
      <c r="H414" s="75"/>
      <c r="J414" s="74"/>
    </row>
  </sheetData>
  <sheetProtection selectLockedCells="1"/>
  <dataConsolidate topLabels="1" link="1">
    <dataRefs count="23">
      <dataRef ref="A245:E248" sheet="(A) Kerkese buxhet F10" r:id="rId1"/>
      <dataRef ref="A245:E248" sheet="(A) Kerkese buxhet F11" r:id="rId2"/>
      <dataRef ref="A245:E248" sheet="(A) Kerkese buxhet F12" r:id="rId3"/>
      <dataRef ref="A245:E248" sheet="(A) Kerkese buxhet F13" r:id="rId4"/>
      <dataRef ref="A245:E248" sheet="(A) Kerkese buxhet F14" r:id="rId5"/>
      <dataRef ref="A245:E248" sheet="(A) Kerkese buxhet F15" r:id="rId6"/>
      <dataRef ref="A245:E248" sheet="(A) Kerkese buxhet F16" r:id="rId7"/>
      <dataRef ref="A245:E248" sheet="(A) Kerkese buxhet F17" r:id="rId8"/>
      <dataRef ref="A245:E248" sheet="(A) Kerkese buxhet F18" r:id="rId9"/>
      <dataRef ref="A245:E248" sheet="(A) Kerkese buxhet F2" r:id="rId10"/>
      <dataRef ref="A245:E248" sheet="(A) Kerkese buxhet F20" r:id="rId11"/>
      <dataRef ref="A245:E248" sheet="(A) Kerkese buxhet F21" r:id="rId12"/>
      <dataRef ref="A245:E248" sheet="(A) Kerkese buxhet F22" r:id="rId13"/>
      <dataRef ref="A245:E248" sheet="(A) Kerkese buxhet F3" r:id="rId14"/>
      <dataRef ref="A245:E248" sheet="(A) Kerkese buxhet F4" r:id="rId15"/>
      <dataRef ref="A245:E248" sheet="(A) Kerkese buxhet F5" r:id="rId16"/>
      <dataRef ref="A245:E248" sheet="(A) Kerkese buxhet F6" r:id="rId17"/>
      <dataRef ref="A245:E248" sheet="(A) Kerkese buxhet F7" r:id="rId18"/>
      <dataRef ref="A245:E248" sheet="(A) Kerkese buxhet F8" r:id="rId19"/>
      <dataRef ref="A245:E248" sheet="(A) Kerkese buxhet F9" r:id="rId20"/>
      <dataRef ref="A245:E248" sheet="(D) Kerkese buxhet F19" r:id="rId21"/>
      <dataRef name="'(D) BRF F22'!$A$214" r:id="rId22"/>
      <dataRef ref="A245:E248" sheet="(G4)" r:id="rId23"/>
    </dataRefs>
  </dataConsolidate>
  <mergeCells count="10">
    <mergeCell ref="H39:M39"/>
    <mergeCell ref="H4:M4"/>
    <mergeCell ref="G1:M1"/>
    <mergeCell ref="G3:M3"/>
    <mergeCell ref="A2:E2"/>
    <mergeCell ref="H10:M10"/>
    <mergeCell ref="H16:M16"/>
    <mergeCell ref="G24:M24"/>
    <mergeCell ref="H25:M25"/>
    <mergeCell ref="H32:M32"/>
  </mergeCells>
  <pageMargins left="0.78740157480314965" right="0.70866141732283472" top="0.98425196850393704" bottom="0.78740157480314965" header="0.43307086614173229" footer="0.31496062992125984"/>
  <pageSetup paperSize="9" orientation="landscape" r:id="rId24"/>
  <headerFooter>
    <oddHeader>&amp;LPROGRAMI BUXHETOR AFATMESËM&amp;C&amp;8 28 Shkurt 2018&amp;R&amp;A</oddHeader>
    <oddFooter>&amp;L&amp;8Copyright for Albania: Ministry of Finance and Economy / Local Finance Directory&amp;R1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tabColor rgb="FF92D050"/>
    <pageSetUpPr fitToPage="1"/>
  </sheetPr>
  <dimension ref="A1:J384"/>
  <sheetViews>
    <sheetView showGridLines="0" showRowColHeaders="0" topLeftCell="A19" workbookViewId="0">
      <selection activeCell="M39" sqref="M39"/>
    </sheetView>
  </sheetViews>
  <sheetFormatPr defaultColWidth="9.140625" defaultRowHeight="15" outlineLevelRow="1" x14ac:dyDescent="0.25"/>
  <cols>
    <col min="1" max="2" width="9.140625" style="106"/>
    <col min="3" max="3" width="14.42578125" style="106" customWidth="1"/>
    <col min="4" max="4" width="19.5703125" style="106" customWidth="1"/>
    <col min="5" max="6" width="15" style="106" customWidth="1"/>
    <col min="7" max="7" width="12.42578125" style="106" customWidth="1"/>
    <col min="8" max="8" width="13" style="106" customWidth="1"/>
    <col min="9" max="16384" width="9.140625" style="106"/>
  </cols>
  <sheetData>
    <row r="1" spans="1:9" s="230" customFormat="1" ht="21" x14ac:dyDescent="0.25">
      <c r="A1" s="1466" t="str">
        <f>'(G1) Fjalori'!A448</f>
        <v>(F9) GRAFIKU I SHPENZIMEVE SIPAS TIPIT TË PROGRAMIT - VLERA BRUTO</v>
      </c>
      <c r="B1" s="1467"/>
      <c r="C1" s="1467"/>
      <c r="D1" s="1467"/>
      <c r="E1" s="1467"/>
      <c r="F1" s="1467"/>
      <c r="G1" s="1467"/>
      <c r="H1" s="1467"/>
      <c r="I1" s="1468"/>
    </row>
    <row r="2" spans="1:9" s="95" customFormat="1" ht="12.75" x14ac:dyDescent="0.2"/>
    <row r="3" spans="1:9" s="95" customFormat="1" ht="12.75" x14ac:dyDescent="0.2"/>
    <row r="4" spans="1:9" s="95" customFormat="1" ht="12.75" x14ac:dyDescent="0.2"/>
    <row r="5" spans="1:9" s="95" customFormat="1" ht="12.75" x14ac:dyDescent="0.2"/>
    <row r="6" spans="1:9" s="95" customFormat="1" ht="12.75" x14ac:dyDescent="0.2"/>
    <row r="7" spans="1:9" s="95" customFormat="1" ht="12.75" x14ac:dyDescent="0.2">
      <c r="C7" s="95">
        <f>'(F8) Shpenzimet sipas aktivitet'!H5</f>
        <v>2019</v>
      </c>
      <c r="D7" s="95">
        <f>'(F8) Shpenzimet sipas aktivitet'!I5</f>
        <v>2020</v>
      </c>
      <c r="E7" s="95">
        <f>'(F8) Shpenzimet sipas aktivitet'!J5</f>
        <v>2021</v>
      </c>
      <c r="F7" s="95">
        <f>'(F8) Shpenzimet sipas aktivitet'!K5</f>
        <v>2022</v>
      </c>
      <c r="G7" s="95">
        <f>'(F8) Shpenzimet sipas aktivitet'!L5</f>
        <v>2023</v>
      </c>
      <c r="H7" s="95">
        <f>'(F8) Shpenzimet sipas aktivitet'!M5</f>
        <v>2024</v>
      </c>
    </row>
    <row r="8" spans="1:9" s="95" customFormat="1" ht="12.75" x14ac:dyDescent="0.2">
      <c r="B8" s="95" t="str">
        <f>'(F8) Shpenzimet sipas aktivitet'!G6</f>
        <v>E detyrueshme</v>
      </c>
      <c r="C8" s="95">
        <f>'(F8) Shpenzimet sipas aktivitet'!H6</f>
        <v>1519965155</v>
      </c>
      <c r="D8" s="95">
        <f>'(F8) Shpenzimet sipas aktivitet'!I6</f>
        <v>1822305984</v>
      </c>
      <c r="E8" s="95">
        <f>'(F8) Shpenzimet sipas aktivitet'!J6</f>
        <v>2351787988</v>
      </c>
      <c r="F8" s="95">
        <f>'(F8) Shpenzimet sipas aktivitet'!K6</f>
        <v>2124608648</v>
      </c>
      <c r="G8" s="95">
        <f>'(F8) Shpenzimet sipas aktivitet'!L6</f>
        <v>2082089470</v>
      </c>
      <c r="H8" s="95">
        <f>'(F8) Shpenzimet sipas aktivitet'!M6</f>
        <v>2100840473</v>
      </c>
    </row>
    <row r="9" spans="1:9" x14ac:dyDescent="0.25">
      <c r="B9" s="95" t="str">
        <f>'(F8) Shpenzimet sipas aktivitet'!G7</f>
        <v>Plotësuese</v>
      </c>
      <c r="C9" s="95">
        <f>'(F8) Shpenzimet sipas aktivitet'!H7</f>
        <v>0</v>
      </c>
      <c r="D9" s="95">
        <f>'(F8) Shpenzimet sipas aktivitet'!I7</f>
        <v>0</v>
      </c>
      <c r="E9" s="95">
        <f>'(F8) Shpenzimet sipas aktivitet'!J7</f>
        <v>0</v>
      </c>
      <c r="F9" s="95">
        <f>'(F8) Shpenzimet sipas aktivitet'!K7</f>
        <v>0</v>
      </c>
      <c r="G9" s="95">
        <f>'(F8) Shpenzimet sipas aktivitet'!L7</f>
        <v>0</v>
      </c>
      <c r="H9" s="95">
        <f>'(F8) Shpenzimet sipas aktivitet'!M7</f>
        <v>0</v>
      </c>
    </row>
    <row r="10" spans="1:9" x14ac:dyDescent="0.25">
      <c r="B10" s="95" t="str">
        <f>'(F8) Shpenzimet sipas aktivitet'!G8</f>
        <v>SHPENZIME TË PRITSHME</v>
      </c>
      <c r="C10" s="95">
        <f>'(F8) Shpenzimet sipas aktivitet'!H8</f>
        <v>1519965155</v>
      </c>
      <c r="D10" s="95">
        <f>'(F8) Shpenzimet sipas aktivitet'!I8</f>
        <v>1822305984</v>
      </c>
      <c r="E10" s="95">
        <f>'(F8) Shpenzimet sipas aktivitet'!J8</f>
        <v>2351787988</v>
      </c>
      <c r="F10" s="95">
        <f>'(F8) Shpenzimet sipas aktivitet'!K8</f>
        <v>2124608648</v>
      </c>
      <c r="G10" s="95">
        <f>'(F8) Shpenzimet sipas aktivitet'!L8</f>
        <v>2082089470</v>
      </c>
      <c r="H10" s="95">
        <f>'(F8) Shpenzimet sipas aktivitet'!M8</f>
        <v>2100840473</v>
      </c>
    </row>
    <row r="12" spans="1:9" ht="14.25" customHeight="1" x14ac:dyDescent="0.25"/>
    <row r="15" spans="1:9" x14ac:dyDescent="0.25">
      <c r="F15" s="88"/>
      <c r="G15" s="88"/>
    </row>
    <row r="16" spans="1:9" x14ac:dyDescent="0.25">
      <c r="F16" s="88"/>
      <c r="G16" s="88"/>
    </row>
    <row r="18" spans="6:10" x14ac:dyDescent="0.25">
      <c r="F18" s="88"/>
      <c r="G18" s="88"/>
      <c r="I18" s="153"/>
      <c r="J18" s="153"/>
    </row>
    <row r="19" spans="6:10" x14ac:dyDescent="0.25">
      <c r="F19" s="88"/>
      <c r="G19" s="88"/>
      <c r="I19" s="153"/>
      <c r="J19" s="153"/>
    </row>
    <row r="20" spans="6:10" x14ac:dyDescent="0.25">
      <c r="F20" s="88"/>
      <c r="G20" s="88"/>
      <c r="I20" s="153"/>
      <c r="J20" s="153"/>
    </row>
    <row r="21" spans="6:10" x14ac:dyDescent="0.25">
      <c r="F21" s="88"/>
      <c r="G21" s="88"/>
      <c r="I21" s="153"/>
      <c r="J21" s="153"/>
    </row>
    <row r="22" spans="6:10" x14ac:dyDescent="0.25">
      <c r="F22" s="88"/>
      <c r="G22" s="88"/>
      <c r="I22" s="153"/>
      <c r="J22" s="153"/>
    </row>
    <row r="23" spans="6:10" x14ac:dyDescent="0.25">
      <c r="F23" s="88"/>
      <c r="G23" s="88"/>
      <c r="I23" s="153"/>
      <c r="J23" s="153"/>
    </row>
    <row r="24" spans="6:10" x14ac:dyDescent="0.25">
      <c r="F24" s="88"/>
      <c r="G24" s="88"/>
      <c r="I24" s="153"/>
      <c r="J24" s="153"/>
    </row>
    <row r="25" spans="6:10" x14ac:dyDescent="0.25">
      <c r="F25" s="88"/>
      <c r="G25" s="88"/>
      <c r="I25" s="153"/>
      <c r="J25" s="153"/>
    </row>
    <row r="26" spans="6:10" x14ac:dyDescent="0.25">
      <c r="F26" s="88"/>
      <c r="G26" s="88"/>
      <c r="I26" s="153"/>
      <c r="J26" s="153"/>
    </row>
    <row r="27" spans="6:10" x14ac:dyDescent="0.25">
      <c r="F27" s="88"/>
      <c r="G27" s="88"/>
      <c r="I27" s="153"/>
      <c r="J27" s="153"/>
    </row>
    <row r="28" spans="6:10" x14ac:dyDescent="0.25">
      <c r="F28" s="88"/>
      <c r="G28" s="88"/>
      <c r="I28" s="153"/>
      <c r="J28" s="153"/>
    </row>
    <row r="29" spans="6:10" x14ac:dyDescent="0.25">
      <c r="F29" s="88"/>
      <c r="G29" s="88"/>
      <c r="I29" s="153"/>
      <c r="J29" s="153"/>
    </row>
    <row r="30" spans="6:10" x14ac:dyDescent="0.25">
      <c r="F30" s="88"/>
      <c r="G30" s="88"/>
      <c r="I30" s="153"/>
      <c r="J30" s="153"/>
    </row>
    <row r="31" spans="6:10" x14ac:dyDescent="0.25">
      <c r="F31" s="88"/>
      <c r="G31" s="88"/>
      <c r="I31" s="153"/>
      <c r="J31" s="153"/>
    </row>
    <row r="32" spans="6:10" x14ac:dyDescent="0.25">
      <c r="F32" s="88"/>
      <c r="G32" s="88"/>
      <c r="I32" s="153"/>
      <c r="J32" s="153"/>
    </row>
    <row r="33" spans="2:10" x14ac:dyDescent="0.25">
      <c r="F33" s="88"/>
      <c r="G33" s="88"/>
      <c r="I33" s="153"/>
      <c r="J33" s="153"/>
    </row>
    <row r="34" spans="2:10" x14ac:dyDescent="0.25">
      <c r="F34" s="88"/>
      <c r="G34" s="88"/>
      <c r="I34" s="153"/>
      <c r="J34" s="153"/>
    </row>
    <row r="35" spans="2:10" x14ac:dyDescent="0.25">
      <c r="F35" s="88"/>
      <c r="G35" s="88"/>
      <c r="I35" s="153"/>
      <c r="J35" s="153"/>
    </row>
    <row r="36" spans="2:10" x14ac:dyDescent="0.25">
      <c r="F36" s="88"/>
      <c r="G36" s="88"/>
      <c r="I36" s="153"/>
      <c r="J36" s="153"/>
    </row>
    <row r="37" spans="2:10" x14ac:dyDescent="0.25">
      <c r="F37" s="88"/>
      <c r="G37" s="88"/>
      <c r="I37" s="153"/>
      <c r="J37" s="153"/>
    </row>
    <row r="38" spans="2:10" x14ac:dyDescent="0.25">
      <c r="F38" s="88"/>
      <c r="G38" s="88"/>
      <c r="I38" s="153"/>
      <c r="J38" s="153"/>
    </row>
    <row r="40" spans="2:10" x14ac:dyDescent="0.25">
      <c r="C40" s="106">
        <f>'(F8) Shpenzimet sipas aktivitet'!H26</f>
        <v>2019</v>
      </c>
      <c r="D40" s="106">
        <f>'(F8) Shpenzimet sipas aktivitet'!I26</f>
        <v>2020</v>
      </c>
      <c r="E40" s="106">
        <f>'(F8) Shpenzimet sipas aktivitet'!J26</f>
        <v>2021</v>
      </c>
      <c r="F40" s="106">
        <f>'(F8) Shpenzimet sipas aktivitet'!K26</f>
        <v>2022</v>
      </c>
      <c r="G40" s="106">
        <f>'(F8) Shpenzimet sipas aktivitet'!L26</f>
        <v>2023</v>
      </c>
      <c r="H40" s="106">
        <f>'(F8) Shpenzimet sipas aktivitet'!M26</f>
        <v>2024</v>
      </c>
      <c r="I40" s="153"/>
      <c r="J40" s="153"/>
    </row>
    <row r="41" spans="2:10" x14ac:dyDescent="0.25">
      <c r="B41" s="106" t="str">
        <f>'(F8) Shpenzimet sipas aktivitet'!G27</f>
        <v>I veti</v>
      </c>
      <c r="C41" s="106">
        <f>'(F8) Shpenzimet sipas aktivitet'!H27</f>
        <v>335990022</v>
      </c>
      <c r="D41" s="106">
        <f>'(F8) Shpenzimet sipas aktivitet'!I27</f>
        <v>586961884</v>
      </c>
      <c r="E41" s="106">
        <f>'(F8) Shpenzimet sipas aktivitet'!J27</f>
        <v>1044687084</v>
      </c>
      <c r="F41" s="106">
        <f>'(F8) Shpenzimet sipas aktivitet'!K27</f>
        <v>672198088</v>
      </c>
      <c r="G41" s="106">
        <f>'(F8) Shpenzimet sipas aktivitet'!L27</f>
        <v>618296360</v>
      </c>
      <c r="H41" s="106">
        <f>'(F8) Shpenzimet sipas aktivitet'!M27</f>
        <v>622129983</v>
      </c>
      <c r="I41" s="153"/>
      <c r="J41" s="153"/>
    </row>
    <row r="42" spans="2:10" x14ac:dyDescent="0.25">
      <c r="B42" s="106" t="str">
        <f>'(F8) Shpenzimet sipas aktivitet'!G28</f>
        <v>I deleguar</v>
      </c>
      <c r="C42" s="106">
        <f>'(F8) Shpenzimet sipas aktivitet'!H28</f>
        <v>762751236</v>
      </c>
      <c r="D42" s="106">
        <f>'(F8) Shpenzimet sipas aktivitet'!I28</f>
        <v>948379406</v>
      </c>
      <c r="E42" s="106">
        <f>'(F8) Shpenzimet sipas aktivitet'!J28</f>
        <v>948547352</v>
      </c>
      <c r="F42" s="106">
        <f>'(F8) Shpenzimet sipas aktivitet'!K28</f>
        <v>965873000</v>
      </c>
      <c r="G42" s="106">
        <f>'(F8) Shpenzimet sipas aktivitet'!L28</f>
        <v>965873000</v>
      </c>
      <c r="H42" s="106">
        <f>'(F8) Shpenzimet sipas aktivitet'!M28</f>
        <v>965873000</v>
      </c>
      <c r="I42" s="153"/>
      <c r="J42" s="153"/>
    </row>
    <row r="43" spans="2:10" x14ac:dyDescent="0.25">
      <c r="B43" s="106" t="str">
        <f>'(F8) Shpenzimet sipas aktivitet'!G29</f>
        <v>Transferuar</v>
      </c>
      <c r="C43" s="106">
        <f>'(F8) Shpenzimet sipas aktivitet'!H29</f>
        <v>421223897</v>
      </c>
      <c r="D43" s="106">
        <f>'(F8) Shpenzimet sipas aktivitet'!I29</f>
        <v>286964694</v>
      </c>
      <c r="E43" s="106">
        <f>'(F8) Shpenzimet sipas aktivitet'!J29</f>
        <v>358553552</v>
      </c>
      <c r="F43" s="106">
        <f>'(F8) Shpenzimet sipas aktivitet'!K29</f>
        <v>486537560</v>
      </c>
      <c r="G43" s="106">
        <f>'(F8) Shpenzimet sipas aktivitet'!L29</f>
        <v>497920110</v>
      </c>
      <c r="H43" s="106">
        <f>'(F8) Shpenzimet sipas aktivitet'!M29</f>
        <v>512837490</v>
      </c>
    </row>
    <row r="44" spans="2:10" x14ac:dyDescent="0.25">
      <c r="B44" s="106" t="str">
        <f>'(F8) Shpenzimet sipas aktivitet'!G30</f>
        <v>SHPENZIME TË PRITSHME</v>
      </c>
      <c r="C44" s="106">
        <f>'(F8) Shpenzimet sipas aktivitet'!H30</f>
        <v>1519965155</v>
      </c>
      <c r="D44" s="106">
        <f>'(F8) Shpenzimet sipas aktivitet'!I30</f>
        <v>1822305984</v>
      </c>
      <c r="E44" s="106">
        <f>'(F8) Shpenzimet sipas aktivitet'!J30</f>
        <v>2351787988</v>
      </c>
      <c r="F44" s="106">
        <f>'(F8) Shpenzimet sipas aktivitet'!K30</f>
        <v>2124608648</v>
      </c>
      <c r="G44" s="106">
        <f>'(F8) Shpenzimet sipas aktivitet'!L30</f>
        <v>2082089470</v>
      </c>
      <c r="H44" s="106">
        <f>'(F8) Shpenzimet sipas aktivitet'!M30</f>
        <v>2100840473</v>
      </c>
      <c r="I44" s="153"/>
      <c r="J44" s="153"/>
    </row>
    <row r="45" spans="2:10" x14ac:dyDescent="0.25">
      <c r="F45" s="88"/>
      <c r="G45" s="88"/>
      <c r="I45" s="153"/>
      <c r="J45" s="153"/>
    </row>
    <row r="46" spans="2:10" x14ac:dyDescent="0.25">
      <c r="F46" s="88"/>
      <c r="G46" s="88"/>
      <c r="I46" s="153"/>
      <c r="J46" s="153"/>
    </row>
    <row r="48" spans="2:10" x14ac:dyDescent="0.25">
      <c r="F48" s="88"/>
      <c r="G48" s="88"/>
      <c r="I48" s="153"/>
      <c r="J48" s="153"/>
    </row>
    <row r="49" spans="6:10" x14ac:dyDescent="0.25">
      <c r="F49" s="88"/>
      <c r="G49" s="88"/>
      <c r="I49" s="153"/>
      <c r="J49" s="153"/>
    </row>
    <row r="50" spans="6:10" x14ac:dyDescent="0.25">
      <c r="F50" s="88"/>
      <c r="G50" s="88"/>
      <c r="I50" s="153"/>
      <c r="J50" s="153"/>
    </row>
    <row r="52" spans="6:10" x14ac:dyDescent="0.25">
      <c r="F52" s="88"/>
      <c r="G52" s="88"/>
      <c r="I52" s="153"/>
      <c r="J52" s="153"/>
    </row>
    <row r="53" spans="6:10" x14ac:dyDescent="0.25">
      <c r="F53" s="88"/>
      <c r="G53" s="88"/>
      <c r="I53" s="153"/>
      <c r="J53" s="153"/>
    </row>
    <row r="54" spans="6:10" x14ac:dyDescent="0.25">
      <c r="F54" s="88"/>
      <c r="G54" s="88"/>
      <c r="I54" s="153"/>
      <c r="J54" s="153"/>
    </row>
    <row r="56" spans="6:10" x14ac:dyDescent="0.25">
      <c r="F56" s="88"/>
      <c r="G56" s="88"/>
      <c r="I56" s="153"/>
      <c r="J56" s="153"/>
    </row>
    <row r="57" spans="6:10" x14ac:dyDescent="0.25">
      <c r="F57" s="88"/>
      <c r="G57" s="88"/>
      <c r="I57" s="153"/>
      <c r="J57" s="153"/>
    </row>
    <row r="58" spans="6:10" x14ac:dyDescent="0.25">
      <c r="F58" s="88"/>
      <c r="G58" s="88"/>
      <c r="I58" s="153"/>
      <c r="J58" s="153"/>
    </row>
    <row r="60" spans="6:10" x14ac:dyDescent="0.25">
      <c r="F60" s="88"/>
      <c r="G60" s="88"/>
      <c r="I60" s="153"/>
      <c r="J60" s="153"/>
    </row>
    <row r="61" spans="6:10" x14ac:dyDescent="0.25">
      <c r="F61" s="88"/>
      <c r="G61" s="88"/>
      <c r="I61" s="153"/>
      <c r="J61" s="153"/>
    </row>
    <row r="62" spans="6:10" x14ac:dyDescent="0.25">
      <c r="F62" s="88"/>
      <c r="G62" s="88"/>
      <c r="I62" s="153"/>
      <c r="J62" s="153"/>
    </row>
    <row r="64" spans="6:10" x14ac:dyDescent="0.25">
      <c r="F64" s="88"/>
      <c r="G64" s="88"/>
      <c r="I64" s="153"/>
      <c r="J64" s="153"/>
    </row>
    <row r="65" spans="6:10" x14ac:dyDescent="0.25">
      <c r="F65" s="88"/>
      <c r="G65" s="88"/>
      <c r="I65" s="153"/>
      <c r="J65" s="153"/>
    </row>
    <row r="66" spans="6:10" outlineLevel="1" x14ac:dyDescent="0.25">
      <c r="F66" s="88"/>
      <c r="G66" s="88"/>
      <c r="I66" s="153"/>
      <c r="J66" s="153"/>
    </row>
    <row r="67" spans="6:10" outlineLevel="1" x14ac:dyDescent="0.25"/>
    <row r="68" spans="6:10" outlineLevel="1" x14ac:dyDescent="0.25">
      <c r="F68" s="88"/>
      <c r="G68" s="88"/>
      <c r="I68" s="153"/>
      <c r="J68" s="153"/>
    </row>
    <row r="69" spans="6:10" outlineLevel="1" x14ac:dyDescent="0.25">
      <c r="F69" s="88"/>
      <c r="G69" s="88"/>
      <c r="I69" s="153"/>
      <c r="J69" s="153"/>
    </row>
    <row r="70" spans="6:10" outlineLevel="1" x14ac:dyDescent="0.25">
      <c r="F70" s="88"/>
      <c r="G70" s="88"/>
      <c r="I70" s="153"/>
      <c r="J70" s="153"/>
    </row>
    <row r="71" spans="6:10" outlineLevel="1" x14ac:dyDescent="0.25"/>
    <row r="72" spans="6:10" outlineLevel="1" x14ac:dyDescent="0.25">
      <c r="F72" s="88"/>
      <c r="G72" s="88"/>
      <c r="I72" s="153"/>
      <c r="J72" s="153"/>
    </row>
    <row r="73" spans="6:10" outlineLevel="1" x14ac:dyDescent="0.25">
      <c r="F73" s="88"/>
      <c r="G73" s="88"/>
      <c r="I73" s="153"/>
      <c r="J73" s="153"/>
    </row>
    <row r="74" spans="6:10" outlineLevel="1" x14ac:dyDescent="0.25">
      <c r="F74" s="88"/>
      <c r="G74" s="88"/>
      <c r="I74" s="153"/>
      <c r="J74" s="153"/>
    </row>
    <row r="75" spans="6:10" outlineLevel="1" x14ac:dyDescent="0.25"/>
    <row r="76" spans="6:10" outlineLevel="1" x14ac:dyDescent="0.25">
      <c r="F76" s="88"/>
      <c r="G76" s="88"/>
      <c r="I76" s="153"/>
      <c r="J76" s="153"/>
    </row>
    <row r="77" spans="6:10" outlineLevel="1" x14ac:dyDescent="0.25">
      <c r="F77" s="88"/>
      <c r="G77" s="88"/>
      <c r="I77" s="153"/>
      <c r="J77" s="153"/>
    </row>
    <row r="78" spans="6:10" outlineLevel="1" x14ac:dyDescent="0.25">
      <c r="F78" s="88"/>
      <c r="G78" s="88"/>
      <c r="I78" s="153"/>
      <c r="J78" s="153"/>
    </row>
    <row r="79" spans="6:10" outlineLevel="1" x14ac:dyDescent="0.25"/>
    <row r="80" spans="6:10" outlineLevel="1" x14ac:dyDescent="0.25">
      <c r="F80" s="88"/>
      <c r="G80" s="88"/>
      <c r="I80" s="153"/>
      <c r="J80" s="153"/>
    </row>
    <row r="81" spans="6:10" outlineLevel="1" x14ac:dyDescent="0.25">
      <c r="F81" s="88"/>
      <c r="G81" s="88"/>
      <c r="I81" s="153"/>
      <c r="J81" s="153"/>
    </row>
    <row r="82" spans="6:10" outlineLevel="1" x14ac:dyDescent="0.25">
      <c r="F82" s="88"/>
      <c r="G82" s="88"/>
      <c r="I82" s="153"/>
      <c r="J82" s="153"/>
    </row>
    <row r="83" spans="6:10" outlineLevel="1" x14ac:dyDescent="0.25"/>
    <row r="84" spans="6:10" outlineLevel="1" x14ac:dyDescent="0.25">
      <c r="F84" s="88"/>
      <c r="G84" s="88"/>
      <c r="I84" s="153"/>
      <c r="J84" s="153"/>
    </row>
    <row r="85" spans="6:10" outlineLevel="1" x14ac:dyDescent="0.25">
      <c r="F85" s="88"/>
      <c r="G85" s="88"/>
      <c r="I85" s="153"/>
      <c r="J85" s="153"/>
    </row>
    <row r="86" spans="6:10" x14ac:dyDescent="0.25">
      <c r="F86" s="88"/>
      <c r="G86" s="88"/>
      <c r="I86" s="153"/>
      <c r="J86" s="153"/>
    </row>
    <row r="88" spans="6:10" x14ac:dyDescent="0.25">
      <c r="F88" s="88"/>
      <c r="G88" s="88"/>
      <c r="I88" s="153"/>
      <c r="J88" s="153"/>
    </row>
    <row r="89" spans="6:10" x14ac:dyDescent="0.25">
      <c r="F89" s="88"/>
      <c r="G89" s="88"/>
      <c r="I89" s="153"/>
      <c r="J89" s="153"/>
    </row>
    <row r="90" spans="6:10" x14ac:dyDescent="0.25">
      <c r="F90" s="88"/>
      <c r="G90" s="88"/>
      <c r="I90" s="153"/>
      <c r="J90" s="153"/>
    </row>
    <row r="92" spans="6:10" x14ac:dyDescent="0.25">
      <c r="F92" s="88"/>
      <c r="G92" s="88"/>
      <c r="I92" s="153"/>
      <c r="J92" s="153"/>
    </row>
    <row r="93" spans="6:10" x14ac:dyDescent="0.25">
      <c r="F93" s="88"/>
      <c r="G93" s="88"/>
      <c r="I93" s="153"/>
      <c r="J93" s="153"/>
    </row>
    <row r="94" spans="6:10" x14ac:dyDescent="0.25">
      <c r="F94" s="88"/>
      <c r="G94" s="88"/>
      <c r="I94" s="153"/>
      <c r="J94" s="153"/>
    </row>
    <row r="96" spans="6:10" x14ac:dyDescent="0.25">
      <c r="F96" s="88"/>
      <c r="G96" s="88"/>
      <c r="I96" s="153"/>
      <c r="J96" s="153"/>
    </row>
    <row r="97" spans="6:10" x14ac:dyDescent="0.25">
      <c r="F97" s="88"/>
      <c r="G97" s="88"/>
      <c r="I97" s="153"/>
      <c r="J97" s="153"/>
    </row>
    <row r="98" spans="6:10" x14ac:dyDescent="0.25">
      <c r="F98" s="88"/>
      <c r="G98" s="88"/>
      <c r="I98" s="153"/>
      <c r="J98" s="153"/>
    </row>
    <row r="100" spans="6:10" x14ac:dyDescent="0.25">
      <c r="F100" s="88"/>
      <c r="G100" s="88"/>
      <c r="I100" s="153"/>
      <c r="J100" s="153"/>
    </row>
    <row r="101" spans="6:10" x14ac:dyDescent="0.25">
      <c r="F101" s="88"/>
      <c r="G101" s="88"/>
      <c r="I101" s="153"/>
      <c r="J101" s="153"/>
    </row>
    <row r="102" spans="6:10" x14ac:dyDescent="0.25">
      <c r="F102" s="88"/>
      <c r="G102" s="88"/>
      <c r="I102" s="153"/>
      <c r="J102" s="153"/>
    </row>
    <row r="104" spans="6:10" x14ac:dyDescent="0.25">
      <c r="F104" s="88"/>
      <c r="G104" s="88"/>
      <c r="I104" s="153"/>
      <c r="J104" s="153"/>
    </row>
    <row r="105" spans="6:10" x14ac:dyDescent="0.25">
      <c r="F105" s="88"/>
      <c r="G105" s="88"/>
      <c r="I105" s="153"/>
      <c r="J105" s="153"/>
    </row>
    <row r="106" spans="6:10" x14ac:dyDescent="0.25">
      <c r="F106" s="88"/>
      <c r="G106" s="88"/>
      <c r="I106" s="153"/>
      <c r="J106" s="153"/>
    </row>
    <row r="108" spans="6:10" x14ac:dyDescent="0.25">
      <c r="F108" s="88"/>
      <c r="G108" s="88"/>
      <c r="I108" s="153"/>
      <c r="J108" s="153"/>
    </row>
    <row r="109" spans="6:10" x14ac:dyDescent="0.25">
      <c r="F109" s="88"/>
      <c r="G109" s="88"/>
      <c r="I109" s="153"/>
      <c r="J109" s="153"/>
    </row>
    <row r="110" spans="6:10" x14ac:dyDescent="0.25">
      <c r="F110" s="88"/>
      <c r="G110" s="88"/>
      <c r="I110" s="153"/>
      <c r="J110" s="153"/>
    </row>
    <row r="112" spans="6:10" x14ac:dyDescent="0.25">
      <c r="F112" s="88"/>
      <c r="G112" s="88"/>
      <c r="I112" s="153"/>
      <c r="J112" s="153"/>
    </row>
    <row r="113" spans="6:10" x14ac:dyDescent="0.25">
      <c r="F113" s="88"/>
      <c r="G113" s="88"/>
      <c r="I113" s="153"/>
      <c r="J113" s="153"/>
    </row>
    <row r="114" spans="6:10" x14ac:dyDescent="0.25">
      <c r="F114" s="88"/>
      <c r="G114" s="88"/>
      <c r="I114" s="153"/>
      <c r="J114" s="153"/>
    </row>
    <row r="116" spans="6:10" x14ac:dyDescent="0.25">
      <c r="F116" s="88"/>
      <c r="G116" s="88"/>
      <c r="I116" s="153"/>
      <c r="J116" s="153"/>
    </row>
    <row r="117" spans="6:10" x14ac:dyDescent="0.25">
      <c r="F117" s="88"/>
      <c r="G117" s="88"/>
      <c r="I117" s="153"/>
      <c r="J117" s="153"/>
    </row>
    <row r="118" spans="6:10" x14ac:dyDescent="0.25">
      <c r="F118" s="88"/>
      <c r="G118" s="88"/>
      <c r="I118" s="153"/>
      <c r="J118" s="153"/>
    </row>
    <row r="137" outlineLevel="1" x14ac:dyDescent="0.25"/>
    <row r="138" outlineLevel="1" x14ac:dyDescent="0.25"/>
    <row r="139" outlineLevel="1" x14ac:dyDescent="0.25"/>
    <row r="140" outlineLevel="1" x14ac:dyDescent="0.25"/>
    <row r="141" outlineLevel="1" x14ac:dyDescent="0.25"/>
    <row r="142" outlineLevel="1" x14ac:dyDescent="0.25"/>
    <row r="143" outlineLevel="1" x14ac:dyDescent="0.25"/>
    <row r="144" outlineLevel="1" x14ac:dyDescent="0.25"/>
    <row r="145" outlineLevel="1" x14ac:dyDescent="0.25"/>
    <row r="146" outlineLevel="1" x14ac:dyDescent="0.25"/>
    <row r="147" outlineLevel="1" x14ac:dyDescent="0.25"/>
    <row r="148" outlineLevel="1" x14ac:dyDescent="0.25"/>
    <row r="149" outlineLevel="1" x14ac:dyDescent="0.25"/>
    <row r="150" outlineLevel="1" x14ac:dyDescent="0.25"/>
    <row r="151" outlineLevel="1" x14ac:dyDescent="0.25"/>
    <row r="152" outlineLevel="1" x14ac:dyDescent="0.25"/>
    <row r="153" outlineLevel="1" x14ac:dyDescent="0.25"/>
    <row r="154" outlineLevel="1" x14ac:dyDescent="0.25"/>
    <row r="155" outlineLevel="1" x14ac:dyDescent="0.25"/>
    <row r="156" outlineLevel="1" x14ac:dyDescent="0.25"/>
    <row r="160" outlineLevel="1" x14ac:dyDescent="0.25"/>
    <row r="161" outlineLevel="1" x14ac:dyDescent="0.25"/>
    <row r="162" outlineLevel="1" x14ac:dyDescent="0.25"/>
    <row r="163" outlineLevel="1" x14ac:dyDescent="0.25"/>
    <row r="164" outlineLevel="1" x14ac:dyDescent="0.25"/>
    <row r="165" outlineLevel="1" x14ac:dyDescent="0.25"/>
    <row r="166" outlineLevel="1" x14ac:dyDescent="0.25"/>
    <row r="167" outlineLevel="1" x14ac:dyDescent="0.25"/>
    <row r="168" outlineLevel="1" x14ac:dyDescent="0.25"/>
    <row r="169" outlineLevel="1" x14ac:dyDescent="0.25"/>
    <row r="170" outlineLevel="1" x14ac:dyDescent="0.25"/>
    <row r="171" outlineLevel="1" x14ac:dyDescent="0.25"/>
    <row r="172" outlineLevel="1" x14ac:dyDescent="0.25"/>
    <row r="173" outlineLevel="1" x14ac:dyDescent="0.25"/>
    <row r="174" outlineLevel="1" x14ac:dyDescent="0.25"/>
    <row r="175" outlineLevel="1" x14ac:dyDescent="0.25"/>
    <row r="176" outlineLevel="1" x14ac:dyDescent="0.25"/>
    <row r="177" outlineLevel="1" x14ac:dyDescent="0.25"/>
    <row r="178" outlineLevel="1" x14ac:dyDescent="0.25"/>
    <row r="179" outlineLevel="1" x14ac:dyDescent="0.25"/>
    <row r="183" outlineLevel="1" x14ac:dyDescent="0.25"/>
    <row r="184" outlineLevel="1" x14ac:dyDescent="0.25"/>
    <row r="185" outlineLevel="1" x14ac:dyDescent="0.25"/>
    <row r="186" outlineLevel="1" x14ac:dyDescent="0.25"/>
    <row r="187" outlineLevel="1" x14ac:dyDescent="0.25"/>
    <row r="188" outlineLevel="1" x14ac:dyDescent="0.25"/>
    <row r="189" outlineLevel="1" x14ac:dyDescent="0.25"/>
    <row r="190" outlineLevel="1" x14ac:dyDescent="0.25"/>
    <row r="191" outlineLevel="1" x14ac:dyDescent="0.25"/>
    <row r="192" outlineLevel="1" x14ac:dyDescent="0.25"/>
    <row r="193" outlineLevel="1" x14ac:dyDescent="0.25"/>
    <row r="194" outlineLevel="1" x14ac:dyDescent="0.25"/>
    <row r="195" outlineLevel="1" x14ac:dyDescent="0.25"/>
    <row r="196" outlineLevel="1" x14ac:dyDescent="0.25"/>
    <row r="197" outlineLevel="1" x14ac:dyDescent="0.25"/>
    <row r="198" outlineLevel="1" x14ac:dyDescent="0.25"/>
    <row r="199" outlineLevel="1" x14ac:dyDescent="0.25"/>
    <row r="200" outlineLevel="1" x14ac:dyDescent="0.25"/>
    <row r="201" outlineLevel="1" x14ac:dyDescent="0.25"/>
    <row r="202" outlineLevel="1" x14ac:dyDescent="0.25"/>
    <row r="204" outlineLevel="1" x14ac:dyDescent="0.25"/>
    <row r="208" outlineLevel="1" x14ac:dyDescent="0.25"/>
    <row r="209" outlineLevel="1" x14ac:dyDescent="0.25"/>
    <row r="210" outlineLevel="1" x14ac:dyDescent="0.25"/>
    <row r="211" outlineLevel="1" x14ac:dyDescent="0.25"/>
    <row r="212" outlineLevel="1" x14ac:dyDescent="0.25"/>
    <row r="213" outlineLevel="1" x14ac:dyDescent="0.25"/>
    <row r="214" outlineLevel="1" x14ac:dyDescent="0.25"/>
    <row r="215" outlineLevel="1" x14ac:dyDescent="0.25"/>
    <row r="216" outlineLevel="1" x14ac:dyDescent="0.25"/>
    <row r="217" outlineLevel="1" x14ac:dyDescent="0.25"/>
    <row r="218" outlineLevel="1" x14ac:dyDescent="0.25"/>
    <row r="219" outlineLevel="1" x14ac:dyDescent="0.25"/>
    <row r="220" outlineLevel="1" x14ac:dyDescent="0.25"/>
    <row r="221" outlineLevel="1" x14ac:dyDescent="0.25"/>
    <row r="222" outlineLevel="1" x14ac:dyDescent="0.25"/>
    <row r="223" outlineLevel="1" x14ac:dyDescent="0.25"/>
    <row r="224" outlineLevel="1" x14ac:dyDescent="0.25"/>
    <row r="225" outlineLevel="1" x14ac:dyDescent="0.25"/>
    <row r="226" outlineLevel="1" x14ac:dyDescent="0.25"/>
    <row r="227" outlineLevel="1" x14ac:dyDescent="0.25"/>
    <row r="231" outlineLevel="1" x14ac:dyDescent="0.25"/>
    <row r="232" outlineLevel="1" x14ac:dyDescent="0.25"/>
    <row r="233" outlineLevel="1" x14ac:dyDescent="0.25"/>
    <row r="234" outlineLevel="1" x14ac:dyDescent="0.25"/>
    <row r="235" outlineLevel="1" x14ac:dyDescent="0.25"/>
    <row r="236" outlineLevel="1" x14ac:dyDescent="0.25"/>
    <row r="237" outlineLevel="1" x14ac:dyDescent="0.25"/>
    <row r="238" outlineLevel="1" x14ac:dyDescent="0.25"/>
    <row r="239" outlineLevel="1" x14ac:dyDescent="0.25"/>
    <row r="240" outlineLevel="1" x14ac:dyDescent="0.25"/>
    <row r="241" outlineLevel="1" x14ac:dyDescent="0.25"/>
    <row r="242" outlineLevel="1" x14ac:dyDescent="0.25"/>
    <row r="243" outlineLevel="1" x14ac:dyDescent="0.25"/>
    <row r="244" outlineLevel="1" x14ac:dyDescent="0.25"/>
    <row r="245" outlineLevel="1" x14ac:dyDescent="0.25"/>
    <row r="246" outlineLevel="1" x14ac:dyDescent="0.25"/>
    <row r="247" outlineLevel="1" x14ac:dyDescent="0.25"/>
    <row r="248" outlineLevel="1" x14ac:dyDescent="0.25"/>
    <row r="249" outlineLevel="1" x14ac:dyDescent="0.25"/>
    <row r="250" outlineLevel="1" x14ac:dyDescent="0.25"/>
    <row r="272" outlineLevel="1" x14ac:dyDescent="0.25"/>
    <row r="279" outlineLevel="1" x14ac:dyDescent="0.25"/>
    <row r="280" outlineLevel="1" x14ac:dyDescent="0.25"/>
    <row r="281" outlineLevel="1" x14ac:dyDescent="0.25"/>
    <row r="282" outlineLevel="1" x14ac:dyDescent="0.25"/>
    <row r="283" outlineLevel="1" x14ac:dyDescent="0.25"/>
    <row r="284" outlineLevel="1" x14ac:dyDescent="0.25"/>
    <row r="285" outlineLevel="1" x14ac:dyDescent="0.25"/>
    <row r="286" outlineLevel="1" x14ac:dyDescent="0.25"/>
    <row r="287" outlineLevel="1" x14ac:dyDescent="0.25"/>
    <row r="288" outlineLevel="1" x14ac:dyDescent="0.25"/>
    <row r="289" outlineLevel="1" x14ac:dyDescent="0.25"/>
    <row r="290" outlineLevel="1" x14ac:dyDescent="0.25"/>
    <row r="291" outlineLevel="1" x14ac:dyDescent="0.25"/>
    <row r="292" outlineLevel="1" x14ac:dyDescent="0.25"/>
    <row r="293" outlineLevel="1" x14ac:dyDescent="0.25"/>
    <row r="294" outlineLevel="1" x14ac:dyDescent="0.25"/>
    <row r="295" outlineLevel="1" x14ac:dyDescent="0.25"/>
    <row r="296" outlineLevel="1" x14ac:dyDescent="0.25"/>
    <row r="297" outlineLevel="1" x14ac:dyDescent="0.25"/>
    <row r="298" outlineLevel="1" x14ac:dyDescent="0.25"/>
    <row r="384" spans="3:4" x14ac:dyDescent="0.25">
      <c r="C384" s="75"/>
      <c r="D384" s="75"/>
    </row>
  </sheetData>
  <sheetProtection sheet="1" objects="1" scenarios="1" selectLockedCells="1"/>
  <dataConsolidate topLabels="1" link="1">
    <dataRefs count="23">
      <dataRef ref="A245:E248" sheet="(A) Kerkese buxhet F10" r:id="rId1"/>
      <dataRef ref="A245:E248" sheet="(A) Kerkese buxhet F11" r:id="rId2"/>
      <dataRef ref="A245:E248" sheet="(A) Kerkese buxhet F12" r:id="rId3"/>
      <dataRef ref="A245:E248" sheet="(A) Kerkese buxhet F13" r:id="rId4"/>
      <dataRef ref="A245:E248" sheet="(A) Kerkese buxhet F14" r:id="rId5"/>
      <dataRef ref="A245:E248" sheet="(A) Kerkese buxhet F15" r:id="rId6"/>
      <dataRef ref="A245:E248" sheet="(A) Kerkese buxhet F16" r:id="rId7"/>
      <dataRef ref="A245:E248" sheet="(A) Kerkese buxhet F17" r:id="rId8"/>
      <dataRef ref="A245:E248" sheet="(A) Kerkese buxhet F18" r:id="rId9"/>
      <dataRef ref="A245:E248" sheet="(A) Kerkese buxhet F2" r:id="rId10"/>
      <dataRef ref="A245:E248" sheet="(A) Kerkese buxhet F20" r:id="rId11"/>
      <dataRef ref="A245:E248" sheet="(A) Kerkese buxhet F21" r:id="rId12"/>
      <dataRef ref="A245:E248" sheet="(A) Kerkese buxhet F22" r:id="rId13"/>
      <dataRef ref="A245:E248" sheet="(A) Kerkese buxhet F3" r:id="rId14"/>
      <dataRef ref="A245:E248" sheet="(A) Kerkese buxhet F4" r:id="rId15"/>
      <dataRef ref="A245:E248" sheet="(A) Kerkese buxhet F5" r:id="rId16"/>
      <dataRef ref="A245:E248" sheet="(A) Kerkese buxhet F6" r:id="rId17"/>
      <dataRef ref="A245:E248" sheet="(A) Kerkese buxhet F7" r:id="rId18"/>
      <dataRef ref="A245:E248" sheet="(A) Kerkese buxhet F8" r:id="rId19"/>
      <dataRef ref="A245:E248" sheet="(A) Kerkese buxhet F9" r:id="rId20"/>
      <dataRef ref="A245:E248" sheet="(D) Kerkese buxhet F19" r:id="rId21"/>
      <dataRef name="'(D) BRF F22'!$A$214" r:id="rId22"/>
      <dataRef ref="A245:E248" sheet="(G4)" r:id="rId23"/>
    </dataRefs>
  </dataConsolidate>
  <mergeCells count="1">
    <mergeCell ref="A1:I1"/>
  </mergeCells>
  <pageMargins left="0.78740157480314965" right="0.70866141732283472" top="0.98425196850393704" bottom="0.78740157480314965" header="0.43307086614173229" footer="0.31496062992125984"/>
  <pageSetup paperSize="9" scale="73" fitToHeight="0" orientation="portrait" r:id="rId24"/>
  <headerFooter>
    <oddHeader>&amp;LPROGRAMI BUXHETOR AFATMESËM&amp;C&amp;8 28 Shkurt 2018&amp;R&amp;A</oddHeader>
    <oddFooter>&amp;L&amp;8Copyright for Albania: Ministry of Finance and Economy / Local Finance Directory&amp;R1</oddFooter>
  </headerFooter>
  <drawing r:id="rId2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tabColor rgb="FF00B050"/>
    <pageSetUpPr fitToPage="1"/>
  </sheetPr>
  <dimension ref="A1:O80"/>
  <sheetViews>
    <sheetView showGridLines="0" topLeftCell="A4" workbookViewId="0">
      <selection activeCell="M41" sqref="M41"/>
    </sheetView>
  </sheetViews>
  <sheetFormatPr defaultColWidth="12.85546875" defaultRowHeight="17.25" customHeight="1" x14ac:dyDescent="0.2"/>
  <cols>
    <col min="1" max="1" width="23.28515625" style="95" customWidth="1"/>
    <col min="2" max="8" width="12.85546875" style="95"/>
    <col min="9" max="9" width="17.85546875" style="95" customWidth="1"/>
    <col min="10" max="16384" width="12.85546875" style="95"/>
  </cols>
  <sheetData>
    <row r="1" spans="1:15" ht="12.75" x14ac:dyDescent="0.2">
      <c r="A1" s="1478" t="str">
        <f>'(G1) Fjalori'!A450</f>
        <v>(F10) SHPENZIMET SIPAS KLASIFIKIMIT EKONOMIK (BRUTO)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80"/>
    </row>
    <row r="2" spans="1:15" s="10" customFormat="1" ht="1.5" customHeight="1" x14ac:dyDescent="0.2">
      <c r="A2" s="851"/>
      <c r="B2" s="851"/>
      <c r="C2" s="851"/>
      <c r="D2" s="851"/>
      <c r="E2" s="851"/>
      <c r="F2" s="851"/>
      <c r="G2" s="851"/>
      <c r="H2" s="851"/>
    </row>
    <row r="3" spans="1:15" s="10" customFormat="1" ht="1.5" customHeight="1" x14ac:dyDescent="0.2">
      <c r="A3" s="851"/>
      <c r="B3" s="851"/>
      <c r="C3" s="851"/>
      <c r="D3" s="851"/>
      <c r="E3" s="851"/>
      <c r="F3" s="851"/>
      <c r="G3" s="851"/>
      <c r="H3" s="851"/>
    </row>
    <row r="4" spans="1:15" s="10" customFormat="1" ht="1.5" customHeight="1" x14ac:dyDescent="0.2">
      <c r="A4" s="851"/>
      <c r="B4" s="851"/>
      <c r="C4" s="851"/>
      <c r="D4" s="851"/>
      <c r="E4" s="851"/>
      <c r="F4" s="851"/>
      <c r="G4" s="851"/>
      <c r="H4" s="851"/>
    </row>
    <row r="5" spans="1:15" s="10" customFormat="1" ht="1.5" customHeight="1" x14ac:dyDescent="0.2">
      <c r="A5" s="851"/>
      <c r="B5" s="851"/>
      <c r="C5" s="851"/>
      <c r="D5" s="851"/>
      <c r="E5" s="851"/>
      <c r="F5" s="851"/>
      <c r="G5" s="851"/>
      <c r="H5" s="851"/>
    </row>
    <row r="6" spans="1:15" s="10" customFormat="1" ht="1.5" customHeight="1" x14ac:dyDescent="0.2">
      <c r="A6" s="851"/>
      <c r="B6" s="851"/>
      <c r="C6" s="851"/>
      <c r="D6" s="851"/>
      <c r="E6" s="851"/>
      <c r="F6" s="851"/>
      <c r="G6" s="851"/>
      <c r="H6" s="851"/>
    </row>
    <row r="7" spans="1:15" s="10" customFormat="1" ht="1.5" customHeight="1" x14ac:dyDescent="0.2">
      <c r="A7" s="851"/>
      <c r="B7" s="851"/>
      <c r="C7" s="851"/>
      <c r="D7" s="851"/>
      <c r="E7" s="851"/>
      <c r="F7" s="851"/>
      <c r="G7" s="851"/>
      <c r="H7" s="851"/>
    </row>
    <row r="8" spans="1:15" s="10" customFormat="1" ht="1.5" customHeight="1" x14ac:dyDescent="0.2">
      <c r="A8" s="851"/>
      <c r="B8" s="851"/>
      <c r="C8" s="851"/>
      <c r="D8" s="851"/>
      <c r="E8" s="851"/>
      <c r="F8" s="851"/>
      <c r="G8" s="851"/>
      <c r="H8" s="851"/>
    </row>
    <row r="9" spans="1:15" s="10" customFormat="1" ht="1.5" customHeight="1" x14ac:dyDescent="0.2">
      <c r="A9" s="851"/>
      <c r="B9" s="851"/>
      <c r="C9" s="851"/>
      <c r="D9" s="851"/>
      <c r="E9" s="851"/>
      <c r="F9" s="851"/>
      <c r="G9" s="851"/>
      <c r="H9" s="851"/>
    </row>
    <row r="10" spans="1:15" s="10" customFormat="1" ht="1.5" customHeight="1" x14ac:dyDescent="0.2">
      <c r="A10" s="851"/>
      <c r="B10" s="851"/>
      <c r="C10" s="851"/>
      <c r="D10" s="851"/>
      <c r="E10" s="851"/>
      <c r="F10" s="851"/>
      <c r="G10" s="851"/>
      <c r="H10" s="851"/>
    </row>
    <row r="11" spans="1:15" s="10" customFormat="1" ht="1.5" customHeight="1" x14ac:dyDescent="0.2">
      <c r="A11" s="851"/>
      <c r="B11" s="851"/>
      <c r="C11" s="851"/>
      <c r="D11" s="851"/>
      <c r="E11" s="851"/>
      <c r="F11" s="851"/>
      <c r="G11" s="851"/>
      <c r="H11" s="851"/>
    </row>
    <row r="12" spans="1:15" ht="1.5" customHeight="1" x14ac:dyDescent="0.2"/>
    <row r="13" spans="1:15" ht="21" customHeight="1" x14ac:dyDescent="0.2">
      <c r="A13" s="1096" t="str">
        <f>'(G1) Fjalori'!A359</f>
        <v>PËRMBLEDHJE E KËRKESËS BUXHETORE</v>
      </c>
      <c r="B13" s="1104"/>
      <c r="C13" s="1104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097"/>
    </row>
    <row r="14" spans="1:15" s="205" customFormat="1" ht="21" customHeight="1" x14ac:dyDescent="0.25">
      <c r="A14" s="852"/>
      <c r="B14" s="853"/>
      <c r="C14" s="854"/>
      <c r="D14" s="854"/>
      <c r="E14" s="854"/>
      <c r="F14" s="854"/>
      <c r="G14" s="854"/>
      <c r="H14" s="854"/>
      <c r="I14" s="854"/>
      <c r="J14" s="854"/>
      <c r="K14" s="854"/>
      <c r="L14" s="854"/>
      <c r="M14" s="854"/>
      <c r="N14" s="854"/>
      <c r="O14" s="855"/>
    </row>
    <row r="15" spans="1:15" ht="21" customHeight="1" x14ac:dyDescent="0.2">
      <c r="A15" s="1096" t="str">
        <f>'(G1) Fjalori'!A384</f>
        <v>SHPENZIME TË PRITSHME</v>
      </c>
      <c r="B15" s="1104"/>
      <c r="C15" s="1104"/>
      <c r="D15" s="1104"/>
      <c r="E15" s="1104"/>
      <c r="F15" s="1104"/>
      <c r="G15" s="1097"/>
      <c r="H15" s="856"/>
      <c r="I15" s="1481" t="str">
        <f>I28</f>
        <v xml:space="preserve">TË ARDHURAT E PRITSHME </v>
      </c>
      <c r="J15" s="1104"/>
      <c r="K15" s="1104"/>
      <c r="L15" s="1104"/>
      <c r="M15" s="1104"/>
      <c r="N15" s="1104"/>
      <c r="O15" s="1097"/>
    </row>
    <row r="16" spans="1:15" s="118" customFormat="1" ht="20.25" customHeight="1" x14ac:dyDescent="0.25">
      <c r="A16" s="202"/>
      <c r="B16" s="236">
        <f>'(B1)Informacion i përgjithshëm '!B5</f>
        <v>2019</v>
      </c>
      <c r="C16" s="236">
        <f>'(B1)Informacion i përgjithshëm '!B6</f>
        <v>2020</v>
      </c>
      <c r="D16" s="236">
        <f>'(B1)Informacion i përgjithshëm '!B7</f>
        <v>2021</v>
      </c>
      <c r="E16" s="237">
        <f>'(B1)Informacion i përgjithshëm '!B8</f>
        <v>2022</v>
      </c>
      <c r="F16" s="237">
        <f>'(B1)Informacion i përgjithshëm '!B9</f>
        <v>2023</v>
      </c>
      <c r="G16" s="237">
        <f>'(B1)Informacion i përgjithshëm '!B10</f>
        <v>2024</v>
      </c>
      <c r="H16" s="857"/>
      <c r="I16" s="269"/>
      <c r="J16" s="236">
        <f t="shared" ref="J16:O16" si="0">B16</f>
        <v>2019</v>
      </c>
      <c r="K16" s="236">
        <f t="shared" si="0"/>
        <v>2020</v>
      </c>
      <c r="L16" s="236">
        <f t="shared" si="0"/>
        <v>2021</v>
      </c>
      <c r="M16" s="237">
        <f t="shared" si="0"/>
        <v>2022</v>
      </c>
      <c r="N16" s="237">
        <f t="shared" si="0"/>
        <v>2023</v>
      </c>
      <c r="O16" s="237">
        <f t="shared" si="0"/>
        <v>2024</v>
      </c>
    </row>
    <row r="17" spans="1:15" ht="12.75" x14ac:dyDescent="0.2">
      <c r="A17" s="1471"/>
      <c r="B17" s="1471"/>
      <c r="C17" s="1471"/>
      <c r="D17" s="1471"/>
      <c r="E17" s="1471"/>
      <c r="F17" s="1471"/>
      <c r="G17" s="1471"/>
      <c r="H17" s="856"/>
      <c r="I17" s="858"/>
      <c r="J17" s="859"/>
      <c r="K17" s="859"/>
      <c r="L17" s="859"/>
      <c r="M17" s="859"/>
      <c r="N17" s="859"/>
      <c r="O17" s="860"/>
    </row>
    <row r="18" spans="1:15" ht="12.75" x14ac:dyDescent="0.2">
      <c r="A18" s="134" t="str">
        <f>A15</f>
        <v>SHPENZIME TË PRITSHME</v>
      </c>
      <c r="B18" s="33">
        <f>'KB 01'!B18+'KB 02'!B18+'KB 03'!B18+'KB 04'!B18+'KB 05'!B18+'KB 06'!B18+'KB 07'!B18+'KB 08'!B18+'KB 09'!B18+'KB 10'!B18+'KB 11'!B18+'KB 12'!B18+'KB 13'!B18+'KB 14'!B18+'KB 15'!B18+'KB 16'!B18+'KB 17'!B18+'KB 18'!B18+'KB 19'!B18+'KB 20'!B18+'KB 21'!B18+'KB 22'!B18+'KB23'!B18+'KB24'!B18+'KB25'!B18+'KB26'!B18+'KB27'!B18</f>
        <v>1519965155</v>
      </c>
      <c r="C18" s="33">
        <f>'KB 01'!C18+'KB 02'!C18+'KB 03'!C18+'KB 04'!C18+'KB 05'!C18+'KB 06'!C18+'KB 07'!C18+'KB 08'!C18+'KB 09'!C18+'KB 10'!C18+'KB 11'!C18+'KB 12'!C18+'KB 13'!C18+'KB 14'!C18+'KB 15'!C18+'KB 16'!C18+'KB 17'!C18+'KB 18'!C18+'KB 19'!C18+'KB 20'!C18+'KB 21'!C18+'KB 22'!C18+'KB23'!C18+'KB24'!C18+'KB25'!C18+'KB26'!C18+'KB27'!C18</f>
        <v>1822305984</v>
      </c>
      <c r="D18" s="33">
        <f>'KB 01'!D18+'KB 02'!D18+'KB 03'!D18+'KB 04'!D18+'KB 05'!D18+'KB 06'!D18+'KB 07'!D18+'KB 08'!D18+'KB 09'!D18+'KB 10'!D18+'KB 11'!D18+'KB 12'!D18+'KB 13'!D18+'KB 14'!D18+'KB 15'!D18+'KB 16'!D18+'KB 17'!D18+'KB 18'!D18+'KB 19'!D18+'KB 20'!D18+'KB 21'!D18+'KB 22'!D18+'KB23'!D18+'KB24'!D18+'KB25'!D18+'KB26'!D18+'KB27'!D18</f>
        <v>2351787988</v>
      </c>
      <c r="E18" s="126">
        <f>'KB 01'!E18+'KB 02'!E18+'KB 03'!E18+'KB 04'!E18+'KB 05'!E18+'KB 06'!E18+'KB 07'!E18+'KB 08'!E18+'KB 09'!E18+'KB 10'!E18+'KB 11'!E18+'KB 12'!E18+'KB 13'!E18+'KB 14'!E18+'KB 15'!E18+'KB 16'!E18+'KB 17'!E18+'KB 18'!E18+'KB 19'!E18+'KB 20'!E18+'KB 21'!E18+'KB 22'!E18+'KB23'!E18+'KB24'!E18+'KB25'!E18+'KB26'!E18+'KB27'!E18</f>
        <v>2161408648</v>
      </c>
      <c r="F18" s="126">
        <f>'KB 01'!F18+'KB 02'!F18+'KB 03'!F18+'KB 04'!F18+'KB 05'!F18+'KB 06'!F18+'KB 07'!F18+'KB 08'!F18+'KB 09'!F18+'KB 10'!F18+'KB 11'!F18+'KB 12'!F18+'KB 13'!F18+'KB 14'!F18+'KB 15'!F18+'KB 16'!F18+'KB 17'!F18+'KB 18'!F18+'KB 19'!F18+'KB 20'!F18+'KB 21'!F18+'KB 22'!F18+'KB23'!F18+'KB24'!F18+'KB25'!F18+'KB26'!F18+'KB27'!F18</f>
        <v>2119789470</v>
      </c>
      <c r="G18" s="126">
        <f>'KB 01'!G18+'KB 02'!G18+'KB 03'!G18+'KB 04'!G18+'KB 05'!G18+'KB 06'!G18+'KB 07'!G18+'KB 08'!G18+'KB 09'!G18+'KB 10'!G18+'KB 11'!G18+'KB 12'!G18+'KB 13'!G18+'KB 14'!G18+'KB 15'!G18+'KB 16'!G18+'KB 17'!G18+'KB 18'!G18+'KB 19'!G18+'KB 20'!G18+'KB 21'!G18+'KB 22'!G18+'KB23'!G18+'KB24'!G18+'KB25'!G18+'KB26'!G18+'KB27'!G18</f>
        <v>2149440473</v>
      </c>
      <c r="I18" s="1472" t="str">
        <f>'(G1) Fjalori'!A385</f>
        <v>VLERËSIM I ARDHURAVE NGA TARIFAT</v>
      </c>
      <c r="J18" s="1473"/>
      <c r="K18" s="1473"/>
      <c r="L18" s="1473"/>
      <c r="M18" s="1473"/>
      <c r="N18" s="1473"/>
      <c r="O18" s="1474"/>
    </row>
    <row r="19" spans="1:15" ht="12.75" x14ac:dyDescent="0.2">
      <c r="A19" s="122"/>
      <c r="B19" s="201"/>
      <c r="C19" s="123"/>
      <c r="D19" s="123"/>
      <c r="E19" s="10"/>
      <c r="F19" s="10"/>
      <c r="G19" s="130"/>
      <c r="I19" s="134" t="str">
        <f>'(G1) Fjalori'!A388</f>
        <v>VLERËSIM I ARDHURAVE NGA TARIFAT</v>
      </c>
      <c r="J19" s="34">
        <f>'KB 01'!J19+'KB 02'!J19+'KB 03'!J19+'KB 04'!J19+'KB 05'!J19+'KB 06'!J19+'KB 07'!J19+'KB 08'!J19+'KB 09'!J19+'KB 10'!J19+'KB 11'!J19+'KB 12'!J19+'KB 13'!J19+'KB 14'!J19+'KB 15'!J19+'KB 16'!J19+'KB 17'!J19+'KB 18'!J19+'KB 19'!J19+'KB 20'!J19+'KB 21'!J19+'KB 22'!J19+'KB23'!J19+'KB24'!J19+'KB25'!J19+'KB26'!J19+'KB27'!J19</f>
        <v>290939361</v>
      </c>
      <c r="K19" s="34">
        <f>'KB 01'!K19+'KB 02'!K19+'KB 03'!K19+'KB 04'!K19+'KB 05'!K19+'KB 06'!K19+'KB 07'!K19+'KB 08'!K19+'KB 09'!K19+'KB 10'!K19+'KB 11'!K19+'KB 12'!K19+'KB 13'!K19+'KB 14'!K19+'KB 15'!K19+'KB 16'!K19+'KB 17'!K19+'KB 18'!K19+'KB 19'!K19+'KB 20'!K19+'KB 21'!K19+'KB 22'!K19+'KB23'!K19+'KB24'!K19+'KB25'!K19+'KB26'!K19+'KB27'!K19</f>
        <v>150636046</v>
      </c>
      <c r="L19" s="34">
        <f>'KB 01'!L19+'KB 02'!L19+'KB 03'!L19+'KB 04'!L19+'KB 05'!L19+'KB 06'!L19+'KB 07'!L19+'KB 08'!L19+'KB 09'!L19+'KB 10'!L19+'KB 11'!L19+'KB 12'!L19+'KB 13'!L19+'KB 14'!L19+'KB 15'!L19+'KB 16'!L19+'KB 17'!L19+'KB 18'!L19+'KB 19'!L19+'KB 20'!L19+'KB 21'!L19+'KB 22'!L19+'KB23'!L19+'KB24'!L19+'KB25'!L19+'KB26'!L19+'KB27'!L19</f>
        <v>589036721</v>
      </c>
      <c r="M19" s="126">
        <f>'KB 01'!M19+'KB 02'!M19+'KB 03'!M19+'KB 04'!M19+'KB 05'!M19+'KB 06'!M19+'KB 07'!M19+'KB 08'!M19+'KB 09'!M19+'KB 10'!M19+'KB 11'!M19+'KB 12'!M19+'KB 13'!M19+'KB 14'!M19+'KB 15'!M19+'KB 16'!M19+'KB 17'!M19+'KB 18'!M19+'KB 19'!M19+'KB 20'!M19+'KB 21'!M19+'KB 22'!M19+'KB23'!M19+'KB24'!M19+'KB25'!M19+'KB26'!M19+'KB27'!M19</f>
        <v>223521899</v>
      </c>
      <c r="N19" s="126">
        <f>'KB 01'!N19+'KB 02'!N19+'KB 03'!N19+'KB 04'!N19+'KB 05'!N19+'KB 06'!N19+'KB 07'!N19+'KB 08'!N19+'KB 09'!N19+'KB 10'!N19+'KB 11'!N19+'KB 12'!N19+'KB 13'!N19+'KB 14'!N19+'KB 15'!N19+'KB 16'!N19+'KB 17'!N19+'KB 18'!N19+'KB 19'!N19+'KB 20'!N19+'KB 21'!N19+'KB 22'!N19+'KB23'!N19+'KB24'!N19+'KB25'!N19+'KB26'!N19+'KB27'!N19</f>
        <v>226810781</v>
      </c>
      <c r="O19" s="126">
        <f>'KB 01'!O19+'KB 02'!O19+'KB 03'!O19+'KB 04'!O19+'KB 05'!O19+'KB 06'!O19+'KB 07'!O19+'KB 08'!O19+'KB 09'!O19+'KB 10'!O19+'KB 11'!O19+'KB 12'!O19+'KB 13'!O19+'KB 14'!O19+'KB 15'!O19+'KB 16'!O19+'KB 17'!O19+'KB 18'!O19+'KB 19'!O19+'KB 20'!O19+'KB 21'!O19+'KB 22'!O19+'KB23'!O19+'KB24'!O19+'KB25'!O19+'KB26'!O19+'KB27'!O19</f>
        <v>230212944</v>
      </c>
    </row>
    <row r="20" spans="1:15" ht="12.75" x14ac:dyDescent="0.2">
      <c r="A20" s="1482" t="str">
        <f>A15</f>
        <v>SHPENZIME TË PRITSHME</v>
      </c>
      <c r="B20" s="1483"/>
      <c r="C20" s="1483"/>
      <c r="D20" s="1483"/>
      <c r="E20" s="1483" t="e">
        <f>'KB 01'!E20+'KB 02'!E20+'KB 03'!E20+'KB 04'!E20+'KB 05'!E20+'KB 06'!E20+'KB 07'!E20+'KB 08'!E20+'KB 09'!E20+'KB 10'!E20+'KB 11'!E20+'KB 12'!E20+'KB 13'!E20+'KB 14'!E20+'KB 15'!E20+'KB 16'!E20+'KB 17'!E20+'KB 18'!E20+'KB 19'!E20+'KB 20'!E20+'KB 21'!E20+'KB 22'!E20+#REF!+'KB23'!E20+'KB24'!E20+'KB25'!E20+'KB26'!E20+'KB27'!E20+#REF!</f>
        <v>#REF!</v>
      </c>
      <c r="F20" s="1483" t="e">
        <f>'KB 01'!F20+'KB 02'!F20+'KB 03'!F20+'KB 04'!F20+'KB 05'!F20+'KB 06'!F20+'KB 07'!F20+'KB 08'!F20+'KB 09'!F20+'KB 10'!F20+'KB 11'!F20+'KB 12'!F20+'KB 13'!F20+'KB 14'!F20+'KB 15'!F20+'KB 16'!F20+'KB 17'!F20+'KB 18'!F20+'KB 19'!F20+'KB 20'!F20+'KB 21'!F20+'KB 22'!F20+#REF!+'KB23'!F20+'KB24'!F20+'KB25'!F20+'KB26'!F20+'KB27'!F20+#REF!</f>
        <v>#REF!</v>
      </c>
      <c r="G20" s="1484" t="e">
        <f>'KB 01'!G20+'KB 02'!G20+'KB 03'!G20+'KB 04'!G20+'KB 05'!G20+'KB 06'!G20+'KB 07'!G20+'KB 08'!G20+'KB 09'!G20+'KB 10'!G20+'KB 11'!G20+'KB 12'!G20+'KB 13'!G20+'KB 14'!G20+'KB 15'!G20+'KB 16'!G20+'KB 17'!G20+'KB 18'!G20+'KB 19'!G20+'KB 20'!G20+'KB 21'!G20+'KB 22'!G20+#REF!+'KB23'!G20+'KB24'!G20+'KB25'!G20+'KB26'!G20+'KB27'!G20+#REF!</f>
        <v>#REF!</v>
      </c>
      <c r="H20" s="10"/>
    </row>
    <row r="21" spans="1:15" ht="12.75" x14ac:dyDescent="0.2">
      <c r="A21" s="1472" t="str">
        <f>'(G1) Fjalori'!A382</f>
        <v>KOSTO DIREKTE PËR PROJEKTET DHE SHPENZIMET KAPITALE</v>
      </c>
      <c r="B21" s="1473"/>
      <c r="C21" s="1473"/>
      <c r="D21" s="1473"/>
      <c r="E21" s="1473" t="e">
        <f>'KB 01'!E21+'KB 02'!E21+'KB 03'!E21+'KB 04'!E21+'KB 05'!E21+'KB 06'!E21+'KB 07'!E21+'KB 08'!E21+'KB 09'!E21+'KB 10'!E21+'KB 11'!E21+'KB 12'!E21+'KB 13'!E21+'KB 14'!E21+'KB 15'!E21+'KB 16'!E21+'KB 17'!E21+'KB 18'!E21+'KB 19'!E21+'KB 20'!E21+'KB 21'!E21+'KB 22'!E21+#REF!+'KB23'!E21+'KB24'!E21+'KB25'!E21+'KB26'!E21+'KB27'!E21+#REF!</f>
        <v>#REF!</v>
      </c>
      <c r="F21" s="1473" t="e">
        <f>'KB 01'!F21+'KB 02'!F21+'KB 03'!F21+'KB 04'!F21+'KB 05'!F21+'KB 06'!F21+'KB 07'!F21+'KB 08'!F21+'KB 09'!F21+'KB 10'!F21+'KB 11'!F21+'KB 12'!F21+'KB 13'!F21+'KB 14'!F21+'KB 15'!F21+'KB 16'!F21+'KB 17'!F21+'KB 18'!F21+'KB 19'!F21+'KB 20'!F21+'KB 21'!F21+'KB 22'!F21+#REF!+'KB23'!F21+'KB24'!F21+'KB25'!F21+'KB26'!F21+'KB27'!F21+#REF!</f>
        <v>#REF!</v>
      </c>
      <c r="G21" s="1474" t="e">
        <f>'KB 01'!G21+'KB 02'!G21+'KB 03'!G21+'KB 04'!G21+'KB 05'!G21+'KB 06'!G21+'KB 07'!G21+'KB 08'!G21+'KB 09'!G21+'KB 10'!G21+'KB 11'!G21+'KB 12'!G21+'KB 13'!G21+'KB 14'!G21+'KB 15'!G21+'KB 16'!G21+'KB 17'!G21+'KB 18'!G21+'KB 19'!G21+'KB 20'!G21+'KB 21'!G21+'KB 22'!G21+#REF!+'KB23'!G21+'KB24'!G21+'KB25'!G21+'KB26'!G21+'KB27'!G21+#REF!</f>
        <v>#REF!</v>
      </c>
      <c r="H21" s="30"/>
      <c r="I21" s="1472" t="str">
        <f>'(G1) Fjalori'!A389</f>
        <v>VLERËSIMI I TË ARDHURAVE ME DESTINACION</v>
      </c>
      <c r="J21" s="1473"/>
      <c r="K21" s="1473"/>
      <c r="L21" s="1473"/>
      <c r="M21" s="1473"/>
      <c r="N21" s="1473"/>
      <c r="O21" s="1474"/>
    </row>
    <row r="22" spans="1:15" ht="12.75" x14ac:dyDescent="0.2">
      <c r="A22" s="134" t="str">
        <f>'(G1) Fjalori'!A360</f>
        <v>Pagat</v>
      </c>
      <c r="B22" s="1475">
        <f>'(G1) Fjalori'!C360</f>
        <v>600</v>
      </c>
      <c r="C22" s="1476"/>
      <c r="D22" s="1477"/>
      <c r="E22" s="267">
        <f>'KB 01'!E22+'KB 02'!E22+'KB 03'!E22+'KB 04'!E22+'KB 05'!E22+'KB 06'!E22+'KB 07'!E22+'KB 08'!E22+'KB 09'!E22+'KB 10'!E22+'KB 11'!E22+'KB 12'!E22+'KB 13'!E22+'KB 14'!E22+'KB 15'!E22+'KB 16'!E22+'KB 17'!E22+'KB 18'!E22+'KB 19'!E22+'KB 20'!E22+'KB 21'!E22+'KB 22'!E22+'KB23'!E22+'KB24'!E22+'KB25'!E22+'KB26'!E22+'KB27'!E22</f>
        <v>0</v>
      </c>
      <c r="F22" s="267">
        <f>'KB 01'!F22+'KB 02'!F22+'KB 03'!F22+'KB 04'!F22+'KB 05'!F22+'KB 06'!F22+'KB 07'!F22+'KB 08'!F22+'KB 09'!F22+'KB 10'!F22+'KB 11'!F22+'KB 12'!F22+'KB 13'!F22+'KB 14'!F22+'KB 15'!F22+'KB 16'!F22+'KB 17'!F22+'KB 18'!F22+'KB 19'!F22+'KB 20'!F22+'KB 21'!F22+'KB 22'!F22+'KB23'!F22+'KB24'!F22+'KB25'!F22+'KB26'!F22+'KB27'!F22</f>
        <v>0</v>
      </c>
      <c r="G22" s="267">
        <f>'KB 01'!G22+'KB 02'!G22+'KB 03'!G22+'KB 04'!G22+'KB 05'!G22+'KB 06'!G22+'KB 07'!G22+'KB 08'!G22+'KB 09'!G22+'KB 10'!G22+'KB 11'!G22+'KB 12'!G22+'KB 13'!G22+'KB 14'!G22+'KB 15'!G22+'KB 16'!G22+'KB 17'!G22+'KB 18'!G22+'KB 19'!G22+'KB 20'!G22+'KB 21'!G22+'KB 22'!G22+'KB23'!G22+'KB24'!G22+'KB25'!G22+'KB26'!G22+'KB27'!G22</f>
        <v>0</v>
      </c>
      <c r="H22" s="30"/>
      <c r="I22" s="355" t="str">
        <f>'(G1) Fjalori'!A390</f>
        <v>Transferta e kushtëzuar</v>
      </c>
      <c r="J22" s="861"/>
      <c r="K22" s="862"/>
      <c r="L22" s="863"/>
      <c r="M22" s="267">
        <f>'KB 01'!M23+'KB 02'!M23+'KB 03'!M23+'KB 04'!M23+'KB 05'!M23+'KB 06'!M23+'KB 07'!M23+'KB 08'!M23+'KB 09'!M23+'KB 10'!M23+'KB 11'!M23+'KB 12'!M23+'KB 13'!M23+'KB 14'!M23+'KB 15'!M23+'KB 16'!M23+'KB 17'!M23+'KB 18'!M23+'KB 19'!M23+'KB 20'!M23+'KB 21'!M23+'KB 22'!M23+'KB23'!M23+'KB24'!M23+'KB25'!M23+'KB26'!M23+'KB27'!M23</f>
        <v>944008000</v>
      </c>
      <c r="N22" s="267">
        <f>'KB 01'!N23+'KB 02'!N23+'KB 03'!N23+'KB 04'!N23+'KB 05'!N23+'KB 06'!N23+'KB 07'!N23+'KB 08'!N23+'KB 09'!N23+'KB 10'!N23+'KB 11'!N23+'KB 12'!N23+'KB 13'!N23+'KB 14'!N23+'KB 15'!N23+'KB 16'!N23+'KB 17'!N23+'KB 18'!N23+'KB 19'!N23+'KB 20'!N23+'KB 21'!N23+'KB 22'!N23+'KB23'!N23+'KB24'!N23+'KB25'!N23+'KB26'!N23+'KB27'!N23</f>
        <v>944008000</v>
      </c>
      <c r="O22" s="267">
        <f>'KB 01'!O23+'KB 02'!O23+'KB 03'!O23+'KB 04'!O23+'KB 05'!O23+'KB 06'!O23+'KB 07'!O23+'KB 08'!O23+'KB 09'!O23+'KB 10'!O23+'KB 11'!O23+'KB 12'!O23+'KB 13'!O23+'KB 14'!O23+'KB 15'!O23+'KB 16'!O23+'KB 17'!O23+'KB 18'!O23+'KB 19'!O23+'KB 20'!O23+'KB 21'!O23+'KB 22'!O23+'KB23'!O23+'KB24'!O23+'KB25'!O23+'KB26'!O23+'KB27'!O23</f>
        <v>944008000</v>
      </c>
    </row>
    <row r="23" spans="1:15" ht="12.75" x14ac:dyDescent="0.2">
      <c r="A23" s="134" t="str">
        <f>'(G1) Fjalori'!A361</f>
        <v>Sigurimet Shoqërore</v>
      </c>
      <c r="B23" s="1475">
        <f>'(G1) Fjalori'!C361</f>
        <v>601</v>
      </c>
      <c r="C23" s="1476"/>
      <c r="D23" s="1477"/>
      <c r="E23" s="267">
        <f>'KB 01'!E23+'KB 02'!E23+'KB 03'!E23+'KB 04'!E23+'KB 05'!E23+'KB 06'!E23+'KB 07'!E23+'KB 08'!E23+'KB 09'!E23+'KB 10'!E23+'KB 11'!E23+'KB 12'!E23+'KB 13'!E23+'KB 14'!E23+'KB 15'!E23+'KB 16'!E23+'KB 17'!E23+'KB 18'!E23+'KB 19'!E23+'KB 20'!E23+'KB 21'!E23+'KB 22'!E23+'KB23'!E23+'KB24'!E23+'KB25'!E23+'KB26'!E23+'KB27'!E23</f>
        <v>0</v>
      </c>
      <c r="F23" s="267">
        <f>'KB 01'!F23+'KB 02'!F23+'KB 03'!F23+'KB 04'!F23+'KB 05'!F23+'KB 06'!F23+'KB 07'!F23+'KB 08'!F23+'KB 09'!F23+'KB 10'!F23+'KB 11'!F23+'KB 12'!F23+'KB 13'!F23+'KB 14'!F23+'KB 15'!F23+'KB 16'!F23+'KB 17'!F23+'KB 18'!F23+'KB 19'!F23+'KB 20'!F23+'KB 21'!F23+'KB 22'!F23+'KB23'!F23+'KB24'!F23+'KB25'!F23+'KB26'!F23+'KB27'!F23</f>
        <v>0</v>
      </c>
      <c r="G23" s="267">
        <f>'KB 01'!G23+'KB 02'!G23+'KB 03'!G23+'KB 04'!G23+'KB 05'!G23+'KB 06'!G23+'KB 07'!G23+'KB 08'!G23+'KB 09'!G23+'KB 10'!G23+'KB 11'!G23+'KB 12'!G23+'KB 13'!G23+'KB 14'!G23+'KB 15'!G23+'KB 16'!G23+'KB 17'!G23+'KB 18'!G23+'KB 19'!G23+'KB 20'!G23+'KB 21'!G23+'KB 22'!G23+'KB23'!G23+'KB24'!G23+'KB25'!G23+'KB26'!G23+'KB27'!G23</f>
        <v>0</v>
      </c>
      <c r="H23" s="30"/>
      <c r="I23" s="355" t="str">
        <f>'(G1) Fjalori'!A391</f>
        <v>Trasferta Specifike</v>
      </c>
      <c r="J23" s="864"/>
      <c r="K23" s="865"/>
      <c r="L23" s="866"/>
      <c r="M23" s="267">
        <f>'KB 01'!M24+'KB 02'!M24+'KB 03'!M24+'KB 04'!M24+'KB 05'!M24+'KB 06'!M24+'KB 07'!M24+'KB 08'!M24+'KB 09'!M24+'KB 10'!M24+'KB 11'!M24+'KB 12'!M24+'KB 13'!M24+'KB 14'!M24+'KB 15'!M24+'KB 16'!M24+'KB 17'!M24+'KB 18'!M24+'KB 19'!M24+'KB 20'!M24+'KB 21'!M24+'KB 22'!M24+'KB23'!M24+'KB24'!M24+'KB25'!M24+'KB26'!M24+'KB27'!M24</f>
        <v>202809000</v>
      </c>
      <c r="N23" s="267">
        <f>'KB 01'!N24+'KB 02'!N24+'KB 03'!N24+'KB 04'!N24+'KB 05'!N24+'KB 06'!N24+'KB 07'!N24+'KB 08'!N24+'KB 09'!N24+'KB 10'!N24+'KB 11'!N24+'KB 12'!N24+'KB 13'!N24+'KB 14'!N24+'KB 15'!N24+'KB 16'!N24+'KB 17'!N24+'KB 18'!N24+'KB 19'!N24+'KB 20'!N24+'KB 21'!N24+'KB 22'!N24+'KB23'!N24+'KB24'!N24+'KB25'!N24+'KB26'!N24+'KB27'!N24</f>
        <v>202824000</v>
      </c>
      <c r="O23" s="267">
        <f>'KB 01'!O24+'KB 02'!O24+'KB 03'!O24+'KB 04'!O24+'KB 05'!O24+'KB 06'!O24+'KB 07'!O24+'KB 08'!O24+'KB 09'!O24+'KB 10'!O24+'KB 11'!O24+'KB 12'!O24+'KB 13'!O24+'KB 14'!O24+'KB 15'!O24+'KB 16'!O24+'KB 17'!O24+'KB 18'!O24+'KB 19'!O24+'KB 20'!O24+'KB 21'!O24+'KB 22'!O24+'KB23'!O24+'KB24'!O24+'KB25'!O24+'KB26'!O24+'KB27'!O24</f>
        <v>202869000</v>
      </c>
    </row>
    <row r="24" spans="1:15" ht="12.75" x14ac:dyDescent="0.2">
      <c r="A24" s="134" t="str">
        <f>'(G1) Fjalori'!A362</f>
        <v>Mallra dhe shërbime</v>
      </c>
      <c r="B24" s="1475">
        <f>'(G1) Fjalori'!C362</f>
        <v>602</v>
      </c>
      <c r="C24" s="1476"/>
      <c r="D24" s="1477"/>
      <c r="E24" s="267">
        <f>'KB 01'!E24+'KB 02'!E24+'KB 03'!E24+'KB 04'!E24+'KB 05'!E24+'KB 06'!E24+'KB 07'!E24+'KB 08'!E24+'KB 09'!E24+'KB 10'!E24+'KB 11'!E24+'KB 12'!E24+'KB 13'!E24+'KB 14'!E24+'KB 15'!E24+'KB 16'!E24+'KB 17'!E24+'KB 18'!E24+'KB 19'!E24+'KB 20'!E24+'KB 21'!E24+'KB 22'!E24+'KB23'!E24+'KB24'!E24+'KB25'!E24+'KB26'!E24+'KB27'!E24</f>
        <v>0</v>
      </c>
      <c r="F24" s="267">
        <f>'KB 01'!F24+'KB 02'!F24+'KB 03'!F24+'KB 04'!F24+'KB 05'!F24+'KB 06'!F24+'KB 07'!F24+'KB 08'!F24+'KB 09'!F24+'KB 10'!F24+'KB 11'!F24+'KB 12'!F24+'KB 13'!F24+'KB 14'!F24+'KB 15'!F24+'KB 16'!F24+'KB 17'!F24+'KB 18'!F24+'KB 19'!F24+'KB 20'!F24+'KB 21'!F24+'KB 22'!F24+'KB23'!F24+'KB24'!F24+'KB25'!F24+'KB26'!F24+'KB27'!F24</f>
        <v>0</v>
      </c>
      <c r="G24" s="267">
        <f>'KB 01'!G24+'KB 02'!G24+'KB 03'!G24+'KB 04'!G24+'KB 05'!G24+'KB 06'!G24+'KB 07'!G24+'KB 08'!G24+'KB 09'!G24+'KB 10'!G24+'KB 11'!G24+'KB 12'!G24+'KB 13'!G24+'KB 14'!G24+'KB 15'!G24+'KB 16'!G24+'KB 17'!G24+'KB 18'!G24+'KB 19'!G24+'KB 20'!G24+'KB 21'!G24+'KB 22'!G24+'KB23'!G24+'KB24'!G24+'KB25'!G24+'KB26'!G24+'KB27'!G24</f>
        <v>0</v>
      </c>
      <c r="H24" s="52"/>
      <c r="I24" s="355" t="str">
        <f>'(G1) Fjalori'!A392</f>
        <v>Trashëgimi me destinacion</v>
      </c>
      <c r="J24" s="864"/>
      <c r="K24" s="865"/>
      <c r="L24" s="866"/>
      <c r="M24" s="267">
        <f>'KB 01'!M25+'KB 02'!M25+'KB 03'!M25+'KB 04'!M25+'KB 05'!M25+'KB 06'!M25+'KB 07'!M25+'KB 08'!M25+'KB 09'!M25+'KB 10'!M25+'KB 11'!M25+'KB 12'!M25+'KB 13'!M25+'KB 14'!M25+'KB 15'!M25+'KB 16'!M25+'KB 17'!M25+'KB 18'!M25+'KB 19'!M25+'KB 20'!M25+'KB 21'!M25+'KB 22'!M25+'KB23'!M25+'KB24'!M25+'KB25'!M25+'KB26'!M25+'KB27'!M25</f>
        <v>0</v>
      </c>
      <c r="N24" s="267">
        <f>'KB 01'!N25+'KB 02'!N25+'KB 03'!N25+'KB 04'!N25+'KB 05'!N25+'KB 06'!N25+'KB 07'!N25+'KB 08'!N25+'KB 09'!N25+'KB 10'!N25+'KB 11'!N25+'KB 12'!N25+'KB 13'!N25+'KB 14'!N25+'KB 15'!N25+'KB 16'!N25+'KB 17'!N25+'KB 18'!N25+'KB 19'!N25+'KB 20'!N25+'KB 21'!N25+'KB 22'!N25+'KB23'!N25+'KB24'!N25+'KB25'!N25+'KB26'!N25+'KB27'!N25</f>
        <v>0</v>
      </c>
      <c r="O24" s="267">
        <f>'KB 01'!O25+'KB 02'!O25+'KB 03'!O25+'KB 04'!O25+'KB 05'!O25+'KB 06'!O25+'KB 07'!O25+'KB 08'!O25+'KB 09'!O25+'KB 10'!O25+'KB 11'!O25+'KB 12'!O25+'KB 13'!O25+'KB 14'!O25+'KB 15'!O25+'KB 16'!O25+'KB 17'!O25+'KB 18'!O25+'KB 19'!O25+'KB 20'!O25+'KB 21'!O25+'KB 22'!O25+'KB23'!O25+'KB24'!O25+'KB25'!O25+'KB26'!O25+'KB27'!O25</f>
        <v>0</v>
      </c>
    </row>
    <row r="25" spans="1:15" ht="12.75" x14ac:dyDescent="0.2">
      <c r="A25" s="134" t="str">
        <f>'(G1) Fjalori'!A363</f>
        <v>Subvencione</v>
      </c>
      <c r="B25" s="1475">
        <f>'(G1) Fjalori'!C363</f>
        <v>603</v>
      </c>
      <c r="C25" s="1476"/>
      <c r="D25" s="1477"/>
      <c r="E25" s="267">
        <f>'KB 01'!E25+'KB 02'!E25+'KB 03'!E25+'KB 04'!E25+'KB 05'!E25+'KB 06'!E25+'KB 07'!E25+'KB 08'!E25+'KB 09'!E25+'KB 10'!E25+'KB 11'!E25+'KB 12'!E25+'KB 13'!E25+'KB 14'!E25+'KB 15'!E25+'KB 16'!E25+'KB 17'!E25+'KB 18'!E25+'KB 19'!E25+'KB 20'!E25+'KB 21'!E25+'KB 22'!E25+'KB23'!E25+'KB24'!E25+'KB25'!E25+'KB26'!E25+'KB27'!E25</f>
        <v>0</v>
      </c>
      <c r="F25" s="267">
        <f>'KB 01'!F25+'KB 02'!F25+'KB 03'!F25+'KB 04'!F25+'KB 05'!F25+'KB 06'!F25+'KB 07'!F25+'KB 08'!F25+'KB 09'!F25+'KB 10'!F25+'KB 11'!F25+'KB 12'!F25+'KB 13'!F25+'KB 14'!F25+'KB 15'!F25+'KB 16'!F25+'KB 17'!F25+'KB 18'!F25+'KB 19'!F25+'KB 20'!F25+'KB 21'!F25+'KB 22'!F25+'KB23'!F25+'KB24'!F25+'KB25'!F25+'KB26'!F25+'KB27'!F25</f>
        <v>0</v>
      </c>
      <c r="G25" s="267">
        <f>'KB 01'!G25+'KB 02'!G25+'KB 03'!G25+'KB 04'!G25+'KB 05'!G25+'KB 06'!G25+'KB 07'!G25+'KB 08'!G25+'KB 09'!G25+'KB 10'!G25+'KB 11'!G25+'KB 12'!G25+'KB 13'!G25+'KB 14'!G25+'KB 15'!G25+'KB 16'!G25+'KB 17'!G25+'KB 18'!G25+'KB 19'!G25+'KB 20'!G25+'KB 21'!G25+'KB 22'!G25+'KB23'!G25+'KB24'!G25+'KB25'!G25+'KB26'!G25+'KB27'!G25</f>
        <v>0</v>
      </c>
      <c r="H25" s="8"/>
      <c r="I25" s="355" t="str">
        <f>'(G1) Fjalori'!A393</f>
        <v>Burime të tjera (përfshirë gjobat)</v>
      </c>
      <c r="J25" s="867"/>
      <c r="K25" s="868"/>
      <c r="L25" s="869"/>
      <c r="M25" s="267">
        <f>'KB 01'!M26+'KB 02'!M26+'KB 03'!M26+'KB 04'!M26+'KB 05'!M26+'KB 06'!M26+'KB 07'!M26+'KB 08'!M26+'KB 09'!M26+'KB 10'!M26+'KB 11'!M26+'KB 12'!M26+'KB 13'!M26+'KB 14'!M26+'KB 15'!M26+'KB 16'!M26+'KB 17'!M26+'KB 18'!M26+'KB 19'!M26+'KB 20'!M26+'KB 21'!M26+'KB 22'!M26+'KB23'!M26+'KB24'!M26+'KB25'!M26+'KB26'!M26+'KB27'!M26</f>
        <v>0</v>
      </c>
      <c r="N25" s="267">
        <f>'KB 01'!N26+'KB 02'!N26+'KB 03'!N26+'KB 04'!N26+'KB 05'!N26+'KB 06'!N26+'KB 07'!N26+'KB 08'!N26+'KB 09'!N26+'KB 10'!N26+'KB 11'!N26+'KB 12'!N26+'KB 13'!N26+'KB 14'!N26+'KB 15'!N26+'KB 16'!N26+'KB 17'!N26+'KB 18'!N26+'KB 19'!N26+'KB 20'!N26+'KB 21'!N26+'KB 22'!N26+'KB23'!N26+'KB24'!N26+'KB25'!N26+'KB26'!N26+'KB27'!N26</f>
        <v>0</v>
      </c>
      <c r="O25" s="267">
        <f>'KB 01'!O26+'KB 02'!O26+'KB 03'!O26+'KB 04'!O26+'KB 05'!O26+'KB 06'!O26+'KB 07'!O26+'KB 08'!O26+'KB 09'!O26+'KB 10'!O26+'KB 11'!O26+'KB 12'!O26+'KB 13'!O26+'KB 14'!O26+'KB 15'!O26+'KB 16'!O26+'KB 17'!O26+'KB 18'!O26+'KB 19'!O26+'KB 20'!O26+'KB 21'!O26+'KB 22'!O26+'KB23'!O26+'KB24'!O26+'KB25'!O26+'KB26'!O26+'KB27'!O26</f>
        <v>0</v>
      </c>
    </row>
    <row r="26" spans="1:15" ht="12.75" x14ac:dyDescent="0.2">
      <c r="A26" s="134" t="str">
        <f>'(G1) Fjalori'!A364</f>
        <v>Të tjera transferta korrente të brendshme</v>
      </c>
      <c r="B26" s="1475">
        <f>'(G1) Fjalori'!C364</f>
        <v>604</v>
      </c>
      <c r="C26" s="1476"/>
      <c r="D26" s="1477"/>
      <c r="E26" s="267">
        <f>'KB 01'!E26+'KB 02'!E26+'KB 03'!E26+'KB 04'!E26+'KB 05'!E26+'KB 06'!E26+'KB 07'!E26+'KB 08'!E26+'KB 09'!E26+'KB 10'!E26+'KB 11'!E26+'KB 12'!E26+'KB 13'!E26+'KB 14'!E26+'KB 15'!E26+'KB 16'!E26+'KB 17'!E26+'KB 18'!E26+'KB 19'!E26+'KB 20'!E26+'KB 21'!E26+'KB 22'!E26+'KB23'!E26+'KB24'!E26+'KB25'!E26+'KB26'!E26+'KB27'!E26</f>
        <v>0</v>
      </c>
      <c r="F26" s="267">
        <f>'KB 01'!F26+'KB 02'!F26+'KB 03'!F26+'KB 04'!F26+'KB 05'!F26+'KB 06'!F26+'KB 07'!F26+'KB 08'!F26+'KB 09'!F26+'KB 10'!F26+'KB 11'!F26+'KB 12'!F26+'KB 13'!F26+'KB 14'!F26+'KB 15'!F26+'KB 16'!F26+'KB 17'!F26+'KB 18'!F26+'KB 19'!F26+'KB 20'!F26+'KB 21'!F26+'KB 22'!F26+'KB23'!F26+'KB24'!F26+'KB25'!F26+'KB26'!F26+'KB27'!F26</f>
        <v>0</v>
      </c>
      <c r="G26" s="267">
        <f>'KB 01'!G26+'KB 02'!G26+'KB 03'!G26+'KB 04'!G26+'KB 05'!G26+'KB 06'!G26+'KB 07'!G26+'KB 08'!G26+'KB 09'!G26+'KB 10'!G26+'KB 11'!G26+'KB 12'!G26+'KB 13'!G26+'KB 14'!G26+'KB 15'!G26+'KB 16'!G26+'KB 17'!G26+'KB 18'!G26+'KB 19'!G26+'KB 20'!G26+'KB 21'!G26+'KB 22'!G26+'KB23'!G26+'KB24'!G26+'KB25'!G26+'KB26'!G26+'KB27'!G26</f>
        <v>0</v>
      </c>
      <c r="H26" s="52"/>
      <c r="I26" s="355" t="str">
        <f>'(G1) Fjalori'!A394</f>
        <v>VLERËSIMI I TË ARDHURAVE ME DESTINACION</v>
      </c>
      <c r="J26" s="33">
        <f>'KB 01'!J27+'KB 02'!J27+'KB 03'!J27+'KB 04'!J27+'KB 05'!J27+'KB 06'!J27+'KB 07'!J27+'KB 08'!J27+'KB 09'!J27+'KB 10'!J27+'KB 11'!J27+'KB 12'!J27+'KB 13'!J27+'KB 14'!J27+'KB 15'!J27+'KB 16'!J27+'KB 17'!J27+'KB 18'!J27+'KB 19'!J27+'KB 20'!J27+'KB 21'!J27+'KB 22'!J27+'KB23'!J27+'KB24'!J27+'KB25'!J27+'KB26'!J27+'KB27'!J27</f>
        <v>964665757</v>
      </c>
      <c r="K26" s="33">
        <f>'KB 01'!K27+'KB 02'!K27+'KB 03'!K27+'KB 04'!K27+'KB 05'!K27+'KB 06'!K27+'KB 07'!K27+'KB 08'!K27+'KB 09'!K27+'KB 10'!K27+'KB 11'!K27+'KB 12'!K27+'KB 13'!K27+'KB 14'!K27+'KB 15'!K27+'KB 16'!K27+'KB 17'!K27+'KB 18'!K27+'KB 19'!K27+'KB 20'!K27+'KB 21'!K27+'KB 22'!K27+'KB23'!K27+'KB24'!K27+'KB25'!K27+'KB26'!K27+'KB27'!K27</f>
        <v>1196338455</v>
      </c>
      <c r="L26" s="33">
        <f>'KB 01'!L27+'KB 02'!L27+'KB 03'!L27+'KB 04'!L27+'KB 05'!L27+'KB 06'!L27+'KB 07'!L27+'KB 08'!L27+'KB 09'!L27+'KB 10'!L27+'KB 11'!L27+'KB 12'!L27+'KB 13'!L27+'KB 14'!L27+'KB 15'!L27+'KB 16'!L27+'KB 17'!L27+'KB 18'!L27+'KB 19'!L27+'KB 20'!L27+'KB 21'!L27+'KB 22'!L27+'KB23'!L27+'KB24'!L27+'KB25'!L27+'KB26'!L27+'KB27'!L27</f>
        <v>1208920079</v>
      </c>
      <c r="M26" s="126">
        <f>'KB 01'!M27+'KB 02'!M27+'KB 03'!M27+'KB 04'!M27+'KB 05'!M27+'KB 06'!M27+'KB 07'!M27+'KB 08'!M27+'KB 09'!M27+'KB 10'!M27+'KB 11'!M27+'KB 12'!M27+'KB 13'!M27+'KB 14'!M27+'KB 15'!M27+'KB 16'!M27+'KB 17'!M27+'KB 18'!M27+'KB 19'!M27+'KB 20'!M27+'KB 21'!M27+'KB 22'!M27+'KB23'!M27+'KB24'!M27+'KB25'!M27+'KB26'!M27+'KB27'!M27</f>
        <v>1146817000</v>
      </c>
      <c r="N26" s="126">
        <f>'KB 01'!N27+'KB 02'!N27+'KB 03'!N27+'KB 04'!N27+'KB 05'!N27+'KB 06'!N27+'KB 07'!N27+'KB 08'!N27+'KB 09'!N27+'KB 10'!N27+'KB 11'!N27+'KB 12'!N27+'KB 13'!N27+'KB 14'!N27+'KB 15'!N27+'KB 16'!N27+'KB 17'!N27+'KB 18'!N27+'KB 19'!N27+'KB 20'!N27+'KB 21'!N27+'KB 22'!N27+'KB23'!N27+'KB24'!N27+'KB25'!N27+'KB26'!N27+'KB27'!N27</f>
        <v>1146832000</v>
      </c>
      <c r="O26" s="126">
        <f>'KB 01'!O27+'KB 02'!O27+'KB 03'!O27+'KB 04'!O27+'KB 05'!O27+'KB 06'!O27+'KB 07'!O27+'KB 08'!O27+'KB 09'!O27+'KB 10'!O27+'KB 11'!O27+'KB 12'!O27+'KB 13'!O27+'KB 14'!O27+'KB 15'!O27+'KB 16'!O27+'KB 17'!O27+'KB 18'!O27+'KB 19'!O27+'KB 20'!O27+'KB 21'!O27+'KB 22'!O27+'KB23'!O27+'KB24'!O27+'KB25'!O27+'KB26'!O27+'KB27'!O27</f>
        <v>1146877000</v>
      </c>
    </row>
    <row r="27" spans="1:15" ht="12.75" x14ac:dyDescent="0.2">
      <c r="A27" s="134" t="str">
        <f>'(G1) Fjalori'!A365</f>
        <v>Transferta korrente të huaja</v>
      </c>
      <c r="B27" s="1475">
        <f>'(G1) Fjalori'!C365</f>
        <v>605</v>
      </c>
      <c r="C27" s="1476"/>
      <c r="D27" s="1477"/>
      <c r="E27" s="267">
        <f>'KB 01'!E27+'KB 02'!E27+'KB 03'!E27+'KB 04'!E27+'KB 05'!E27+'KB 06'!E27+'KB 07'!E27+'KB 08'!E27+'KB 09'!E27+'KB 10'!E27+'KB 11'!E27+'KB 12'!E27+'KB 13'!E27+'KB 14'!E27+'KB 15'!E27+'KB 16'!E27+'KB 17'!E27+'KB 18'!E27+'KB 19'!E27+'KB 20'!E27+'KB 21'!E27+'KB 22'!E27+'KB23'!E27+'KB24'!E27+'KB25'!E27+'KB26'!E27+'KB27'!E27</f>
        <v>0</v>
      </c>
      <c r="F27" s="267">
        <f>'KB 01'!F27+'KB 02'!F27+'KB 03'!F27+'KB 04'!F27+'KB 05'!F27+'KB 06'!F27+'KB 07'!F27+'KB 08'!F27+'KB 09'!F27+'KB 10'!F27+'KB 11'!F27+'KB 12'!F27+'KB 13'!F27+'KB 14'!F27+'KB 15'!F27+'KB 16'!F27+'KB 17'!F27+'KB 18'!F27+'KB 19'!F27+'KB 20'!F27+'KB 21'!F27+'KB 22'!F27+'KB23'!F27+'KB24'!F27+'KB25'!F27+'KB26'!F27+'KB27'!F27</f>
        <v>0</v>
      </c>
      <c r="G27" s="267">
        <f>'KB 01'!G27+'KB 02'!G27+'KB 03'!G27+'KB 04'!G27+'KB 05'!G27+'KB 06'!G27+'KB 07'!G27+'KB 08'!G27+'KB 09'!G27+'KB 10'!G27+'KB 11'!G27+'KB 12'!G27+'KB 13'!G27+'KB 14'!G27+'KB 15'!G27+'KB 16'!G27+'KB 17'!G27+'KB 18'!G27+'KB 19'!G27+'KB 20'!G27+'KB 21'!G27+'KB 22'!G27+'KB23'!G27+'KB24'!G27+'KB25'!G27+'KB26'!G27+'KB27'!G27</f>
        <v>0</v>
      </c>
      <c r="H27" s="52"/>
    </row>
    <row r="28" spans="1:15" ht="12.75" x14ac:dyDescent="0.2">
      <c r="A28" s="134" t="str">
        <f>'(G1) Fjalori'!A366</f>
        <v>Transferta për Buxhetet Familiare dhe Individët</v>
      </c>
      <c r="B28" s="1475">
        <f>'(G1) Fjalori'!C366</f>
        <v>606</v>
      </c>
      <c r="C28" s="1476"/>
      <c r="D28" s="1477"/>
      <c r="E28" s="267">
        <f>'KB 01'!E28+'KB 02'!E28+'KB 03'!E28+'KB 04'!E28+'KB 05'!E28+'KB 06'!E28+'KB 07'!E28+'KB 08'!E28+'KB 09'!E28+'KB 10'!E28+'KB 11'!E28+'KB 12'!E28+'KB 13'!E28+'KB 14'!E28+'KB 15'!E28+'KB 16'!E28+'KB 17'!E28+'KB 18'!E28+'KB 19'!E28+'KB 20'!E28+'KB 21'!E28+'KB 22'!E28+'KB23'!E28+'KB24'!E28+'KB25'!E28+'KB26'!E28+'KB27'!E28</f>
        <v>0</v>
      </c>
      <c r="F28" s="267">
        <f>'KB 01'!F28+'KB 02'!F28+'KB 03'!F28+'KB 04'!F28+'KB 05'!F28+'KB 06'!F28+'KB 07'!F28+'KB 08'!F28+'KB 09'!F28+'KB 10'!F28+'KB 11'!F28+'KB 12'!F28+'KB 13'!F28+'KB 14'!F28+'KB 15'!F28+'KB 16'!F28+'KB 17'!F28+'KB 18'!F28+'KB 19'!F28+'KB 20'!F28+'KB 21'!F28+'KB 22'!F28+'KB23'!F28+'KB24'!F28+'KB25'!F28+'KB26'!F28+'KB27'!F28</f>
        <v>0</v>
      </c>
      <c r="G28" s="267">
        <f>'KB 01'!G28+'KB 02'!G28+'KB 03'!G28+'KB 04'!G28+'KB 05'!G28+'KB 06'!G28+'KB 07'!G28+'KB 08'!G28+'KB 09'!G28+'KB 10'!G28+'KB 11'!G28+'KB 12'!G28+'KB 13'!G28+'KB 14'!G28+'KB 15'!G28+'KB 16'!G28+'KB 17'!G28+'KB 18'!G28+'KB 19'!G28+'KB 20'!G28+'KB 21'!G28+'KB 22'!G28+'KB23'!G28+'KB24'!G28+'KB25'!G28+'KB26'!G28+'KB27'!G28</f>
        <v>0</v>
      </c>
      <c r="H28" s="52"/>
      <c r="I28" s="134" t="str">
        <f>'(G1) Fjalori'!A395</f>
        <v xml:space="preserve">TË ARDHURAT E PRITSHME </v>
      </c>
      <c r="J28" s="33">
        <f>'KB 01'!J29+'KB 02'!J29+'KB 03'!J29+'KB 04'!J29+'KB 05'!J29+'KB 06'!J29+'KB 07'!J29+'KB 08'!J29+'KB 09'!J29+'KB 10'!J29+'KB 11'!J29+'KB 12'!J29+'KB 13'!J29+'KB 14'!J29+'KB 15'!J29+'KB 16'!J29+'KB 17'!J29+'KB 18'!J29+'KB 19'!J29+'KB 20'!J29+'KB 21'!J29+'KB 22'!J29+'KB23'!J29+'KB24'!J29+'KB25'!J29+'KB26'!J29+'KB27'!J29</f>
        <v>1255605118</v>
      </c>
      <c r="K28" s="33">
        <f>'KB 01'!K29+'KB 02'!K29+'KB 03'!K29+'KB 04'!K29+'KB 05'!K29+'KB 06'!K29+'KB 07'!K29+'KB 08'!K29+'KB 09'!K29+'KB 10'!K29+'KB 11'!K29+'KB 12'!K29+'KB 13'!K29+'KB 14'!K29+'KB 15'!K29+'KB 16'!K29+'KB 17'!K29+'KB 18'!K29+'KB 19'!K29+'KB 20'!K29+'KB 21'!K29+'KB 22'!K29+'KB23'!K29+'KB24'!K29+'KB25'!K29+'KB26'!K29+'KB27'!K29</f>
        <v>1346974501</v>
      </c>
      <c r="L28" s="33">
        <f>'KB 01'!L29+'KB 02'!L29+'KB 03'!L29+'KB 04'!L29+'KB 05'!L29+'KB 06'!L29+'KB 07'!L29+'KB 08'!L29+'KB 09'!L29+'KB 10'!L29+'KB 11'!L29+'KB 12'!L29+'KB 13'!L29+'KB 14'!L29+'KB 15'!L29+'KB 16'!L29+'KB 17'!L29+'KB 18'!L29+'KB 19'!L29+'KB 20'!L29+'KB 21'!L29+'KB 22'!L29+'KB23'!L29+'KB24'!L29+'KB25'!L29+'KB26'!L29+'KB27'!L29</f>
        <v>1797956800</v>
      </c>
      <c r="M28" s="126">
        <f>'KB 01'!M29+'KB 02'!M29+'KB 03'!M29+'KB 04'!M29+'KB 05'!M29+'KB 06'!M29+'KB 07'!M29+'KB 08'!M29+'KB 09'!M29+'KB 10'!M29+'KB 11'!M29+'KB 12'!M29+'KB 13'!M29+'KB 14'!M29+'KB 15'!M29+'KB 16'!M29+'KB 17'!M29+'KB 18'!M29+'KB 19'!M29+'KB 20'!M29+'KB 21'!M29+'KB 22'!M29+'KB23'!M29+'KB24'!M29+'KB25'!M29+'KB26'!M29+'KB27'!M29</f>
        <v>1370338899</v>
      </c>
      <c r="N28" s="126">
        <f>'KB 01'!N29+'KB 02'!N29+'KB 03'!N29+'KB 04'!N29+'KB 05'!N29+'KB 06'!N29+'KB 07'!N29+'KB 08'!N29+'KB 09'!N29+'KB 10'!N29+'KB 11'!N29+'KB 12'!N29+'KB 13'!N29+'KB 14'!N29+'KB 15'!N29+'KB 16'!N29+'KB 17'!N29+'KB 18'!N29+'KB 19'!N29+'KB 20'!N29+'KB 21'!N29+'KB 22'!N29+'KB23'!N29+'KB24'!N29+'KB25'!N29+'KB26'!N29+'KB27'!N29</f>
        <v>1373642781</v>
      </c>
      <c r="O28" s="126">
        <f>'KB 01'!O29+'KB 02'!O29+'KB 03'!O29+'KB 04'!O29+'KB 05'!O29+'KB 06'!O29+'KB 07'!O29+'KB 08'!O29+'KB 09'!O29+'KB 10'!O29+'KB 11'!O29+'KB 12'!O29+'KB 13'!O29+'KB 14'!O29+'KB 15'!O29+'KB 16'!O29+'KB 17'!O29+'KB 18'!O29+'KB 19'!O29+'KB 20'!O29+'KB 21'!O29+'KB 22'!O29+'KB23'!O29+'KB24'!O29+'KB25'!O29+'KB26'!O29+'KB27'!O29</f>
        <v>1377089944</v>
      </c>
    </row>
    <row r="29" spans="1:15" ht="12.75" x14ac:dyDescent="0.2">
      <c r="A29" s="134" t="str">
        <f>'(G1) Fjalori'!A367</f>
        <v>Shpenzimet kapitale</v>
      </c>
      <c r="B29" s="1475" t="str">
        <f>'(G1) Fjalori'!C367</f>
        <v>230 / 231</v>
      </c>
      <c r="C29" s="1476"/>
      <c r="D29" s="1477"/>
      <c r="E29" s="267">
        <f>'KB 01'!E29+'KB 02'!E29+'KB 03'!E29+'KB 04'!E29+'KB 05'!E29+'KB 06'!E29+'KB 07'!E29+'KB 08'!E29+'KB 09'!E29+'KB 10'!E29+'KB 11'!E29+'KB 12'!E29+'KB 13'!E29+'KB 14'!E29+'KB 15'!E29+'KB 16'!E29+'KB 17'!E29+'KB 18'!E29+'KB 19'!E29+'KB 20'!E29+'KB 21'!E29+'KB 22'!E29+'KB23'!E29+'KB24'!E29+'KB25'!E29+'KB26'!E29+'KB27'!E29</f>
        <v>270280988</v>
      </c>
      <c r="F29" s="267">
        <f>'KB 01'!F29+'KB 02'!F29+'KB 03'!F29+'KB 04'!F29+'KB 05'!F29+'KB 06'!F29+'KB 07'!F29+'KB 08'!F29+'KB 09'!F29+'KB 10'!F29+'KB 11'!F29+'KB 12'!F29+'KB 13'!F29+'KB 14'!F29+'KB 15'!F29+'KB 16'!F29+'KB 17'!F29+'KB 18'!F29+'KB 19'!F29+'KB 20'!F29+'KB 21'!F29+'KB 22'!F29+'KB23'!F29+'KB24'!F29+'KB25'!F29+'KB26'!F29+'KB27'!F29</f>
        <v>209417260</v>
      </c>
      <c r="G29" s="267">
        <f>'KB 01'!G29+'KB 02'!G29+'KB 03'!G29+'KB 04'!G29+'KB 05'!G29+'KB 06'!G29+'KB 07'!G29+'KB 08'!G29+'KB 09'!G29+'KB 10'!G29+'KB 11'!G29+'KB 12'!G29+'KB 13'!G29+'KB 14'!G29+'KB 15'!G29+'KB 16'!G29+'KB 17'!G29+'KB 18'!G29+'KB 19'!G29+'KB 20'!G29+'KB 21'!G29+'KB 22'!G29+'KB23'!G29+'KB24'!G29+'KB25'!G29+'KB26'!G29+'KB27'!G29</f>
        <v>209773423</v>
      </c>
      <c r="H29" s="52"/>
    </row>
    <row r="30" spans="1:15" ht="12.75" x14ac:dyDescent="0.2">
      <c r="A30" s="134" t="str">
        <f>'(G1) Fjalori'!A368</f>
        <v>Rezerva</v>
      </c>
      <c r="B30" s="1475">
        <f>'(G1) Fjalori'!C368</f>
        <v>609</v>
      </c>
      <c r="C30" s="1476"/>
      <c r="D30" s="1477"/>
      <c r="E30" s="267">
        <f>'KB 01'!E30+'KB 02'!E30+'KB 03'!E30+'KB 04'!E30+'KB 05'!E30+'KB 06'!E30+'KB 07'!E30+'KB 08'!E30+'KB 09'!E30+'KB 10'!E30+'KB 11'!E30+'KB 12'!E30+'KB 13'!E30+'KB 14'!E30+'KB 15'!E30+'KB 16'!E30+'KB 17'!E30+'KB 18'!E30+'KB 19'!E30+'KB 20'!E30+'KB 21'!E30+'KB 22'!E30+'KB23'!E30+'KB24'!E30+'KB25'!E30+'KB26'!E30+'KB27'!E30</f>
        <v>0</v>
      </c>
      <c r="F30" s="267">
        <f>'KB 01'!F30+'KB 02'!F30+'KB 03'!F30+'KB 04'!F30+'KB 05'!F30+'KB 06'!F30+'KB 07'!F30+'KB 08'!F30+'KB 09'!F30+'KB 10'!F30+'KB 11'!F30+'KB 12'!F30+'KB 13'!F30+'KB 14'!F30+'KB 15'!F30+'KB 16'!F30+'KB 17'!F30+'KB 18'!F30+'KB 19'!F30+'KB 20'!F30+'KB 21'!F30+'KB 22'!F30+'KB23'!F30+'KB24'!F30+'KB25'!F30+'KB26'!F30+'KB27'!F30</f>
        <v>0</v>
      </c>
      <c r="G30" s="267">
        <f>'KB 01'!G30+'KB 02'!G30+'KB 03'!G30+'KB 04'!G30+'KB 05'!G30+'KB 06'!G30+'KB 07'!G30+'KB 08'!G30+'KB 09'!G30+'KB 10'!G30+'KB 11'!G30+'KB 12'!G30+'KB 13'!G30+'KB 14'!G30+'KB 15'!G30+'KB 16'!G30+'KB 17'!G30+'KB 18'!G30+'KB 19'!G30+'KB 20'!G30+'KB 21'!G30+'KB 22'!G30+'KB23'!G30+'KB24'!G30+'KB25'!G30+'KB26'!G30+'KB27'!G30</f>
        <v>0</v>
      </c>
      <c r="H30" s="52"/>
    </row>
    <row r="31" spans="1:15" ht="12.75" x14ac:dyDescent="0.2">
      <c r="A31" s="134" t="str">
        <f>'(G1) Fjalori'!A369</f>
        <v>Interesa per kredi direkte ose bono</v>
      </c>
      <c r="B31" s="1475">
        <f>'(G1) Fjalori'!C369</f>
        <v>650</v>
      </c>
      <c r="C31" s="1476"/>
      <c r="D31" s="1477"/>
      <c r="E31" s="267">
        <f>'KB 01'!E31+'KB 02'!E31+'KB 03'!E31+'KB 04'!E31+'KB 05'!E31+'KB 06'!E31+'KB 07'!E31+'KB 08'!E31+'KB 09'!E31+'KB 10'!E31+'KB 11'!E31+'KB 12'!E31+'KB 13'!E31+'KB 14'!E31+'KB 15'!E31+'KB 16'!E31+'KB 17'!E31+'KB 18'!E31+'KB 19'!E31+'KB 20'!E31+'KB 21'!E31+'KB 22'!E31+'KB23'!E31+'KB24'!E31+'KB25'!E31+'KB26'!E31+'KB27'!E31</f>
        <v>0</v>
      </c>
      <c r="F31" s="267">
        <f>'KB 01'!F31+'KB 02'!F31+'KB 03'!F31+'KB 04'!F31+'KB 05'!F31+'KB 06'!F31+'KB 07'!F31+'KB 08'!F31+'KB 09'!F31+'KB 10'!F31+'KB 11'!F31+'KB 12'!F31+'KB 13'!F31+'KB 14'!F31+'KB 15'!F31+'KB 16'!F31+'KB 17'!F31+'KB 18'!F31+'KB 19'!F31+'KB 20'!F31+'KB 21'!F31+'KB 22'!F31+'KB23'!F31+'KB24'!F31+'KB25'!F31+'KB26'!F31+'KB27'!F31</f>
        <v>0</v>
      </c>
      <c r="G31" s="267">
        <f>'KB 01'!G31+'KB 02'!G31+'KB 03'!G31+'KB 04'!G31+'KB 05'!G31+'KB 06'!G31+'KB 07'!G31+'KB 08'!G31+'KB 09'!G31+'KB 10'!G31+'KB 11'!G31+'KB 12'!G31+'KB 13'!G31+'KB 14'!G31+'KB 15'!G31+'KB 16'!G31+'KB 17'!G31+'KB 18'!G31+'KB 19'!G31+'KB 20'!G31+'KB 21'!G31+'KB 22'!G31+'KB23'!G31+'KB24'!G31+'KB25'!G31+'KB26'!G31+'KB27'!G31</f>
        <v>0</v>
      </c>
      <c r="H31" s="52"/>
    </row>
    <row r="32" spans="1:15" ht="12.75" x14ac:dyDescent="0.2">
      <c r="A32" s="134" t="str">
        <f>'(G1) Fjalori'!A370</f>
        <v>Të tjera</v>
      </c>
      <c r="B32" s="1475" t="str">
        <f>'(G1) Fjalori'!C370</f>
        <v>69 / ?</v>
      </c>
      <c r="C32" s="1476"/>
      <c r="D32" s="1477"/>
      <c r="E32" s="267">
        <f>'KB 01'!E32+'KB 02'!E32+'KB 03'!E32+'KB 04'!E32+'KB 05'!E32+'KB 06'!E32+'KB 07'!E32+'KB 08'!E32+'KB 09'!E32+'KB 10'!E32+'KB 11'!E32+'KB 12'!E32+'KB 13'!E32+'KB 14'!E32+'KB 15'!E32+'KB 16'!E32+'KB 17'!E32+'KB 18'!E32+'KB 19'!E32+'KB 20'!E32+'KB 21'!E32+'KB 22'!E32+'KB23'!E32+'KB24'!E32+'KB25'!E32+'KB26'!E32+'KB27'!E32</f>
        <v>0</v>
      </c>
      <c r="F32" s="267">
        <f>'KB 01'!F32+'KB 02'!F32+'KB 03'!F32+'KB 04'!F32+'KB 05'!F32+'KB 06'!F32+'KB 07'!F32+'KB 08'!F32+'KB 09'!F32+'KB 10'!F32+'KB 11'!F32+'KB 12'!F32+'KB 13'!F32+'KB 14'!F32+'KB 15'!F32+'KB 16'!F32+'KB 17'!F32+'KB 18'!F32+'KB 19'!F32+'KB 20'!F32+'KB 21'!F32+'KB 22'!F32+'KB23'!F32+'KB24'!F32+'KB25'!F32+'KB26'!F32+'KB27'!F32</f>
        <v>0</v>
      </c>
      <c r="G32" s="267">
        <f>'KB 01'!G32+'KB 02'!G32+'KB 03'!G32+'KB 04'!G32+'KB 05'!G32+'KB 06'!G32+'KB 07'!G32+'KB 08'!G32+'KB 09'!G32+'KB 10'!G32+'KB 11'!G32+'KB 12'!G32+'KB 13'!G32+'KB 14'!G32+'KB 15'!G32+'KB 16'!G32+'KB 17'!G32+'KB 18'!G32+'KB 19'!G32+'KB 20'!G32+'KB 21'!G32+'KB 22'!G32+'KB23'!G32+'KB24'!G32+'KB25'!G32+'KB26'!G32+'KB27'!G32</f>
        <v>0</v>
      </c>
      <c r="H32" s="52"/>
      <c r="I32" s="1488" t="str">
        <f>'(G1) Fjalori'!A415</f>
        <v>SHUMA E KËRKUAR NETO</v>
      </c>
      <c r="J32" s="1489"/>
      <c r="K32" s="1489"/>
      <c r="L32" s="1489"/>
      <c r="M32" s="1489"/>
      <c r="N32" s="1489"/>
      <c r="O32" s="1490" t="e">
        <f>'KB 01'!O32+'KB 02'!O32+'KB 03'!O32+'KB 04'!O32+'KB 05'!O32+'KB 06'!O32+'KB 07'!O32+'KB 08'!O32+'KB 09'!O32+'KB 10'!O32+'KB 11'!O32+'KB 12'!O32+'KB 13'!O32+'KB 14'!O32+'KB 15'!O32+'KB 16'!O32+'KB 17'!O32+'KB 18'!O32+'KB 19'!O32+'KB 20'!O32+'KB 21'!O32+'KB 22'!O32+#REF!+'KB23'!O32+'KB24'!O32+'KB25'!O32+'KB26'!O32+'KB27'!O32+#REF!</f>
        <v>#REF!</v>
      </c>
    </row>
    <row r="33" spans="1:15" ht="31.5" customHeight="1" x14ac:dyDescent="0.2">
      <c r="A33" s="268" t="str">
        <f>A21</f>
        <v>KOSTO DIREKTE PËR PROJEKTET DHE SHPENZIMET KAPITALE</v>
      </c>
      <c r="B33" s="1475"/>
      <c r="C33" s="1476"/>
      <c r="D33" s="1477"/>
      <c r="E33" s="267">
        <f>'KB 01'!E33+'KB 02'!E33+'KB 03'!E33+'KB 04'!E33+'KB 05'!E33+'KB 06'!E33+'KB 07'!E33+'KB 08'!E33+'KB 09'!E33+'KB 10'!E33+'KB 11'!E33+'KB 12'!E33+'KB 13'!E33+'KB 14'!E33+'KB 15'!E33+'KB 16'!E33+'KB 17'!E33+'KB 18'!E33+'KB 19'!E33+'KB 20'!E33+'KB 21'!E33+'KB 22'!E33+'KB23'!E33+'KB24'!E33+'KB25'!E33+'KB26'!E33+'KB27'!E33</f>
        <v>270280988</v>
      </c>
      <c r="F33" s="267">
        <f>'KB 01'!F33+'KB 02'!F33+'KB 03'!F33+'KB 04'!F33+'KB 05'!F33+'KB 06'!F33+'KB 07'!F33+'KB 08'!F33+'KB 09'!F33+'KB 10'!F33+'KB 11'!F33+'KB 12'!F33+'KB 13'!F33+'KB 14'!F33+'KB 15'!F33+'KB 16'!F33+'KB 17'!F33+'KB 18'!F33+'KB 19'!F33+'KB 20'!F33+'KB 21'!F33+'KB 22'!F33+'KB23'!F33+'KB24'!F33+'KB25'!F33+'KB26'!F33+'KB27'!F33</f>
        <v>209417260</v>
      </c>
      <c r="G33" s="267">
        <f>'KB 01'!G33+'KB 02'!G33+'KB 03'!G33+'KB 04'!G33+'KB 05'!G33+'KB 06'!G33+'KB 07'!G33+'KB 08'!G33+'KB 09'!G33+'KB 10'!G33+'KB 11'!G33+'KB 12'!G33+'KB 13'!G33+'KB 14'!G33+'KB 15'!G33+'KB 16'!G33+'KB 17'!G33+'KB 18'!G33+'KB 19'!G33+'KB 20'!G33+'KB 21'!G33+'KB 22'!G33+'KB23'!G33+'KB24'!G33+'KB25'!G33+'KB26'!G33+'KB27'!G33</f>
        <v>209773423</v>
      </c>
      <c r="H33" s="52"/>
      <c r="I33" s="1491"/>
      <c r="J33" s="1492"/>
      <c r="K33" s="1492"/>
      <c r="L33" s="1492"/>
      <c r="M33" s="1492"/>
      <c r="N33" s="1492"/>
      <c r="O33" s="1493" t="e">
        <f>'KB 01'!O33+'KB 02'!O33+'KB 03'!O33+'KB 04'!O33+'KB 05'!O33+'KB 06'!O33+'KB 07'!O33+'KB 08'!O33+'KB 09'!O33+'KB 10'!O33+'KB 11'!O33+'KB 12'!O33+'KB 13'!O33+'KB 14'!O33+'KB 15'!O33+'KB 16'!O33+'KB 17'!O33+'KB 18'!O33+'KB 19'!O33+'KB 20'!O33+'KB 21'!O33+'KB 22'!O33+#REF!+'KB23'!O33+'KB24'!O33+'KB25'!O33+'KB26'!O33+'KB27'!O33+#REF!</f>
        <v>#REF!</v>
      </c>
    </row>
    <row r="34" spans="1:15" ht="12.75" x14ac:dyDescent="0.2">
      <c r="A34" s="1472" t="str">
        <f>'(G1) Fjalori'!A383</f>
        <v>SHPENZIME KORRENTE</v>
      </c>
      <c r="B34" s="1473"/>
      <c r="C34" s="1473"/>
      <c r="D34" s="1473"/>
      <c r="E34" s="1473" t="e">
        <f>'KB 01'!E34+'KB 02'!E34+'KB 03'!E34+'KB 04'!E34+'KB 05'!E34+'KB 06'!E34+'KB 07'!E34+'KB 08'!E34+'KB 09'!E34+'KB 10'!E34+'KB 11'!E34+'KB 12'!E34+'KB 13'!E34+'KB 14'!E34+'KB 15'!E34+'KB 16'!E34+'KB 17'!E34+'KB 18'!E34+'KB 19'!E34+'KB 20'!E34+'KB 21'!E34+'KB 22'!E34+#REF!+'KB23'!E34+'KB24'!E34+'KB25'!E34+'KB26'!E34+'KB27'!E34+#REF!</f>
        <v>#REF!</v>
      </c>
      <c r="F34" s="1473" t="e">
        <f>'KB 01'!F34+'KB 02'!F34+'KB 03'!F34+'KB 04'!F34+'KB 05'!F34+'KB 06'!F34+'KB 07'!F34+'KB 08'!F34+'KB 09'!F34+'KB 10'!F34+'KB 11'!F34+'KB 12'!F34+'KB 13'!F34+'KB 14'!F34+'KB 15'!F34+'KB 16'!F34+'KB 17'!F34+'KB 18'!F34+'KB 19'!F34+'KB 20'!F34+'KB 21'!F34+'KB 22'!F34+#REF!+'KB23'!F34+'KB24'!F34+'KB25'!F34+'KB26'!F34+'KB27'!F34+#REF!</f>
        <v>#REF!</v>
      </c>
      <c r="G34" s="1474" t="e">
        <f>'KB 01'!G34+'KB 02'!G34+'KB 03'!G34+'KB 04'!G34+'KB 05'!G34+'KB 06'!G34+'KB 07'!G34+'KB 08'!G34+'KB 09'!G34+'KB 10'!G34+'KB 11'!G34+'KB 12'!G34+'KB 13'!G34+'KB 14'!G34+'KB 15'!G34+'KB 16'!G34+'KB 17'!G34+'KB 18'!G34+'KB 19'!G34+'KB 20'!G34+'KB 21'!G34+'KB 22'!G34+#REF!+'KB23'!G34+'KB24'!G34+'KB25'!G34+'KB26'!G34+'KB27'!G34+#REF!</f>
        <v>#REF!</v>
      </c>
      <c r="H34" s="52"/>
      <c r="I34" s="17" t="str">
        <f>I32</f>
        <v>SHUMA E KËRKUAR NETO</v>
      </c>
      <c r="J34" s="18">
        <f>'KB 01'!J34+'KB 02'!J34+'KB 03'!J34+'KB 04'!J34+'KB 05'!J34+'KB 06'!J34+'KB 07'!J34+'KB 08'!J34+'KB 09'!J34+'KB 10'!J34+'KB 11'!J34+'KB 12'!J34+'KB 13'!J34+'KB 14'!J34+'KB 15'!J34+'KB 16'!J34+'KB 17'!J34+'KB 18'!J34+'KB 19'!J34+'KB 20'!J34+'KB 21'!J34+'KB 22'!J34+'KB23'!J34+'KB24'!J34+'KB25'!J34+'KB26'!J34+'KB27'!J34</f>
        <v>264360037</v>
      </c>
      <c r="K34" s="18">
        <f>'KB 01'!K34+'KB 02'!K34+'KB 03'!K34+'KB 04'!K34+'KB 05'!K34+'KB 06'!K34+'KB 07'!K34+'KB 08'!K34+'KB 09'!K34+'KB 10'!K34+'KB 11'!K34+'KB 12'!K34+'KB 13'!K34+'KB 14'!K34+'KB 15'!K34+'KB 16'!K34+'KB 17'!K34+'KB 18'!K34+'KB 19'!K34+'KB 20'!K34+'KB 21'!K34+'KB 22'!K34+'KB23'!K34+'KB24'!K34+'KB25'!K34+'KB26'!K34+'KB27'!K34</f>
        <v>475331483</v>
      </c>
      <c r="L34" s="18">
        <f>'KB 01'!L34+'KB 02'!L34+'KB 03'!L34+'KB 04'!L34+'KB 05'!L34+'KB 06'!L34+'KB 07'!L34+'KB 08'!L34+'KB 09'!L34+'KB 10'!L34+'KB 11'!L34+'KB 12'!L34+'KB 13'!L34+'KB 14'!L34+'KB 15'!L34+'KB 16'!L34+'KB 17'!L34+'KB 18'!L34+'KB 19'!L34+'KB 20'!L34+'KB 21'!L34+'KB 22'!L34+'KB23'!L34+'KB24'!L34+'KB25'!L34+'KB26'!L34+'KB27'!L34</f>
        <v>553831188</v>
      </c>
      <c r="M34" s="18">
        <f>'KB 01'!M34+'KB 02'!M34+'KB 03'!M34+'KB 04'!M34+'KB 05'!M34+'KB 06'!M34+'KB 07'!M34+'KB 08'!M34+'KB 09'!M34+'KB 10'!M34+'KB 11'!M34+'KB 12'!M34+'KB 13'!M34+'KB 14'!M34+'KB 15'!M34+'KB 16'!M34+'KB 17'!M34+'KB 18'!M34+'KB 19'!M34+'KB 20'!M34+'KB 21'!M34+'KB 22'!M34+'KB23'!M34+'KB24'!M34+'KB25'!M34+'KB26'!M34+'KB27'!M34</f>
        <v>791069749</v>
      </c>
      <c r="N34" s="18">
        <f>'KB 01'!N34+'KB 02'!N34+'KB 03'!N34+'KB 04'!N34+'KB 05'!N34+'KB 06'!N34+'KB 07'!N34+'KB 08'!N34+'KB 09'!N34+'KB 10'!N34+'KB 11'!N34+'KB 12'!N34+'KB 13'!N34+'KB 14'!N34+'KB 15'!N34+'KB 16'!N34+'KB 17'!N34+'KB 18'!N34+'KB 19'!N34+'KB 20'!N34+'KB 21'!N34+'KB 22'!N34+'KB23'!N34+'KB24'!N34+'KB25'!N34+'KB26'!N34+'KB27'!N34</f>
        <v>746146689</v>
      </c>
      <c r="O34" s="18">
        <f>'KB 01'!O34+'KB 02'!O34+'KB 03'!O34+'KB 04'!O34+'KB 05'!O34+'KB 06'!O34+'KB 07'!O34+'KB 08'!O34+'KB 09'!O34+'KB 10'!O34+'KB 11'!O34+'KB 12'!O34+'KB 13'!O34+'KB 14'!O34+'KB 15'!O34+'KB 16'!O34+'KB 17'!O34+'KB 18'!O34+'KB 19'!O34+'KB 20'!O34+'KB 21'!O34+'KB 22'!O34+'KB23'!O34+'KB24'!O34+'KB25'!O34+'KB26'!O34+'KB27'!O34</f>
        <v>772350529</v>
      </c>
    </row>
    <row r="35" spans="1:15" ht="12.75" x14ac:dyDescent="0.2">
      <c r="A35" s="134" t="str">
        <f>A22</f>
        <v>Pagat</v>
      </c>
      <c r="B35" s="1475">
        <f>B22</f>
        <v>600</v>
      </c>
      <c r="C35" s="1476"/>
      <c r="D35" s="1477"/>
      <c r="E35" s="267">
        <f>'KB 01'!E35+'KB 02'!E35+'KB 03'!E35+'KB 04'!E35+'KB 05'!E35+'KB 06'!E35+'KB 07'!E35+'KB 08'!E35+'KB 09'!E35+'KB 10'!E35+'KB 11'!E35+'KB 12'!E35+'KB 13'!E35+'KB 14'!E35+'KB 15'!E35+'KB 16'!E35+'KB 17'!E35+'KB 18'!E35+'KB 19'!E35+'KB 20'!E35+'KB 21'!E35+'KB 22'!E35+'KB23'!E35+'KB24'!E35+'KB25'!E35+'KB26'!E35+'KB27'!E35</f>
        <v>428196583.94999999</v>
      </c>
      <c r="F35" s="267">
        <f>'KB 01'!F35+'KB 02'!F35+'KB 03'!F35+'KB 04'!F35+'KB 05'!F35+'KB 06'!F35+'KB 07'!F35+'KB 08'!F35+'KB 09'!F35+'KB 10'!F35+'KB 11'!F35+'KB 12'!F35+'KB 13'!F35+'KB 14'!F35+'KB 15'!F35+'KB 16'!F35+'KB 17'!F35+'KB 18'!F35+'KB 19'!F35+'KB 20'!F35+'KB 21'!F35+'KB 22'!F35+'KB23'!F35+'KB24'!F35+'KB25'!F35+'KB26'!F35+'KB27'!F35</f>
        <v>438654594.88</v>
      </c>
      <c r="G35" s="267">
        <f>'KB 01'!G35+'KB 02'!G35+'KB 03'!G35+'KB 04'!G35+'KB 05'!G35+'KB 06'!G35+'KB 07'!G35+'KB 08'!G35+'KB 09'!G35+'KB 10'!G35+'KB 11'!G35+'KB 12'!G35+'KB 13'!G35+'KB 14'!G35+'KB 15'!G35+'KB 16'!G35+'KB 17'!G35+'KB 18'!G35+'KB 19'!G35+'KB 20'!G35+'KB 21'!G35+'KB 22'!G35+'KB23'!G35+'KB24'!G35+'KB25'!G35+'KB26'!G35+'KB27'!G35</f>
        <v>449654063.00000006</v>
      </c>
      <c r="H35" s="52"/>
      <c r="I35" s="52"/>
      <c r="J35" s="52"/>
      <c r="K35" s="52"/>
      <c r="L35" s="14"/>
      <c r="M35" s="53"/>
    </row>
    <row r="36" spans="1:15" ht="12.75" x14ac:dyDescent="0.2">
      <c r="A36" s="134" t="str">
        <f t="shared" ref="A36:A45" si="1">A23</f>
        <v>Sigurimet Shoqërore</v>
      </c>
      <c r="B36" s="1475">
        <f t="shared" ref="B36:B45" si="2">B23</f>
        <v>601</v>
      </c>
      <c r="C36" s="1476"/>
      <c r="D36" s="1477"/>
      <c r="E36" s="267">
        <f>'KB 01'!E36+'KB 02'!E36+'KB 03'!E36+'KB 04'!E36+'KB 05'!E36+'KB 06'!E36+'KB 07'!E36+'KB 08'!E36+'KB 09'!E36+'KB 10'!E36+'KB 11'!E36+'KB 12'!E36+'KB 13'!E36+'KB 14'!E36+'KB 15'!E36+'KB 16'!E36+'KB 17'!E36+'KB 18'!E36+'KB 19'!E36+'KB 20'!E36+'KB 21'!E36+'KB 22'!E36+'KB23'!E36+'KB24'!E36+'KB25'!E36+'KB26'!E36+'KB27'!E36</f>
        <v>85575418.049999997</v>
      </c>
      <c r="F36" s="267">
        <f>'KB 01'!F36+'KB 02'!F36+'KB 03'!F36+'KB 04'!F36+'KB 05'!F36+'KB 06'!F36+'KB 07'!F36+'KB 08'!F36+'KB 09'!F36+'KB 10'!F36+'KB 11'!F36+'KB 12'!F36+'KB 13'!F36+'KB 14'!F36+'KB 15'!F36+'KB 16'!F36+'KB 17'!F36+'KB 18'!F36+'KB 19'!F36+'KB 20'!F36+'KB 21'!F36+'KB 22'!F36+'KB23'!F36+'KB24'!F36+'KB25'!F36+'KB26'!F36+'KB27'!F36</f>
        <v>87849619.11999999</v>
      </c>
      <c r="G36" s="267">
        <f>'KB 01'!G36+'KB 02'!G36+'KB 03'!G36+'KB 04'!G36+'KB 05'!G36+'KB 06'!G36+'KB 07'!G36+'KB 08'!G36+'KB 09'!G36+'KB 10'!G36+'KB 11'!G36+'KB 12'!G36+'KB 13'!G36+'KB 14'!G36+'KB 15'!G36+'KB 16'!G36+'KB 17'!G36+'KB 18'!G36+'KB 19'!G36+'KB 20'!G36+'KB 21'!G36+'KB 22'!G36+'KB23'!G36+'KB24'!G36+'KB25'!G36+'KB26'!G36+'KB27'!G36</f>
        <v>89810114</v>
      </c>
      <c r="H36" s="52"/>
    </row>
    <row r="37" spans="1:15" ht="12.75" x14ac:dyDescent="0.2">
      <c r="A37" s="134" t="str">
        <f t="shared" si="1"/>
        <v>Mallra dhe shërbime</v>
      </c>
      <c r="B37" s="1475">
        <f t="shared" si="2"/>
        <v>602</v>
      </c>
      <c r="C37" s="1476"/>
      <c r="D37" s="1477"/>
      <c r="E37" s="267">
        <f>'KB 01'!E37+'KB 02'!E37+'KB 03'!E37+'KB 04'!E37+'KB 05'!E37+'KB 06'!E37+'KB 07'!E37+'KB 08'!E37+'KB 09'!E37+'KB 10'!E37+'KB 11'!E37+'KB 12'!E37+'KB 13'!E37+'KB 14'!E37+'KB 15'!E37+'KB 16'!E37+'KB 17'!E37+'KB 18'!E37+'KB 19'!E37+'KB 20'!E37+'KB 21'!E37+'KB 22'!E37+'KB23'!E37+'KB24'!E37+'KB25'!E37+'KB26'!E37+'KB27'!E37</f>
        <v>445861658</v>
      </c>
      <c r="F37" s="267">
        <f>'KB 01'!F37+'KB 02'!F37+'KB 03'!F37+'KB 04'!F37+'KB 05'!F37+'KB 06'!F37+'KB 07'!F37+'KB 08'!F37+'KB 09'!F37+'KB 10'!F37+'KB 11'!F37+'KB 12'!F37+'KB 13'!F37+'KB 14'!F37+'KB 15'!F37+'KB 16'!F37+'KB 17'!F37+'KB 18'!F37+'KB 19'!F37+'KB 20'!F37+'KB 21'!F37+'KB 22'!F37+'KB23'!F37+'KB24'!F37+'KB25'!F37+'KB26'!F37+'KB27'!F37</f>
        <v>452373996</v>
      </c>
      <c r="G37" s="267">
        <f>'KB 01'!G37+'KB 02'!G37+'KB 03'!G37+'KB 04'!G37+'KB 05'!G37+'KB 06'!G37+'KB 07'!G37+'KB 08'!G37+'KB 09'!G37+'KB 10'!G37+'KB 11'!G37+'KB 12'!G37+'KB 13'!G37+'KB 14'!G37+'KB 15'!G37+'KB 16'!G37+'KB 17'!G37+'KB 18'!G37+'KB 19'!G37+'KB 20'!G37+'KB 21'!G37+'KB 22'!G37+'KB23'!G37+'KB24'!G37+'KB25'!G37+'KB26'!G37+'KB27'!G37</f>
        <v>468708873</v>
      </c>
      <c r="H37" s="52"/>
      <c r="I37" s="134" t="str">
        <f>'(G1) Fjalori'!A413</f>
        <v>Angazhimet</v>
      </c>
      <c r="J37" s="1485" t="str">
        <f>'(G1) Fjalori'!A454</f>
        <v>Vlera Totale për Aktivitet</v>
      </c>
      <c r="K37" s="1486"/>
      <c r="L37" s="1487"/>
      <c r="M37" s="126">
        <f>'KB 01'!M37+'KB 02'!M37+'KB 03'!M37+'KB 04'!M37+'KB 05'!M37+'KB 06'!M37+'KB 07'!M37+'KB 08'!M37+'KB 09'!M37+'KB 10'!M37+'KB 11'!M37+'KB 12'!M37+'KB 13'!M37+'KB 14'!M37+'KB 15'!M37+'KB 16'!M37+'KB 17'!M37+'KB 18'!M37+'KB 19'!M37+'KB 20'!M37+'KB 21'!M37+'KB 22'!M37+'KB23'!M37+'KB24'!M37+'KB25'!M37+'KB26'!M37+'KB27'!M37</f>
        <v>0</v>
      </c>
      <c r="N37" s="126">
        <f>'KB 01'!N37+'KB 02'!N37+'KB 03'!N37+'KB 04'!N37+'KB 05'!N37+'KB 06'!N37+'KB 07'!N37+'KB 08'!N37+'KB 09'!N37+'KB 10'!N37+'KB 11'!N37+'KB 12'!N37+'KB 13'!N37+'KB 14'!N37+'KB 15'!N37+'KB 16'!N37+'KB 17'!N37+'KB 18'!N37+'KB 19'!N37+'KB 20'!N37+'KB 21'!N37+'KB 22'!N37+'KB23'!N37+'KB24'!N37+'KB25'!N37+'KB26'!N37+'KB27'!N37</f>
        <v>0</v>
      </c>
      <c r="O37" s="126">
        <f>'KB 01'!O37+'KB 02'!O37+'KB 03'!O37+'KB 04'!O37+'KB 05'!O37+'KB 06'!O37+'KB 07'!O37+'KB 08'!O37+'KB 09'!O37+'KB 10'!O37+'KB 11'!O37+'KB 12'!O37+'KB 13'!O37+'KB 14'!O37+'KB 15'!O37+'KB 16'!O37+'KB 17'!O37+'KB 18'!O37+'KB 19'!O37+'KB 20'!O37+'KB 21'!O37+'KB 22'!O37+'KB23'!O37+'KB24'!O37+'KB25'!O37+'KB26'!O37+'KB27'!O37</f>
        <v>0</v>
      </c>
    </row>
    <row r="38" spans="1:15" ht="12.75" x14ac:dyDescent="0.2">
      <c r="A38" s="134" t="str">
        <f t="shared" si="1"/>
        <v>Subvencione</v>
      </c>
      <c r="B38" s="1475">
        <f t="shared" si="2"/>
        <v>603</v>
      </c>
      <c r="C38" s="1476"/>
      <c r="D38" s="1477"/>
      <c r="E38" s="267">
        <f>'KB 01'!E38+'KB 02'!E38+'KB 03'!E38+'KB 04'!E38+'KB 05'!E38+'KB 06'!E38+'KB 07'!E38+'KB 08'!E38+'KB 09'!E38+'KB 10'!E38+'KB 11'!E38+'KB 12'!E38+'KB 13'!E38+'KB 14'!E38+'KB 15'!E38+'KB 16'!E38+'KB 17'!E38+'KB 18'!E38+'KB 19'!E38+'KB 20'!E38+'KB 21'!E38+'KB 22'!E38+'KB23'!E38+'KB24'!E38+'KB25'!E38+'KB26'!E38+'KB27'!E38</f>
        <v>0</v>
      </c>
      <c r="F38" s="267">
        <f>'KB 01'!F38+'KB 02'!F38+'KB 03'!F38+'KB 04'!F38+'KB 05'!F38+'KB 06'!F38+'KB 07'!F38+'KB 08'!F38+'KB 09'!F38+'KB 10'!F38+'KB 11'!F38+'KB 12'!F38+'KB 13'!F38+'KB 14'!F38+'KB 15'!F38+'KB 16'!F38+'KB 17'!F38+'KB 18'!F38+'KB 19'!F38+'KB 20'!F38+'KB 21'!F38+'KB 22'!F38+'KB23'!F38+'KB24'!F38+'KB25'!F38+'KB26'!F38+'KB27'!F38</f>
        <v>0</v>
      </c>
      <c r="G38" s="267">
        <f>'KB 01'!G38+'KB 02'!G38+'KB 03'!G38+'KB 04'!G38+'KB 05'!G38+'KB 06'!G38+'KB 07'!G38+'KB 08'!G38+'KB 09'!G38+'KB 10'!G38+'KB 11'!G38+'KB 12'!G38+'KB 13'!G38+'KB 14'!G38+'KB 15'!G38+'KB 16'!G38+'KB 17'!G38+'KB 18'!G38+'KB 19'!G38+'KB 20'!G38+'KB 21'!G38+'KB 22'!G38+'KB23'!G38+'KB24'!G38+'KB25'!G38+'KB26'!G38+'KB27'!G38</f>
        <v>0</v>
      </c>
      <c r="H38" s="52"/>
      <c r="I38" s="870" t="str">
        <f>'(G1) Fjalori'!A456</f>
        <v>Qëllime</v>
      </c>
      <c r="J38" s="871" t="str">
        <f>A29</f>
        <v>Shpenzimet kapitale</v>
      </c>
      <c r="K38" s="872"/>
      <c r="L38" s="873"/>
      <c r="M38" s="126">
        <f>'KB 01'!M38+'KB 02'!M38+'KB 03'!M38+'KB 04'!M38+'KB 05'!M38+'KB 06'!M38+'KB 07'!M38+'KB 08'!M38+'KB 09'!M38+'KB 10'!M38+'KB 11'!M38+'KB 12'!M38+'KB 13'!M38+'KB 14'!M38+'KB 15'!M38+'KB 16'!M38+'KB 17'!M38+'KB 18'!M38+'KB 19'!M38+'KB 20'!M38+'KB 21'!M38+'KB 22'!M38+'KB23'!M38+'KB24'!M38+'KB25'!M38+'KB26'!M38+'KB27'!M38</f>
        <v>0</v>
      </c>
      <c r="N38" s="126">
        <f>'KB 01'!N38+'KB 02'!N38+'KB 03'!N38+'KB 04'!N38+'KB 05'!N38+'KB 06'!N38+'KB 07'!N38+'KB 08'!N38+'KB 09'!N38+'KB 10'!N38+'KB 11'!N38+'KB 12'!N38+'KB 13'!N38+'KB 14'!N38+'KB 15'!N38+'KB 16'!N38+'KB 17'!N38+'KB 18'!N38+'KB 19'!N38+'KB 20'!N38+'KB 21'!N38+'KB 22'!N38+'KB23'!N38+'KB24'!N38+'KB25'!N38+'KB26'!N38+'KB27'!N38</f>
        <v>0</v>
      </c>
      <c r="O38" s="126">
        <f>'KB 01'!O38+'KB 02'!O38+'KB 03'!O38+'KB 04'!O38+'KB 05'!O38+'KB 06'!O38+'KB 07'!O38+'KB 08'!O38+'KB 09'!O38+'KB 10'!O38+'KB 11'!O38+'KB 12'!O38+'KB 13'!O38+'KB 14'!O38+'KB 15'!O38+'KB 16'!O38+'KB 17'!O38+'KB 18'!O38+'KB 19'!O38+'KB 20'!O38+'KB 21'!O38+'KB 22'!O38+'KB23'!O38+'KB24'!O38+'KB25'!O38+'KB26'!O38+'KB27'!O38</f>
        <v>0</v>
      </c>
    </row>
    <row r="39" spans="1:15" ht="12.75" x14ac:dyDescent="0.2">
      <c r="A39" s="134" t="str">
        <f t="shared" si="1"/>
        <v>Të tjera transferta korrente të brendshme</v>
      </c>
      <c r="B39" s="1475">
        <f t="shared" si="2"/>
        <v>604</v>
      </c>
      <c r="C39" s="1476"/>
      <c r="D39" s="1477"/>
      <c r="E39" s="267">
        <f>'KB 01'!E39+'KB 02'!E39+'KB 03'!E39+'KB 04'!E39+'KB 05'!E39+'KB 06'!E39+'KB 07'!E39+'KB 08'!E39+'KB 09'!E39+'KB 10'!E39+'KB 11'!E39+'KB 12'!E39+'KB 13'!E39+'KB 14'!E39+'KB 15'!E39+'KB 16'!E39+'KB 17'!E39+'KB 18'!E39+'KB 19'!E39+'KB 20'!E39+'KB 21'!E39+'KB 22'!E39+'KB23'!E39+'KB24'!E39+'KB25'!E39+'KB26'!E39+'KB27'!E39</f>
        <v>0</v>
      </c>
      <c r="F39" s="267">
        <f>'KB 01'!F39+'KB 02'!F39+'KB 03'!F39+'KB 04'!F39+'KB 05'!F39+'KB 06'!F39+'KB 07'!F39+'KB 08'!F39+'KB 09'!F39+'KB 10'!F39+'KB 11'!F39+'KB 12'!F39+'KB 13'!F39+'KB 14'!F39+'KB 15'!F39+'KB 16'!F39+'KB 17'!F39+'KB 18'!F39+'KB 19'!F39+'KB 20'!F39+'KB 21'!F39+'KB 22'!F39+'KB23'!F39+'KB24'!F39+'KB25'!F39+'KB26'!F39+'KB27'!F39</f>
        <v>0</v>
      </c>
      <c r="G39" s="267">
        <f>'KB 01'!G39+'KB 02'!G39+'KB 03'!G39+'KB 04'!G39+'KB 05'!G39+'KB 06'!G39+'KB 07'!G39+'KB 08'!G39+'KB 09'!G39+'KB 10'!G39+'KB 11'!G39+'KB 12'!G39+'KB 13'!G39+'KB 14'!G39+'KB 15'!G39+'KB 16'!G39+'KB 17'!G39+'KB 18'!G39+'KB 19'!G39+'KB 20'!G39+'KB 21'!G39+'KB 22'!G39+'KB23'!G39+'KB24'!G39+'KB25'!G39+'KB26'!G39+'KB27'!G39</f>
        <v>0</v>
      </c>
      <c r="H39" s="52"/>
      <c r="I39" s="10"/>
      <c r="J39" s="871" t="str">
        <f>A24</f>
        <v>Mallra dhe shërbime</v>
      </c>
      <c r="K39" s="872"/>
      <c r="L39" s="873"/>
      <c r="M39" s="126">
        <f>'KB 01'!M39+'KB 02'!M39+'KB 03'!M39+'KB 04'!M39+'KB 05'!M39+'KB 06'!M39+'KB 07'!M39+'KB 08'!M39+'KB 09'!M39+'KB 10'!M39+'KB 11'!M39+'KB 12'!M39+'KB 13'!M39+'KB 14'!M39+'KB 15'!M39+'KB 16'!M39+'KB 17'!M39+'KB 18'!M39+'KB 19'!M39+'KB 20'!M39+'KB 21'!M39+'KB 22'!M39+'KB23'!M39+'KB24'!M39+'KB25'!M39+'KB26'!M39+'KB27'!M39</f>
        <v>0</v>
      </c>
      <c r="N39" s="126">
        <f>'KB 01'!N39+'KB 02'!N39+'KB 03'!N39+'KB 04'!N39+'KB 05'!N39+'KB 06'!N39+'KB 07'!N39+'KB 08'!N39+'KB 09'!N39+'KB 10'!N39+'KB 11'!N39+'KB 12'!N39+'KB 13'!N39+'KB 14'!N39+'KB 15'!N39+'KB 16'!N39+'KB 17'!N39+'KB 18'!N39+'KB 19'!N39+'KB 20'!N39+'KB 21'!N39+'KB 22'!N39+'KB23'!N39+'KB24'!N39+'KB25'!N39+'KB26'!N39+'KB27'!N39</f>
        <v>0</v>
      </c>
      <c r="O39" s="126">
        <f>'KB 01'!O39+'KB 02'!O39+'KB 03'!O39+'KB 04'!O39+'KB 05'!O39+'KB 06'!O39+'KB 07'!O39+'KB 08'!O39+'KB 09'!O39+'KB 10'!O39+'KB 11'!O39+'KB 12'!O39+'KB 13'!O39+'KB 14'!O39+'KB 15'!O39+'KB 16'!O39+'KB 17'!O39+'KB 18'!O39+'KB 19'!O39+'KB 20'!O39+'KB 21'!O39+'KB 22'!O39+'KB23'!O39+'KB24'!O39+'KB25'!O39+'KB26'!O39+'KB27'!O39</f>
        <v>0</v>
      </c>
    </row>
    <row r="40" spans="1:15" ht="12.75" x14ac:dyDescent="0.2">
      <c r="A40" s="134" t="str">
        <f t="shared" si="1"/>
        <v>Transferta korrente të huaja</v>
      </c>
      <c r="B40" s="1475">
        <f t="shared" si="2"/>
        <v>605</v>
      </c>
      <c r="C40" s="1476"/>
      <c r="D40" s="1477"/>
      <c r="E40" s="267">
        <f>'KB 01'!E40+'KB 02'!E40+'KB 03'!E40+'KB 04'!E40+'KB 05'!E40+'KB 06'!E40+'KB 07'!E40+'KB 08'!E40+'KB 09'!E40+'KB 10'!E40+'KB 11'!E40+'KB 12'!E40+'KB 13'!E40+'KB 14'!E40+'KB 15'!E40+'KB 16'!E40+'KB 17'!E40+'KB 18'!E40+'KB 19'!E40+'KB 20'!E40+'KB 21'!E40+'KB 22'!E40+'KB23'!E40+'KB24'!E40+'KB25'!E40+'KB26'!E40+'KB27'!E40</f>
        <v>0</v>
      </c>
      <c r="F40" s="267">
        <f>'KB 01'!F40+'KB 02'!F40+'KB 03'!F40+'KB 04'!F40+'KB 05'!F40+'KB 06'!F40+'KB 07'!F40+'KB 08'!F40+'KB 09'!F40+'KB 10'!F40+'KB 11'!F40+'KB 12'!F40+'KB 13'!F40+'KB 14'!F40+'KB 15'!F40+'KB 16'!F40+'KB 17'!F40+'KB 18'!F40+'KB 19'!F40+'KB 20'!F40+'KB 21'!F40+'KB 22'!F40+'KB23'!F40+'KB24'!F40+'KB25'!F40+'KB26'!F40+'KB27'!F40</f>
        <v>0</v>
      </c>
      <c r="G40" s="267">
        <f>'KB 01'!G40+'KB 02'!G40+'KB 03'!G40+'KB 04'!G40+'KB 05'!G40+'KB 06'!G40+'KB 07'!G40+'KB 08'!G40+'KB 09'!G40+'KB 10'!G40+'KB 11'!G40+'KB 12'!G40+'KB 13'!G40+'KB 14'!G40+'KB 15'!G40+'KB 16'!G40+'KB 17'!G40+'KB 18'!G40+'KB 19'!G40+'KB 20'!G40+'KB 21'!G40+'KB 22'!G40+'KB23'!G40+'KB24'!G40+'KB25'!G40+'KB26'!G40+'KB27'!G40</f>
        <v>0</v>
      </c>
      <c r="H40" s="52"/>
      <c r="I40" s="10"/>
      <c r="J40" s="871" t="str">
        <f>'(G1) Fjalori'!A455</f>
        <v>Qëllime të mëtejshme</v>
      </c>
      <c r="K40" s="872"/>
      <c r="L40" s="873"/>
      <c r="M40" s="126">
        <f>'KB 01'!M40+'KB 02'!M40+'KB 03'!M40+'KB 04'!M40+'KB 05'!M40+'KB 06'!M40+'KB 07'!M40+'KB 08'!M40+'KB 09'!M40+'KB 10'!M40+'KB 11'!M40+'KB 12'!M40+'KB 13'!M40+'KB 14'!M40+'KB 15'!M40+'KB 16'!M40+'KB 17'!M40+'KB 18'!M40+'KB 19'!M40+'KB 20'!M40+'KB 21'!M40+'KB 22'!M40+'KB23'!M40+'KB24'!M40+'KB25'!M40+'KB26'!M40+'KB27'!M40</f>
        <v>0</v>
      </c>
      <c r="N40" s="126">
        <f>'KB 01'!N40+'KB 02'!N40+'KB 03'!N40+'KB 04'!N40+'KB 05'!N40+'KB 06'!N40+'KB 07'!N40+'KB 08'!N40+'KB 09'!N40+'KB 10'!N40+'KB 11'!N40+'KB 12'!N40+'KB 13'!N40+'KB 14'!N40+'KB 15'!N40+'KB 16'!N40+'KB 17'!N40+'KB 18'!N40+'KB 19'!N40+'KB 20'!N40+'KB 21'!N40+'KB 22'!N40+'KB23'!N40+'KB24'!N40+'KB25'!N40+'KB26'!N40+'KB27'!N40</f>
        <v>0</v>
      </c>
      <c r="O40" s="126">
        <f>'KB 01'!O40+'KB 02'!O40+'KB 03'!O40+'KB 04'!O40+'KB 05'!O40+'KB 06'!O40+'KB 07'!O40+'KB 08'!O40+'KB 09'!O40+'KB 10'!O40+'KB 11'!O40+'KB 12'!O40+'KB 13'!O40+'KB 14'!O40+'KB 15'!O40+'KB 16'!O40+'KB 17'!O40+'KB 18'!O40+'KB 19'!O40+'KB 20'!O40+'KB 21'!O40+'KB 22'!O40+'KB23'!O40+'KB24'!O40+'KB25'!O40+'KB26'!O40+'KB27'!O40</f>
        <v>0</v>
      </c>
    </row>
    <row r="41" spans="1:15" ht="12.75" x14ac:dyDescent="0.2">
      <c r="A41" s="134" t="str">
        <f t="shared" si="1"/>
        <v>Transferta për Buxhetet Familiare dhe Individët</v>
      </c>
      <c r="B41" s="1475">
        <f t="shared" si="2"/>
        <v>606</v>
      </c>
      <c r="C41" s="1476"/>
      <c r="D41" s="1477"/>
      <c r="E41" s="267">
        <f>'KB 01'!E41+'KB 02'!E41+'KB 03'!E41+'KB 04'!E41+'KB 05'!E41+'KB 06'!E41+'KB 07'!E41+'KB 08'!E41+'KB 09'!E41+'KB 10'!E41+'KB 11'!E41+'KB 12'!E41+'KB 13'!E41+'KB 14'!E41+'KB 15'!E41+'KB 16'!E41+'KB 17'!E41+'KB 18'!E41+'KB 19'!E41+'KB 20'!E41+'KB 21'!E41+'KB 22'!E41+'KB23'!E41+'KB24'!E41+'KB25'!E41+'KB26'!E41+'KB27'!E41</f>
        <v>931494000</v>
      </c>
      <c r="F41" s="267">
        <f>'KB 01'!F41+'KB 02'!F41+'KB 03'!F41+'KB 04'!F41+'KB 05'!F41+'KB 06'!F41+'KB 07'!F41+'KB 08'!F41+'KB 09'!F41+'KB 10'!F41+'KB 11'!F41+'KB 12'!F41+'KB 13'!F41+'KB 14'!F41+'KB 15'!F41+'KB 16'!F41+'KB 17'!F41+'KB 18'!F41+'KB 19'!F41+'KB 20'!F41+'KB 21'!F41+'KB 22'!F41+'KB23'!F41+'KB24'!F41+'KB25'!F41+'KB26'!F41+'KB27'!F41</f>
        <v>931494000</v>
      </c>
      <c r="G41" s="267">
        <f>'KB 01'!G41+'KB 02'!G41+'KB 03'!G41+'KB 04'!G41+'KB 05'!G41+'KB 06'!G41+'KB 07'!G41+'KB 08'!G41+'KB 09'!G41+'KB 10'!G41+'KB 11'!G41+'KB 12'!G41+'KB 13'!G41+'KB 14'!G41+'KB 15'!G41+'KB 16'!G41+'KB 17'!G41+'KB 18'!G41+'KB 19'!G41+'KB 20'!G41+'KB 21'!G41+'KB 22'!G41+'KB23'!G41+'KB24'!G41+'KB25'!G41+'KB26'!G41+'KB27'!G41</f>
        <v>931494000</v>
      </c>
      <c r="H41" s="52"/>
      <c r="I41" s="10"/>
      <c r="J41" s="874" t="str">
        <f>J37</f>
        <v>Vlera Totale për Aktivitet</v>
      </c>
      <c r="K41" s="872"/>
      <c r="L41" s="873"/>
      <c r="M41" s="126">
        <f>SUM(M38:M40)</f>
        <v>0</v>
      </c>
      <c r="N41" s="126">
        <f>SUM(N38:N40)</f>
        <v>0</v>
      </c>
      <c r="O41" s="126">
        <f>SUM(O38:O40)</f>
        <v>0</v>
      </c>
    </row>
    <row r="42" spans="1:15" ht="12.75" x14ac:dyDescent="0.2">
      <c r="A42" s="134" t="str">
        <f t="shared" si="1"/>
        <v>Shpenzimet kapitale</v>
      </c>
      <c r="B42" s="1475" t="str">
        <f t="shared" si="2"/>
        <v>230 / 231</v>
      </c>
      <c r="C42" s="1476"/>
      <c r="D42" s="1477"/>
      <c r="E42" s="267">
        <f>'KB 01'!E42+'KB 02'!E42+'KB 03'!E42+'KB 04'!E42+'KB 05'!E42+'KB 06'!E42+'KB 07'!E42+'KB 08'!E42+'KB 09'!E42+'KB 10'!E42+'KB 11'!E42+'KB 12'!E42+'KB 13'!E42+'KB 14'!E42+'KB 15'!E42+'KB 16'!E42+'KB 17'!E42+'KB 18'!E42+'KB 19'!E42+'KB 20'!E42+'KB 21'!E42+'KB 22'!E42+'KB23'!E42+'KB24'!E42+'KB25'!E42+'KB26'!E42+'KB27'!E42</f>
        <v>0</v>
      </c>
      <c r="F42" s="267">
        <f>'KB 01'!F42+'KB 02'!F42+'KB 03'!F42+'KB 04'!F42+'KB 05'!F42+'KB 06'!F42+'KB 07'!F42+'KB 08'!F42+'KB 09'!F42+'KB 10'!F42+'KB 11'!F42+'KB 12'!F42+'KB 13'!F42+'KB 14'!F42+'KB 15'!F42+'KB 16'!F42+'KB 17'!F42+'KB 18'!F42+'KB 19'!F42+'KB 20'!F42+'KB 21'!F42+'KB 22'!F42+'KB23'!F42+'KB24'!F42+'KB25'!F42+'KB26'!F42+'KB27'!F42</f>
        <v>0</v>
      </c>
      <c r="G42" s="267">
        <f>'KB 01'!G42+'KB 02'!G42+'KB 03'!G42+'KB 04'!G42+'KB 05'!G42+'KB 06'!G42+'KB 07'!G42+'KB 08'!G42+'KB 09'!G42+'KB 10'!G42+'KB 11'!G42+'KB 12'!G42+'KB 13'!G42+'KB 14'!G42+'KB 15'!G42+'KB 16'!G42+'KB 17'!G42+'KB 18'!G42+'KB 19'!G42+'KB 20'!G42+'KB 21'!G42+'KB 22'!G42+'KB23'!G42+'KB24'!G42+'KB25'!G42+'KB26'!G42+'KB27'!G42</f>
        <v>0</v>
      </c>
      <c r="H42" s="52"/>
    </row>
    <row r="43" spans="1:15" ht="12.75" x14ac:dyDescent="0.2">
      <c r="A43" s="134" t="str">
        <f t="shared" si="1"/>
        <v>Rezerva</v>
      </c>
      <c r="B43" s="1475">
        <f t="shared" si="2"/>
        <v>609</v>
      </c>
      <c r="C43" s="1476"/>
      <c r="D43" s="1477"/>
      <c r="E43" s="267">
        <f>'KB 01'!E43+'KB 02'!E43+'KB 03'!E43+'KB 04'!E43+'KB 05'!E43+'KB 06'!E43+'KB 07'!E43+'KB 08'!E43+'KB 09'!E43+'KB 10'!E43+'KB 11'!E43+'KB 12'!E43+'KB 13'!E43+'KB 14'!E43+'KB 15'!E43+'KB 16'!E43+'KB 17'!E43+'KB 18'!E43+'KB 19'!E43+'KB 20'!E43+'KB 21'!E43+'KB 22'!E43+'KB23'!E43+'KB24'!E43+'KB25'!E43+'KB26'!E43+'KB27'!E43</f>
        <v>0</v>
      </c>
      <c r="F43" s="267">
        <f>'KB 01'!F43+'KB 02'!F43+'KB 03'!F43+'KB 04'!F43+'KB 05'!F43+'KB 06'!F43+'KB 07'!F43+'KB 08'!F43+'KB 09'!F43+'KB 10'!F43+'KB 11'!F43+'KB 12'!F43+'KB 13'!F43+'KB 14'!F43+'KB 15'!F43+'KB 16'!F43+'KB 17'!F43+'KB 18'!F43+'KB 19'!F43+'KB 20'!F43+'KB 21'!F43+'KB 22'!F43+'KB23'!F43+'KB24'!F43+'KB25'!F43+'KB26'!F43+'KB27'!F43</f>
        <v>0</v>
      </c>
      <c r="G43" s="267">
        <f>'KB 01'!G43+'KB 02'!G43+'KB 03'!G43+'KB 04'!G43+'KB 05'!G43+'KB 06'!G43+'KB 07'!G43+'KB 08'!G43+'KB 09'!G43+'KB 10'!G43+'KB 11'!G43+'KB 12'!G43+'KB 13'!G43+'KB 14'!G43+'KB 15'!G43+'KB 16'!G43+'KB 17'!G43+'KB 18'!G43+'KB 19'!G43+'KB 20'!G43+'KB 21'!G43+'KB 22'!G43+'KB23'!G43+'KB24'!G43+'KB25'!G43+'KB26'!G43+'KB27'!G43</f>
        <v>0</v>
      </c>
      <c r="H43" s="52"/>
      <c r="I43" s="139" t="str">
        <f>'(G1) Fjalori'!A416</f>
        <v>Shpjegimet teknike</v>
      </c>
      <c r="J43" s="1271"/>
      <c r="K43" s="1272"/>
      <c r="L43" s="1272"/>
      <c r="M43" s="1272"/>
      <c r="N43" s="1272"/>
      <c r="O43" s="1273"/>
    </row>
    <row r="44" spans="1:15" ht="12.75" x14ac:dyDescent="0.2">
      <c r="A44" s="134" t="str">
        <f t="shared" si="1"/>
        <v>Interesa per kredi direkte ose bono</v>
      </c>
      <c r="B44" s="1500">
        <f t="shared" si="2"/>
        <v>650</v>
      </c>
      <c r="C44" s="1501"/>
      <c r="D44" s="1502"/>
      <c r="E44" s="267">
        <f>'KB 01'!E44+'KB 02'!E44+'KB 03'!E44+'KB 04'!E44+'KB 05'!E44+'KB 06'!E44+'KB 07'!E44+'KB 08'!E44+'KB 09'!E44+'KB 10'!E44+'KB 11'!E44+'KB 12'!E44+'KB 13'!E44+'KB 14'!E44+'KB 15'!E44+'KB 16'!E44+'KB 17'!E44+'KB 18'!E44+'KB 19'!E44+'KB 20'!E44+'KB 21'!E44+'KB 22'!E44+'KB23'!E44+'KB24'!E44+'KB25'!E44+'KB26'!E44+'KB27'!E44</f>
        <v>0</v>
      </c>
      <c r="F44" s="267">
        <f>'KB 01'!F44+'KB 02'!F44+'KB 03'!F44+'KB 04'!F44+'KB 05'!F44+'KB 06'!F44+'KB 07'!F44+'KB 08'!F44+'KB 09'!F44+'KB 10'!F44+'KB 11'!F44+'KB 12'!F44+'KB 13'!F44+'KB 14'!F44+'KB 15'!F44+'KB 16'!F44+'KB 17'!F44+'KB 18'!F44+'KB 19'!F44+'KB 20'!F44+'KB 21'!F44+'KB 22'!F44+'KB23'!F44+'KB24'!F44+'KB25'!F44+'KB26'!F44+'KB27'!F44</f>
        <v>0</v>
      </c>
      <c r="G44" s="267">
        <f>'KB 01'!G44+'KB 02'!G44+'KB 03'!G44+'KB 04'!G44+'KB 05'!G44+'KB 06'!G44+'KB 07'!G44+'KB 08'!G44+'KB 09'!G44+'KB 10'!G44+'KB 11'!G44+'KB 12'!G44+'KB 13'!G44+'KB 14'!G44+'KB 15'!G44+'KB 16'!G44+'KB 17'!G44+'KB 18'!G44+'KB 19'!G44+'KB 20'!G44+'KB 21'!G44+'KB 22'!G44+'KB23'!G44+'KB24'!G44+'KB25'!G44+'KB26'!G44+'KB27'!G44</f>
        <v>0</v>
      </c>
      <c r="H44" s="52"/>
      <c r="J44" s="1274"/>
      <c r="K44" s="1275"/>
      <c r="L44" s="1275"/>
      <c r="M44" s="1275"/>
      <c r="N44" s="1275"/>
      <c r="O44" s="1276"/>
    </row>
    <row r="45" spans="1:15" ht="12.75" x14ac:dyDescent="0.2">
      <c r="A45" s="355" t="str">
        <f t="shared" si="1"/>
        <v>Të tjera</v>
      </c>
      <c r="B45" s="1475" t="str">
        <f t="shared" si="2"/>
        <v>69 / ?</v>
      </c>
      <c r="C45" s="1476"/>
      <c r="D45" s="875"/>
      <c r="E45" s="267">
        <f>'KB 01'!E45+'KB 02'!E45+'KB 03'!E45+'KB 04'!E45+'KB 05'!E45+'KB 06'!E45+'KB 07'!E45+'KB 08'!E45+'KB 09'!E45+'KB 10'!E45+'KB 11'!E45+'KB 12'!E45+'KB 13'!E45+'KB 14'!E45+'KB 15'!E45+'KB 16'!E45+'KB 17'!E45+'KB 18'!E45+'KB 19'!E45+'KB 20'!E45+'KB 21'!E45+'KB 22'!E45+'KB23'!E45+'KB24'!E45+'KB25'!E45+'KB26'!E45+'KB27'!E45</f>
        <v>0</v>
      </c>
      <c r="F45" s="267">
        <f>'KB 01'!F45+'KB 02'!F45+'KB 03'!F45+'KB 04'!F45+'KB 05'!F45+'KB 06'!F45+'KB 07'!F45+'KB 08'!F45+'KB 09'!F45+'KB 10'!F45+'KB 11'!F45+'KB 12'!F45+'KB 13'!F45+'KB 14'!F45+'KB 15'!F45+'KB 16'!F45+'KB 17'!F45+'KB 18'!F45+'KB 19'!F45+'KB 20'!F45+'KB 21'!F45+'KB 22'!F45+'KB23'!F45+'KB24'!F45+'KB25'!F45+'KB26'!F45+'KB27'!F45</f>
        <v>0</v>
      </c>
      <c r="G45" s="267">
        <f>'KB 01'!G45+'KB 02'!G45+'KB 03'!G45+'KB 04'!G45+'KB 05'!G45+'KB 06'!G45+'KB 07'!G45+'KB 08'!G45+'KB 09'!G45+'KB 10'!G45+'KB 11'!G45+'KB 12'!G45+'KB 13'!G45+'KB 14'!G45+'KB 15'!G45+'KB 16'!G45+'KB 17'!G45+'KB 18'!G45+'KB 19'!G45+'KB 20'!G45+'KB 21'!G45+'KB 22'!G45+'KB23'!G45+'KB24'!G45+'KB25'!G45+'KB26'!G45+'KB27'!G45</f>
        <v>0</v>
      </c>
      <c r="H45" s="52"/>
      <c r="J45" s="1274"/>
      <c r="K45" s="1275"/>
      <c r="L45" s="1275"/>
      <c r="M45" s="1275"/>
      <c r="N45" s="1275"/>
      <c r="O45" s="1276"/>
    </row>
    <row r="46" spans="1:15" ht="12.75" x14ac:dyDescent="0.2">
      <c r="A46" s="134" t="str">
        <f>A34</f>
        <v>SHPENZIME KORRENTE</v>
      </c>
      <c r="B46" s="1503"/>
      <c r="C46" s="1504"/>
      <c r="D46" s="1505"/>
      <c r="E46" s="126">
        <f>'KB 01'!E46+'KB 02'!E46+'KB 03'!E46+'KB 04'!E46+'KB 05'!E46+'KB 06'!E46+'KB 07'!E46+'KB 08'!E46+'KB 09'!E46+'KB 10'!E46+'KB 11'!E46+'KB 12'!E46+'KB 13'!E46+'KB 14'!E46+'KB 15'!E46+'KB 16'!E46+'KB 17'!E46+'KB 18'!E46+'KB 19'!E46+'KB 20'!E46+'KB 21'!E46+'KB 22'!E46+'KB23'!E46+'KB24'!E46+'KB25'!E46+'KB26'!E46+'KB27'!E46</f>
        <v>1891127660</v>
      </c>
      <c r="F46" s="126">
        <f>'KB 01'!F46+'KB 02'!F46+'KB 03'!F46+'KB 04'!F46+'KB 05'!F46+'KB 06'!F46+'KB 07'!F46+'KB 08'!F46+'KB 09'!F46+'KB 10'!F46+'KB 11'!F46+'KB 12'!F46+'KB 13'!F46+'KB 14'!F46+'KB 15'!F46+'KB 16'!F46+'KB 17'!F46+'KB 18'!F46+'KB 19'!F46+'KB 20'!F46+'KB 21'!F46+'KB 22'!F46+'KB23'!F46+'KB24'!F46+'KB25'!F46+'KB26'!F46+'KB27'!F46</f>
        <v>1910372210</v>
      </c>
      <c r="G46" s="126">
        <f>'KB 01'!G46+'KB 02'!G46+'KB 03'!G46+'KB 04'!G46+'KB 05'!G46+'KB 06'!G46+'KB 07'!G46+'KB 08'!G46+'KB 09'!G46+'KB 10'!G46+'KB 11'!G46+'KB 12'!G46+'KB 13'!G46+'KB 14'!G46+'KB 15'!G46+'KB 16'!G46+'KB 17'!G46+'KB 18'!G46+'KB 19'!G46+'KB 20'!G46+'KB 21'!G46+'KB 22'!G46+'KB23'!G46+'KB24'!G46+'KB25'!G46+'KB26'!G46+'KB27'!G46</f>
        <v>1939667050</v>
      </c>
      <c r="H46" s="52"/>
      <c r="J46" s="1274"/>
      <c r="K46" s="1275"/>
      <c r="L46" s="1275"/>
      <c r="M46" s="1275"/>
      <c r="N46" s="1275"/>
      <c r="O46" s="1276"/>
    </row>
    <row r="47" spans="1:15" ht="12.75" x14ac:dyDescent="0.2">
      <c r="A47" s="122"/>
      <c r="B47" s="201"/>
      <c r="C47" s="123"/>
      <c r="D47" s="123"/>
      <c r="E47" s="10"/>
      <c r="F47" s="10"/>
      <c r="G47" s="130"/>
      <c r="H47" s="52"/>
      <c r="J47" s="1274"/>
      <c r="K47" s="1275"/>
      <c r="L47" s="1275"/>
      <c r="M47" s="1275"/>
      <c r="N47" s="1275"/>
      <c r="O47" s="1276"/>
    </row>
    <row r="48" spans="1:15" ht="12.75" x14ac:dyDescent="0.2">
      <c r="A48" s="134" t="str">
        <f>A18</f>
        <v>SHPENZIME TË PRITSHME</v>
      </c>
      <c r="B48" s="33">
        <f>'KB 01'!B48+'KB 02'!B48+'KB 03'!B48+'KB 04'!B48+'KB 05'!B48+'KB 06'!B48+'KB 07'!B48+'KB 08'!B48+'KB 09'!B48+'KB 10'!B48+'KB 11'!B48+'KB 12'!B48+'KB 13'!B48+'KB 14'!B48+'KB 15'!B48+'KB 16'!B48+'KB 17'!B48+'KB 18'!B48+'KB 19'!B48+'KB 20'!B48+'KB 21'!B48+'KB 22'!B48+'KB23'!B48+'KB24'!B48+'KB25'!B48+'KB26'!B48+'KB27'!B48</f>
        <v>1519965155</v>
      </c>
      <c r="C48" s="33">
        <f>'KB 01'!C48+'KB 02'!C48+'KB 03'!C48+'KB 04'!C48+'KB 05'!C48+'KB 06'!C48+'KB 07'!C48+'KB 08'!C48+'KB 09'!C48+'KB 10'!C48+'KB 11'!C48+'KB 12'!C48+'KB 13'!C48+'KB 14'!C48+'KB 15'!C48+'KB 16'!C48+'KB 17'!C48+'KB 18'!C48+'KB 19'!C48+'KB 20'!C48+'KB 21'!C48+'KB 22'!C48+'KB23'!C48+'KB24'!C48+'KB25'!C48+'KB26'!C48+'KB27'!C48</f>
        <v>1822305984</v>
      </c>
      <c r="D48" s="33">
        <f>'KB 01'!D48+'KB 02'!D48+'KB 03'!D48+'KB 04'!D48+'KB 05'!D48+'KB 06'!D48+'KB 07'!D48+'KB 08'!D48+'KB 09'!D48+'KB 10'!D48+'KB 11'!D48+'KB 12'!D48+'KB 13'!D48+'KB 14'!D48+'KB 15'!D48+'KB 16'!D48+'KB 17'!D48+'KB 18'!D48+'KB 19'!D48+'KB 20'!D48+'KB 21'!D48+'KB 22'!D48+'KB23'!D48+'KB24'!D48+'KB25'!D48+'KB26'!D48+'KB27'!D48</f>
        <v>2351787988</v>
      </c>
      <c r="E48" s="126">
        <f>'KB 01'!E48+'KB 02'!E48+'KB 03'!E48+'KB 04'!E48+'KB 05'!E48+'KB 06'!E48+'KB 07'!E48+'KB 08'!E48+'KB 09'!E48+'KB 10'!E48+'KB 11'!E48+'KB 12'!E48+'KB 13'!E48+'KB 14'!E48+'KB 15'!E48+'KB 16'!E48+'KB 17'!E48+'KB 18'!E48+'KB 19'!E48+'KB 20'!E48+'KB 21'!E48+'KB 22'!E48+'KB23'!E48+'KB24'!E48+'KB25'!E48+'KB26'!E48+'KB27'!E48</f>
        <v>2161408648</v>
      </c>
      <c r="F48" s="126">
        <f>'KB 01'!F48+'KB 02'!F48+'KB 03'!F48+'KB 04'!F48+'KB 05'!F48+'KB 06'!F48+'KB 07'!F48+'KB 08'!F48+'KB 09'!F48+'KB 10'!F48+'KB 11'!F48+'KB 12'!F48+'KB 13'!F48+'KB 14'!F48+'KB 15'!F48+'KB 16'!F48+'KB 17'!F48+'KB 18'!F48+'KB 19'!F48+'KB 20'!F48+'KB 21'!F48+'KB 22'!F48+'KB23'!F48+'KB24'!F48+'KB25'!F48+'KB26'!F48+'KB27'!F48</f>
        <v>2119789470</v>
      </c>
      <c r="G48" s="126">
        <f>'KB 01'!G48+'KB 02'!G48+'KB 03'!G48+'KB 04'!G48+'KB 05'!G48+'KB 06'!G48+'KB 07'!G48+'KB 08'!G48+'KB 09'!G48+'KB 10'!G48+'KB 11'!G48+'KB 12'!G48+'KB 13'!G48+'KB 14'!G48+'KB 15'!G48+'KB 16'!G48+'KB 17'!G48+'KB 18'!G48+'KB 19'!G48+'KB 20'!G48+'KB 21'!G48+'KB 22'!G48+'KB23'!G48+'KB24'!G48+'KB25'!G48+'KB26'!G48+'KB27'!G48</f>
        <v>2149440473</v>
      </c>
      <c r="H48" s="52"/>
      <c r="J48" s="1277"/>
      <c r="K48" s="1278"/>
      <c r="L48" s="1278"/>
      <c r="M48" s="1278"/>
      <c r="N48" s="1278"/>
      <c r="O48" s="1279"/>
    </row>
    <row r="49" spans="1:15" ht="12.75" x14ac:dyDescent="0.2">
      <c r="H49" s="52"/>
    </row>
    <row r="50" spans="1:15" ht="12.75" x14ac:dyDescent="0.2">
      <c r="A50" s="1096" t="str">
        <f>'(G1) Fjalori'!A396</f>
        <v>PËRPUTHSHMËRIA ME TAVANET</v>
      </c>
      <c r="B50" s="1104"/>
      <c r="C50" s="1506"/>
      <c r="D50" s="1506"/>
      <c r="E50" s="1506"/>
      <c r="F50" s="1506"/>
      <c r="G50" s="1506"/>
      <c r="H50" s="1506"/>
      <c r="I50" s="1506"/>
      <c r="J50" s="1506"/>
      <c r="K50" s="1506"/>
      <c r="L50" s="1506"/>
      <c r="M50" s="1506"/>
      <c r="N50" s="1506"/>
      <c r="O50" s="1507"/>
    </row>
    <row r="51" spans="1:15" s="27" customFormat="1" ht="12.75" x14ac:dyDescent="0.25">
      <c r="A51" s="131"/>
      <c r="B51" s="124"/>
      <c r="C51" s="124"/>
      <c r="D51" s="26"/>
      <c r="E51" s="26"/>
      <c r="F51" s="26"/>
      <c r="G51" s="26"/>
      <c r="H51" s="26"/>
      <c r="I51" s="26"/>
      <c r="J51" s="26"/>
      <c r="K51" s="26"/>
      <c r="L51" s="26"/>
      <c r="M51" s="238">
        <f>M16</f>
        <v>2022</v>
      </c>
      <c r="N51" s="238">
        <f>N16</f>
        <v>2023</v>
      </c>
      <c r="O51" s="238">
        <f>O16</f>
        <v>2024</v>
      </c>
    </row>
    <row r="52" spans="1:15" ht="12.75" x14ac:dyDescent="0.2">
      <c r="A52" s="1265" t="str">
        <f>'(G1) Fjalori'!A397</f>
        <v>Tavani i përgjithshëm</v>
      </c>
      <c r="B52" s="1266"/>
      <c r="C52" s="1266"/>
      <c r="D52" s="1266"/>
      <c r="E52" s="1266"/>
      <c r="F52" s="1266"/>
      <c r="G52" s="1266"/>
      <c r="H52" s="1266"/>
      <c r="I52" s="1266"/>
      <c r="J52" s="1266"/>
      <c r="K52" s="1266"/>
      <c r="L52" s="1267"/>
      <c r="M52" s="876">
        <f>'KB 01'!M52+'KB 02'!M52+'KB 03'!M52+'KB 04'!M52+'KB 05'!M52+'KB 06'!M52+'KB 07'!M52+'KB 08'!M52+'KB 09'!M52+'KB 10'!M52+'KB 11'!M52+'KB 12'!M52+'KB 13'!M52+'KB 14'!M52+'KB 15'!M52+'KB 16'!M52+'KB 17'!M52+'KB 18'!M52+'KB 19'!M52+'KB 20'!M52+'KB 21'!M52+'KB 22'!M52+'KB23'!M52+'KB24'!M52+'KB25'!M52+'KB26'!M52+'KB27'!M52</f>
        <v>2161408648</v>
      </c>
      <c r="N52" s="876">
        <f>'KB 01'!N52+'KB 02'!N52+'KB 03'!N52+'KB 04'!N52+'KB 05'!N52+'KB 06'!N52+'KB 07'!N52+'KB 08'!N52+'KB 09'!N52+'KB 10'!N52+'KB 11'!N52+'KB 12'!N52+'KB 13'!N52+'KB 14'!N52+'KB 15'!N52+'KB 16'!N52+'KB 17'!N52+'KB 18'!N52+'KB 19'!N52+'KB 20'!N52+'KB 21'!N52+'KB 22'!N52+'KB23'!N52+'KB24'!N52+'KB25'!N52+'KB26'!N52+'KB27'!N52</f>
        <v>2119789470</v>
      </c>
      <c r="O52" s="877">
        <f>'KB 01'!O52+'KB 02'!O52+'KB 03'!O52+'KB 04'!O52+'KB 05'!O52+'KB 06'!O52+'KB 07'!O52+'KB 08'!O52+'KB 09'!O52+'KB 10'!O52+'KB 11'!O52+'KB 12'!O52+'KB 13'!O52+'KB 14'!O52+'KB 15'!O52+'KB 16'!O52+'KB 17'!O52+'KB 18'!O52+'KB 19'!O52+'KB 20'!O52+'KB 21'!O52+'KB 22'!O52+'KB23'!O52+'KB24'!O52+'KB25'!O52+'KB26'!O52+'KB27'!O52</f>
        <v>2149440473</v>
      </c>
    </row>
    <row r="53" spans="1:15" ht="12.75" x14ac:dyDescent="0.2">
      <c r="A53" s="1268" t="str">
        <f>'(G1) Fjalori'!A398</f>
        <v>SHPENZIMET E PRITSHME</v>
      </c>
      <c r="B53" s="1269"/>
      <c r="C53" s="1269"/>
      <c r="D53" s="1269"/>
      <c r="E53" s="1269"/>
      <c r="F53" s="1269"/>
      <c r="G53" s="1269"/>
      <c r="H53" s="1269"/>
      <c r="I53" s="1269"/>
      <c r="J53" s="1269"/>
      <c r="K53" s="1269"/>
      <c r="L53" s="1270"/>
      <c r="M53" s="878">
        <f>'KB 01'!M53+'KB 02'!M53+'KB 03'!M53+'KB 04'!M53+'KB 05'!M53+'KB 06'!M53+'KB 07'!M53+'KB 08'!M53+'KB 09'!M53+'KB 10'!M53+'KB 11'!M53+'KB 12'!M53+'KB 13'!M53+'KB 14'!M53+'KB 15'!M53+'KB 16'!M53+'KB 17'!M53+'KB 18'!M53+'KB 19'!M53+'KB 20'!M53+'KB 21'!M53+'KB 22'!M53+'KB23'!M53+'KB24'!M53+'KB25'!M53+'KB26'!M53+'KB27'!M53</f>
        <v>2161408648</v>
      </c>
      <c r="N53" s="878">
        <f>'KB 01'!N53+'KB 02'!N53+'KB 03'!N53+'KB 04'!N53+'KB 05'!N53+'KB 06'!N53+'KB 07'!N53+'KB 08'!N53+'KB 09'!N53+'KB 10'!N53+'KB 11'!N53+'KB 12'!N53+'KB 13'!N53+'KB 14'!N53+'KB 15'!N53+'KB 16'!N53+'KB 17'!N53+'KB 18'!N53+'KB 19'!N53+'KB 20'!N53+'KB 21'!N53+'KB 22'!N53+'KB23'!N53+'KB24'!N53+'KB25'!N53+'KB26'!N53+'KB27'!N53</f>
        <v>2119789470</v>
      </c>
      <c r="O53" s="879">
        <f>'KB 01'!O53+'KB 02'!O53+'KB 03'!O53+'KB 04'!O53+'KB 05'!O53+'KB 06'!O53+'KB 07'!O53+'KB 08'!O53+'KB 09'!O53+'KB 10'!O53+'KB 11'!O53+'KB 12'!O53+'KB 13'!O53+'KB 14'!O53+'KB 15'!O53+'KB 16'!O53+'KB 17'!O53+'KB 18'!O53+'KB 19'!O53+'KB 20'!O53+'KB 21'!O53+'KB 22'!O53+'KB23'!O53+'KB24'!O53+'KB25'!O53+'KB26'!O53+'KB27'!O53</f>
        <v>2149440473</v>
      </c>
    </row>
    <row r="54" spans="1:15" ht="12.75" x14ac:dyDescent="0.2">
      <c r="A54" s="1497" t="str">
        <f>'(G1) Fjalori'!A399</f>
        <v>Diferenca mes tavaneve të përgjithshme (duhet të jetë &lt;0)</v>
      </c>
      <c r="B54" s="1498"/>
      <c r="C54" s="1498"/>
      <c r="D54" s="1498"/>
      <c r="E54" s="1498"/>
      <c r="F54" s="1498"/>
      <c r="G54" s="1498"/>
      <c r="H54" s="1498"/>
      <c r="I54" s="1498"/>
      <c r="J54" s="1498"/>
      <c r="K54" s="1498"/>
      <c r="L54" s="880" t="str">
        <f>IF(AND(M54&lt;0.4,N54&lt;0.4,O54&lt;0.4),"OK!","STOP!")</f>
        <v>OK!</v>
      </c>
      <c r="M54" s="878">
        <f>'KB 01'!M54+'KB 02'!M54+'KB 03'!M54+'KB 04'!M54+'KB 05'!M54+'KB 06'!M54+'KB 07'!M54+'KB 08'!M54+'KB 09'!M54+'KB 10'!M54+'KB 11'!M54+'KB 12'!M54+'KB 13'!M54+'KB 14'!M54+'KB 15'!M54+'KB 16'!M54+'KB 17'!M54+'KB 18'!M54+'KB 19'!M54+'KB 20'!M54+'KB 21'!M54+'KB 22'!M54+'KB23'!M54+'KB24'!M54+'KB25'!M54+'KB26'!M54+'KB27'!M54</f>
        <v>0</v>
      </c>
      <c r="N54" s="878">
        <f>'KB 01'!N54+'KB 02'!N54+'KB 03'!N54+'KB 04'!N54+'KB 05'!N54+'KB 06'!N54+'KB 07'!N54+'KB 08'!N54+'KB 09'!N54+'KB 10'!N54+'KB 11'!N54+'KB 12'!N54+'KB 13'!N54+'KB 14'!N54+'KB 15'!N54+'KB 16'!N54+'KB 17'!N54+'KB 18'!N54+'KB 19'!N54+'KB 20'!N54+'KB 21'!N54+'KB 22'!N54+'KB23'!N54+'KB24'!N54+'KB25'!N54+'KB26'!N54+'KB27'!N54</f>
        <v>0</v>
      </c>
      <c r="O54" s="879">
        <f>'KB 01'!O54+'KB 02'!O54+'KB 03'!O54+'KB 04'!O54+'KB 05'!O54+'KB 06'!O54+'KB 07'!O54+'KB 08'!O54+'KB 09'!O54+'KB 10'!O54+'KB 11'!O54+'KB 12'!O54+'KB 13'!O54+'KB 14'!O54+'KB 15'!O54+'KB 16'!O54+'KB 17'!O54+'KB 18'!O54+'KB 19'!O54+'KB 20'!O54+'KB 21'!O54+'KB 22'!O54+'KB23'!O54+'KB24'!O54+'KB25'!O54+'KB26'!O54+'KB27'!O54</f>
        <v>0</v>
      </c>
    </row>
    <row r="55" spans="1:15" ht="12.75" x14ac:dyDescent="0.2">
      <c r="A55" s="1265" t="str">
        <f>'(G1) Fjalori'!A400</f>
        <v>Tavani i pagave dhe sigurimeve shoqërore</v>
      </c>
      <c r="B55" s="1266"/>
      <c r="C55" s="1266"/>
      <c r="D55" s="1266"/>
      <c r="E55" s="1266"/>
      <c r="F55" s="1266"/>
      <c r="G55" s="1266"/>
      <c r="H55" s="1266"/>
      <c r="I55" s="1266"/>
      <c r="J55" s="1266"/>
      <c r="K55" s="1266"/>
      <c r="L55" s="1267"/>
      <c r="M55" s="876">
        <f>'KB 01'!M55+'KB 02'!M55+'KB 03'!M55+'KB 04'!M55+'KB 05'!M55+'KB 06'!M55+'KB 07'!M55+'KB 08'!M55+'KB 09'!M55+'KB 10'!M55+'KB 11'!M55+'KB 12'!M55+'KB 13'!M55+'KB 14'!M55+'KB 15'!M55+'KB 16'!M55+'KB 17'!M55+'KB 18'!M55+'KB 19'!M55+'KB 20'!M55+'KB 21'!M55+'KB 22'!M55+'KB23'!M55+'KB24'!M55+'KB25'!M55+'KB26'!M55+'KB27'!M55</f>
        <v>513772002</v>
      </c>
      <c r="N55" s="876">
        <f>'KB 01'!N55+'KB 02'!N55+'KB 03'!N55+'KB 04'!N55+'KB 05'!N55+'KB 06'!N55+'KB 07'!N55+'KB 08'!N55+'KB 09'!N55+'KB 10'!N55+'KB 11'!N55+'KB 12'!N55+'KB 13'!N55+'KB 14'!N55+'KB 15'!N55+'KB 16'!N55+'KB 17'!N55+'KB 18'!N55+'KB 19'!N55+'KB 20'!N55+'KB 21'!N55+'KB 22'!N55+'KB23'!N55+'KB24'!N55+'KB25'!N55+'KB26'!N55+'KB27'!N55</f>
        <v>526504214</v>
      </c>
      <c r="O55" s="877">
        <f>'KB 01'!O55+'KB 02'!O55+'KB 03'!O55+'KB 04'!O55+'KB 05'!O55+'KB 06'!O55+'KB 07'!O55+'KB 08'!O55+'KB 09'!O55+'KB 10'!O55+'KB 11'!O55+'KB 12'!O55+'KB 13'!O55+'KB 14'!O55+'KB 15'!O55+'KB 16'!O55+'KB 17'!O55+'KB 18'!O55+'KB 19'!O55+'KB 20'!O55+'KB 21'!O55+'KB 22'!O55+'KB23'!O55+'KB24'!O55+'KB25'!O55+'KB26'!O55+'KB27'!O55</f>
        <v>539464177</v>
      </c>
    </row>
    <row r="56" spans="1:15" ht="12.75" x14ac:dyDescent="0.2">
      <c r="A56" s="1497" t="str">
        <f>'(G1) Fjalori'!A401</f>
        <v>Paga dhe sigurime shoqërore</v>
      </c>
      <c r="B56" s="1498"/>
      <c r="C56" s="1498"/>
      <c r="D56" s="1498"/>
      <c r="E56" s="1498"/>
      <c r="F56" s="1498"/>
      <c r="G56" s="1498"/>
      <c r="H56" s="1498"/>
      <c r="I56" s="1498"/>
      <c r="J56" s="1498"/>
      <c r="K56" s="1498"/>
      <c r="L56" s="1499"/>
      <c r="M56" s="878">
        <f>'KB 01'!M56+'KB 02'!M56+'KB 03'!M56+'KB 04'!M56+'KB 05'!M56+'KB 06'!M56+'KB 07'!M56+'KB 08'!M56+'KB 09'!M56+'KB 10'!M56+'KB 11'!M56+'KB 12'!M56+'KB 13'!M56+'KB 14'!M56+'KB 15'!M56+'KB 16'!M56+'KB 17'!M56+'KB 18'!M56+'KB 19'!M56+'KB 20'!M56+'KB 21'!M56+'KB 22'!M56+'KB23'!M56+'KB24'!M56+'KB25'!M56+'KB26'!M56+'KB27'!M56</f>
        <v>513772002</v>
      </c>
      <c r="N56" s="878">
        <f>'KB 01'!N56+'KB 02'!N56+'KB 03'!N56+'KB 04'!N56+'KB 05'!N56+'KB 06'!N56+'KB 07'!N56+'KB 08'!N56+'KB 09'!N56+'KB 10'!N56+'KB 11'!N56+'KB 12'!N56+'KB 13'!N56+'KB 14'!N56+'KB 15'!N56+'KB 16'!N56+'KB 17'!N56+'KB 18'!N56+'KB 19'!N56+'KB 20'!N56+'KB 21'!N56+'KB 22'!N56+'KB23'!N56+'KB24'!N56+'KB25'!N56+'KB26'!N56+'KB27'!N56</f>
        <v>526504214</v>
      </c>
      <c r="O56" s="879">
        <f>'KB 01'!O56+'KB 02'!O56+'KB 03'!O56+'KB 04'!O56+'KB 05'!O56+'KB 06'!O56+'KB 07'!O56+'KB 08'!O56+'KB 09'!O56+'KB 10'!O56+'KB 11'!O56+'KB 12'!O56+'KB 13'!O56+'KB 14'!O56+'KB 15'!O56+'KB 16'!O56+'KB 17'!O56+'KB 18'!O56+'KB 19'!O56+'KB 20'!O56+'KB 21'!O56+'KB 22'!O56+'KB23'!O56+'KB24'!O56+'KB25'!O56+'KB26'!O56+'KB27'!O56</f>
        <v>539464177</v>
      </c>
    </row>
    <row r="57" spans="1:15" ht="12.75" x14ac:dyDescent="0.2">
      <c r="A57" s="1497" t="str">
        <f>'(G1) Fjalori'!A402</f>
        <v>Diferenca e tavaneve në paga dhe sigurime shoqërore (duhet të jetë &lt;0)</v>
      </c>
      <c r="B57" s="1498"/>
      <c r="C57" s="1498"/>
      <c r="D57" s="1498"/>
      <c r="E57" s="1498"/>
      <c r="F57" s="1498"/>
      <c r="G57" s="1498"/>
      <c r="H57" s="1498"/>
      <c r="I57" s="1498"/>
      <c r="J57" s="1498"/>
      <c r="K57" s="1498"/>
      <c r="L57" s="880" t="str">
        <f>IF(AND(M57&lt;0.4,N57&lt;0.4,O57&lt;0.4),"OK!","STOP!")</f>
        <v>OK!</v>
      </c>
      <c r="M57" s="878">
        <f>'KB 01'!M57+'KB 02'!M57+'KB 03'!M57+'KB 04'!M57+'KB 05'!M57+'KB 06'!M57+'KB 07'!M57+'KB 08'!M57+'KB 09'!M57+'KB 10'!M57+'KB 11'!M57+'KB 12'!M57+'KB 13'!M57+'KB 14'!M57+'KB 15'!M57+'KB 16'!M57+'KB 17'!M57+'KB 18'!M57+'KB 19'!M57+'KB 20'!M57+'KB 21'!M57+'KB 22'!M57+'KB23'!M57+'KB24'!M57+'KB25'!M57+'KB26'!M57+'KB27'!M57</f>
        <v>0</v>
      </c>
      <c r="N57" s="878">
        <f>'KB 01'!N57+'KB 02'!N57+'KB 03'!N57+'KB 04'!N57+'KB 05'!N57+'KB 06'!N57+'KB 07'!N57+'KB 08'!N57+'KB 09'!N57+'KB 10'!N57+'KB 11'!N57+'KB 12'!N57+'KB 13'!N57+'KB 14'!N57+'KB 15'!N57+'KB 16'!N57+'KB 17'!N57+'KB 18'!N57+'KB 19'!N57+'KB 20'!N57+'KB 21'!N57+'KB 22'!N57+'KB23'!N57+'KB24'!N57+'KB25'!N57+'KB26'!N57+'KB27'!N57</f>
        <v>0</v>
      </c>
      <c r="O57" s="879">
        <f>'KB 01'!O57+'KB 02'!O57+'KB 03'!O57+'KB 04'!O57+'KB 05'!O57+'KB 06'!O57+'KB 07'!O57+'KB 08'!O57+'KB 09'!O57+'KB 10'!O57+'KB 11'!O57+'KB 12'!O57+'KB 13'!O57+'KB 14'!O57+'KB 15'!O57+'KB 16'!O57+'KB 17'!O57+'KB 18'!O57+'KB 19'!O57+'KB 20'!O57+'KB 21'!O57+'KB 22'!O57+'KB23'!O57+'KB24'!O57+'KB25'!O57+'KB26'!O57+'KB27'!O57</f>
        <v>0</v>
      </c>
    </row>
    <row r="58" spans="1:15" s="27" customFormat="1" ht="12.75" x14ac:dyDescent="0.2">
      <c r="A58" s="1265" t="str">
        <f>'(G1) Fjalori'!A403</f>
        <v>Tavani për shpenzime e tjera korrente</v>
      </c>
      <c r="B58" s="1266"/>
      <c r="C58" s="1266"/>
      <c r="D58" s="1266"/>
      <c r="E58" s="1266"/>
      <c r="F58" s="1266"/>
      <c r="G58" s="1266"/>
      <c r="H58" s="1266"/>
      <c r="I58" s="1266"/>
      <c r="J58" s="1266"/>
      <c r="K58" s="1266"/>
      <c r="L58" s="1267"/>
      <c r="M58" s="876">
        <f>'KB 01'!M58+'KB 02'!M58+'KB 03'!M58+'KB 04'!M58+'KB 05'!M58+'KB 06'!M58+'KB 07'!M58+'KB 08'!M58+'KB 09'!M58+'KB 10'!M58+'KB 11'!M58+'KB 12'!M58+'KB 13'!M58+'KB 14'!M58+'KB 15'!M58+'KB 16'!M58+'KB 17'!M58+'KB 18'!M58+'KB 19'!M58+'KB 20'!M58+'KB 21'!M58+'KB 22'!M58+'KB23'!M58+'KB24'!M58+'KB25'!M58+'KB26'!M58+'KB27'!M58</f>
        <v>1377355658</v>
      </c>
      <c r="N58" s="876">
        <f>'KB 01'!N58+'KB 02'!N58+'KB 03'!N58+'KB 04'!N58+'KB 05'!N58+'KB 06'!N58+'KB 07'!N58+'KB 08'!N58+'KB 09'!N58+'KB 10'!N58+'KB 11'!N58+'KB 12'!N58+'KB 13'!N58+'KB 14'!N58+'KB 15'!N58+'KB 16'!N58+'KB 17'!N58+'KB 18'!N58+'KB 19'!N58+'KB 20'!N58+'KB 21'!N58+'KB 22'!N58+'KB23'!N58+'KB24'!N58+'KB25'!N58+'KB26'!N58+'KB27'!N58</f>
        <v>1383867996</v>
      </c>
      <c r="O58" s="877">
        <f>'KB 01'!O58+'KB 02'!O58+'KB 03'!O58+'KB 04'!O58+'KB 05'!O58+'KB 06'!O58+'KB 07'!O58+'KB 08'!O58+'KB 09'!O58+'KB 10'!O58+'KB 11'!O58+'KB 12'!O58+'KB 13'!O58+'KB 14'!O58+'KB 15'!O58+'KB 16'!O58+'KB 17'!O58+'KB 18'!O58+'KB 19'!O58+'KB 20'!O58+'KB 21'!O58+'KB 22'!O58+'KB23'!O58+'KB24'!O58+'KB25'!O58+'KB26'!O58+'KB27'!O58</f>
        <v>1400202873</v>
      </c>
    </row>
    <row r="59" spans="1:15" s="27" customFormat="1" ht="12.75" x14ac:dyDescent="0.2">
      <c r="A59" s="1497" t="str">
        <f>'(G1) Fjalori'!A404</f>
        <v>Konsumi (përjashtuar paga dhe sigurimet shoqërore)</v>
      </c>
      <c r="B59" s="1498"/>
      <c r="C59" s="1498"/>
      <c r="D59" s="1498"/>
      <c r="E59" s="1498"/>
      <c r="F59" s="1498"/>
      <c r="G59" s="1498"/>
      <c r="H59" s="1498"/>
      <c r="I59" s="1498"/>
      <c r="J59" s="1498"/>
      <c r="K59" s="1498"/>
      <c r="L59" s="1499"/>
      <c r="M59" s="878">
        <f>'KB 01'!M59+'KB 02'!M59+'KB 03'!M59+'KB 04'!M59+'KB 05'!M59+'KB 06'!M59+'KB 07'!M59+'KB 08'!M59+'KB 09'!M59+'KB 10'!M59+'KB 11'!M59+'KB 12'!M59+'KB 13'!M59+'KB 14'!M59+'KB 15'!M59+'KB 16'!M59+'KB 17'!M59+'KB 18'!M59+'KB 19'!M59+'KB 20'!M59+'KB 21'!M59+'KB 22'!M59+'KB23'!M59+'KB24'!M59+'KB25'!M59+'KB26'!M59+'KB27'!M59</f>
        <v>1377355658</v>
      </c>
      <c r="N59" s="878">
        <f>'KB 01'!N59+'KB 02'!N59+'KB 03'!N59+'KB 04'!N59+'KB 05'!N59+'KB 06'!N59+'KB 07'!N59+'KB 08'!N59+'KB 09'!N59+'KB 10'!N59+'KB 11'!N59+'KB 12'!N59+'KB 13'!N59+'KB 14'!N59+'KB 15'!N59+'KB 16'!N59+'KB 17'!N59+'KB 18'!N59+'KB 19'!N59+'KB 20'!N59+'KB 21'!N59+'KB 22'!N59+'KB23'!N59+'KB24'!N59+'KB25'!N59+'KB26'!N59+'KB27'!N59</f>
        <v>1383867996</v>
      </c>
      <c r="O59" s="879">
        <f>'KB 01'!O59+'KB 02'!O59+'KB 03'!O59+'KB 04'!O59+'KB 05'!O59+'KB 06'!O59+'KB 07'!O59+'KB 08'!O59+'KB 09'!O59+'KB 10'!O59+'KB 11'!O59+'KB 12'!O59+'KB 13'!O59+'KB 14'!O59+'KB 15'!O59+'KB 16'!O59+'KB 17'!O59+'KB 18'!O59+'KB 19'!O59+'KB 20'!O59+'KB 21'!O59+'KB 22'!O59+'KB23'!O59+'KB24'!O59+'KB25'!O59+'KB26'!O59+'KB27'!O59</f>
        <v>1400202873</v>
      </c>
    </row>
    <row r="60" spans="1:15" s="27" customFormat="1" ht="12.75" x14ac:dyDescent="0.2">
      <c r="A60" s="1497" t="str">
        <f>'(G1) Fjalori'!A405</f>
        <v>Diferenca e tavaneve në konsum (duhet të jetë &lt;0)</v>
      </c>
      <c r="B60" s="1498"/>
      <c r="C60" s="1498"/>
      <c r="D60" s="1498"/>
      <c r="E60" s="1498"/>
      <c r="F60" s="1498"/>
      <c r="G60" s="1498"/>
      <c r="H60" s="1498"/>
      <c r="I60" s="1498"/>
      <c r="J60" s="1498"/>
      <c r="K60" s="1498"/>
      <c r="L60" s="880" t="str">
        <f>IF(AND(M60&lt;0.4,N60&lt;0.4,O60&lt;0.4),"OK!","STOP!")</f>
        <v>OK!</v>
      </c>
      <c r="M60" s="878">
        <f>'KB 01'!M60+'KB 02'!M60+'KB 03'!M60+'KB 04'!M60+'KB 05'!M60+'KB 06'!M60+'KB 07'!M60+'KB 08'!M60+'KB 09'!M60+'KB 10'!M60+'KB 11'!M60+'KB 12'!M60+'KB 13'!M60+'KB 14'!M60+'KB 15'!M60+'KB 16'!M60+'KB 17'!M60+'KB 18'!M60+'KB 19'!M60+'KB 20'!M60+'KB 21'!M60+'KB 22'!M60+'KB23'!M60+'KB24'!M60+'KB25'!M60+'KB26'!M60+'KB27'!M60</f>
        <v>0</v>
      </c>
      <c r="N60" s="878">
        <f>'KB 01'!N60+'KB 02'!N60+'KB 03'!N60+'KB 04'!N60+'KB 05'!N60+'KB 06'!N60+'KB 07'!N60+'KB 08'!N60+'KB 09'!N60+'KB 10'!N60+'KB 11'!N60+'KB 12'!N60+'KB 13'!N60+'KB 14'!N60+'KB 15'!N60+'KB 16'!N60+'KB 17'!N60+'KB 18'!N60+'KB 19'!N60+'KB 20'!N60+'KB 21'!N60+'KB 22'!N60+'KB23'!N60+'KB24'!N60+'KB25'!N60+'KB26'!N60+'KB27'!N60</f>
        <v>0</v>
      </c>
      <c r="O60" s="879">
        <f>'KB 01'!O60+'KB 02'!O60+'KB 03'!O60+'KB 04'!O60+'KB 05'!O60+'KB 06'!O60+'KB 07'!O60+'KB 08'!O60+'KB 09'!O60+'KB 10'!O60+'KB 11'!O60+'KB 12'!O60+'KB 13'!O60+'KB 14'!O60+'KB 15'!O60+'KB 16'!O60+'KB 17'!O60+'KB 18'!O60+'KB 19'!O60+'KB 20'!O60+'KB 21'!O60+'KB 22'!O60+'KB23'!O60+'KB24'!O60+'KB25'!O60+'KB26'!O60+'KB27'!O60</f>
        <v>0</v>
      </c>
    </row>
    <row r="61" spans="1:15" ht="12.75" x14ac:dyDescent="0.2">
      <c r="A61" s="1265" t="str">
        <f>'(G1) Fjalori'!A406</f>
        <v>Minimumi i shpenzimeve kapitale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7"/>
      <c r="M61" s="876">
        <f>'KB 01'!M61+'KB 02'!M61+'KB 03'!M61+'KB 04'!M61+'KB 05'!M61+'KB 06'!M61+'KB 07'!M61+'KB 08'!M61+'KB 09'!M61+'KB 10'!M61+'KB 11'!M61+'KB 12'!M61+'KB 13'!M61+'KB 14'!M61+'KB 15'!M61+'KB 16'!M61+'KB 17'!M61+'KB 18'!M61+'KB 19'!M61+'KB 20'!M61+'KB 21'!M61+'KB 22'!M61+'KB23'!M61+'KB24'!M61+'KB25'!M61+'KB26'!M61+'KB27'!M61</f>
        <v>270280988</v>
      </c>
      <c r="N61" s="876">
        <f>'KB 01'!N61+'KB 02'!N61+'KB 03'!N61+'KB 04'!N61+'KB 05'!N61+'KB 06'!N61+'KB 07'!N61+'KB 08'!N61+'KB 09'!N61+'KB 10'!N61+'KB 11'!N61+'KB 12'!N61+'KB 13'!N61+'KB 14'!N61+'KB 15'!N61+'KB 16'!N61+'KB 17'!N61+'KB 18'!N61+'KB 19'!N61+'KB 20'!N61+'KB 21'!N61+'KB 22'!N61+'KB23'!N61+'KB24'!N61+'KB25'!N61+'KB26'!N61+'KB27'!N61</f>
        <v>209417260</v>
      </c>
      <c r="O61" s="877">
        <f>'KB 01'!O61+'KB 02'!O61+'KB 03'!O61+'KB 04'!O61+'KB 05'!O61+'KB 06'!O61+'KB 07'!O61+'KB 08'!O61+'KB 09'!O61+'KB 10'!O61+'KB 11'!O61+'KB 12'!O61+'KB 13'!O61+'KB 14'!O61+'KB 15'!O61+'KB 16'!O61+'KB 17'!O61+'KB 18'!O61+'KB 19'!O61+'KB 20'!O61+'KB 21'!O61+'KB 22'!O61+'KB23'!O61+'KB24'!O61+'KB25'!O61+'KB26'!O61+'KB27'!O61</f>
        <v>209773423</v>
      </c>
    </row>
    <row r="62" spans="1:15" ht="12.75" x14ac:dyDescent="0.2">
      <c r="A62" s="1497" t="str">
        <f>'(G1) Fjalori'!A407</f>
        <v>Shpenzimet kapitale</v>
      </c>
      <c r="B62" s="1498"/>
      <c r="C62" s="1498"/>
      <c r="D62" s="1498"/>
      <c r="E62" s="1498"/>
      <c r="F62" s="1498"/>
      <c r="G62" s="1498"/>
      <c r="H62" s="1498"/>
      <c r="I62" s="1498"/>
      <c r="J62" s="1498"/>
      <c r="K62" s="1498"/>
      <c r="L62" s="1499"/>
      <c r="M62" s="878">
        <f>'KB 01'!M62+'KB 02'!M62+'KB 03'!M62+'KB 04'!M62+'KB 05'!M62+'KB 06'!M62+'KB 07'!M62+'KB 08'!M62+'KB 09'!M62+'KB 10'!M62+'KB 11'!M62+'KB 12'!M62+'KB 13'!M62+'KB 14'!M62+'KB 15'!M62+'KB 16'!M62+'KB 17'!M62+'KB 18'!M62+'KB 19'!M62+'KB 20'!M62+'KB 21'!M62+'KB 22'!M62+'KB23'!M62+'KB24'!M62+'KB25'!M62+'KB26'!M62+'KB27'!M62</f>
        <v>270280988</v>
      </c>
      <c r="N62" s="878">
        <f>'KB 01'!N62+'KB 02'!N62+'KB 03'!N62+'KB 04'!N62+'KB 05'!N62+'KB 06'!N62+'KB 07'!N62+'KB 08'!N62+'KB 09'!N62+'KB 10'!N62+'KB 11'!N62+'KB 12'!N62+'KB 13'!N62+'KB 14'!N62+'KB 15'!N62+'KB 16'!N62+'KB 17'!N62+'KB 18'!N62+'KB 19'!N62+'KB 20'!N62+'KB 21'!N62+'KB 22'!N62+'KB23'!N62+'KB24'!N62+'KB25'!N62+'KB26'!N62+'KB27'!N62</f>
        <v>209417260</v>
      </c>
      <c r="O62" s="879">
        <f>'KB 01'!O62+'KB 02'!O62+'KB 03'!O62+'KB 04'!O62+'KB 05'!O62+'KB 06'!O62+'KB 07'!O62+'KB 08'!O62+'KB 09'!O62+'KB 10'!O62+'KB 11'!O62+'KB 12'!O62+'KB 13'!O62+'KB 14'!O62+'KB 15'!O62+'KB 16'!O62+'KB 17'!O62+'KB 18'!O62+'KB 19'!O62+'KB 20'!O62+'KB 21'!O62+'KB 22'!O62+'KB23'!O62+'KB24'!O62+'KB25'!O62+'KB26'!O62+'KB27'!O62</f>
        <v>209773423</v>
      </c>
    </row>
    <row r="63" spans="1:15" s="96" customFormat="1" ht="12.75" x14ac:dyDescent="0.2">
      <c r="A63" s="1497" t="str">
        <f>'(G1) Fjalori'!A408</f>
        <v>Diferenca e minimumit të shpenzimeve kapitale (duhet të jetë &gt;0)</v>
      </c>
      <c r="B63" s="1498"/>
      <c r="C63" s="1498"/>
      <c r="D63" s="1498"/>
      <c r="E63" s="1498"/>
      <c r="F63" s="1498"/>
      <c r="G63" s="1498"/>
      <c r="H63" s="1498"/>
      <c r="I63" s="1498"/>
      <c r="J63" s="1498"/>
      <c r="K63" s="1498"/>
      <c r="L63" s="880" t="str">
        <f>IF(AND(M63&gt;-0.4,N63&gt;-0.4,O63&gt;-0.4),"OK!","STOP!")</f>
        <v>OK!</v>
      </c>
      <c r="M63" s="878">
        <f>'KB 01'!M63+'KB 02'!M63+'KB 03'!M63+'KB 04'!M63+'KB 05'!M63+'KB 06'!M63+'KB 07'!M63+'KB 08'!M63+'KB 09'!M63+'KB 10'!M63+'KB 11'!M63+'KB 12'!M63+'KB 13'!M63+'KB 14'!M63+'KB 15'!M63+'KB 16'!M63+'KB 17'!M63+'KB 18'!M63+'KB 19'!M63+'KB 20'!M63+'KB 21'!M63+'KB 22'!M63+'KB23'!M63+'KB24'!M63+'KB25'!M63+'KB26'!M63+'KB27'!M63</f>
        <v>0</v>
      </c>
      <c r="N63" s="878">
        <f>'KB 01'!N63+'KB 02'!N63+'KB 03'!N63+'KB 04'!N63+'KB 05'!N63+'KB 06'!N63+'KB 07'!N63+'KB 08'!N63+'KB 09'!N63+'KB 10'!N63+'KB 11'!N63+'KB 12'!N63+'KB 13'!N63+'KB 14'!N63+'KB 15'!N63+'KB 16'!N63+'KB 17'!N63+'KB 18'!N63+'KB 19'!N63+'KB 20'!N63+'KB 21'!N63+'KB 22'!N63+'KB23'!N63+'KB24'!N63+'KB25'!N63+'KB26'!N63+'KB27'!N63</f>
        <v>0</v>
      </c>
      <c r="O63" s="879">
        <f>'KB 01'!O63+'KB 02'!O63+'KB 03'!O63+'KB 04'!O63+'KB 05'!O63+'KB 06'!O63+'KB 07'!O63+'KB 08'!O63+'KB 09'!O63+'KB 10'!O63+'KB 11'!O63+'KB 12'!O63+'KB 13'!O63+'KB 14'!O63+'KB 15'!O63+'KB 16'!O63+'KB 17'!O63+'KB 18'!O63+'KB 19'!O63+'KB 20'!O63+'KB 21'!O63+'KB 22'!O63+'KB23'!O63+'KB24'!O63+'KB25'!O63+'KB26'!O63+'KB27'!O63</f>
        <v>0</v>
      </c>
    </row>
    <row r="64" spans="1:15" s="96" customFormat="1" ht="12.75" x14ac:dyDescent="0.2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132"/>
      <c r="L64" s="132"/>
      <c r="M64" s="132"/>
      <c r="N64" s="132"/>
      <c r="O64" s="132"/>
    </row>
    <row r="65" spans="1:15" s="96" customFormat="1" ht="12.75" x14ac:dyDescent="0.2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132"/>
      <c r="L65" s="132"/>
      <c r="M65" s="132"/>
      <c r="N65" s="132"/>
      <c r="O65" s="132"/>
    </row>
    <row r="66" spans="1:15" ht="12.75" x14ac:dyDescent="0.2">
      <c r="A66" s="1494" t="str">
        <f>A20</f>
        <v>SHPENZIME TË PRITSHME</v>
      </c>
      <c r="B66" s="1495"/>
      <c r="C66" s="1495"/>
      <c r="D66" s="1495"/>
      <c r="E66" s="1495" t="e">
        <f>'KB 01'!E66+'KB 02'!E66+'KB 03'!E66+'KB 04'!E66+'KB 05'!E66+'KB 06'!E66+'KB 07'!E66+'KB 08'!E66+'KB 09'!E66+'KB 10'!E66+'KB 11'!E66+'KB 12'!E66+'KB 13'!E66+'KB 14'!E66+'KB 15'!E66+'KB 16'!E66+'KB 17'!E66+'KB 18'!E66+'KB 19'!E66+'KB 20'!E66+'KB 21'!E66+'KB 22'!E66+#REF!+'KB23'!E66+'KB24'!E66+'KB25'!E66+'KB26'!E66+'KB27'!E66+#REF!</f>
        <v>#REF!</v>
      </c>
      <c r="F66" s="1495" t="e">
        <f>'KB 01'!F66+'KB 02'!F66+'KB 03'!F66+'KB 04'!F66+'KB 05'!F66+'KB 06'!F66+'KB 07'!F66+'KB 08'!F66+'KB 09'!F66+'KB 10'!F66+'KB 11'!F66+'KB 12'!F66+'KB 13'!F66+'KB 14'!F66+'KB 15'!F66+'KB 16'!F66+'KB 17'!F66+'KB 18'!F66+'KB 19'!F66+'KB 20'!F66+'KB 21'!F66+'KB 22'!F66+#REF!+'KB23'!F66+'KB24'!F66+'KB25'!F66+'KB26'!F66+'KB27'!F66+#REF!</f>
        <v>#REF!</v>
      </c>
      <c r="G66" s="1496" t="e">
        <f>'KB 01'!G66+'KB 02'!G66+'KB 03'!G66+'KB 04'!G66+'KB 05'!G66+'KB 06'!G66+'KB 07'!G66+'KB 08'!G66+'KB 09'!G66+'KB 10'!G66+'KB 11'!G66+'KB 12'!G66+'KB 13'!G66+'KB 14'!G66+'KB 15'!G66+'KB 16'!G66+'KB 17'!G66+'KB 18'!G66+'KB 19'!G66+'KB 20'!G66+'KB 21'!G66+'KB 22'!G66+#REF!+'KB23'!G66+'KB24'!G66+'KB25'!G66+'KB26'!G66+'KB27'!G66+#REF!</f>
        <v>#REF!</v>
      </c>
    </row>
    <row r="67" spans="1:15" ht="12.75" x14ac:dyDescent="0.2">
      <c r="A67" s="881"/>
      <c r="B67" s="236">
        <f t="shared" ref="B67:G67" si="3">B16</f>
        <v>2019</v>
      </c>
      <c r="C67" s="236">
        <f t="shared" si="3"/>
        <v>2020</v>
      </c>
      <c r="D67" s="236">
        <f t="shared" si="3"/>
        <v>2021</v>
      </c>
      <c r="E67" s="237">
        <f t="shared" si="3"/>
        <v>2022</v>
      </c>
      <c r="F67" s="237">
        <f t="shared" si="3"/>
        <v>2023</v>
      </c>
      <c r="G67" s="237">
        <f t="shared" si="3"/>
        <v>2024</v>
      </c>
    </row>
    <row r="68" spans="1:15" ht="12.75" x14ac:dyDescent="0.2">
      <c r="A68" s="134" t="str">
        <f t="shared" ref="A68:B78" si="4">A22</f>
        <v>Pagat</v>
      </c>
      <c r="B68" s="882">
        <f t="shared" si="4"/>
        <v>600</v>
      </c>
      <c r="C68" s="883"/>
      <c r="D68" s="884"/>
      <c r="E68" s="267">
        <f t="shared" ref="E68:G78" si="5">E22+E35</f>
        <v>428196583.94999999</v>
      </c>
      <c r="F68" s="267">
        <f t="shared" si="5"/>
        <v>438654594.88</v>
      </c>
      <c r="G68" s="267">
        <f t="shared" si="5"/>
        <v>449654063.00000006</v>
      </c>
    </row>
    <row r="69" spans="1:15" ht="12.75" x14ac:dyDescent="0.2">
      <c r="A69" s="134" t="str">
        <f t="shared" si="4"/>
        <v>Sigurimet Shoqërore</v>
      </c>
      <c r="B69" s="882">
        <f t="shared" si="4"/>
        <v>601</v>
      </c>
      <c r="C69" s="883"/>
      <c r="D69" s="884"/>
      <c r="E69" s="267">
        <f t="shared" si="5"/>
        <v>85575418.049999997</v>
      </c>
      <c r="F69" s="267">
        <f t="shared" si="5"/>
        <v>87849619.11999999</v>
      </c>
      <c r="G69" s="267">
        <f t="shared" si="5"/>
        <v>89810114</v>
      </c>
    </row>
    <row r="70" spans="1:15" ht="12.75" x14ac:dyDescent="0.2">
      <c r="A70" s="134" t="str">
        <f t="shared" si="4"/>
        <v>Mallra dhe shërbime</v>
      </c>
      <c r="B70" s="882">
        <f t="shared" si="4"/>
        <v>602</v>
      </c>
      <c r="C70" s="883"/>
      <c r="D70" s="884"/>
      <c r="E70" s="267">
        <f t="shared" si="5"/>
        <v>445861658</v>
      </c>
      <c r="F70" s="267">
        <f t="shared" si="5"/>
        <v>452373996</v>
      </c>
      <c r="G70" s="267">
        <f t="shared" si="5"/>
        <v>468708873</v>
      </c>
    </row>
    <row r="71" spans="1:15" ht="12.75" x14ac:dyDescent="0.2">
      <c r="A71" s="134" t="str">
        <f t="shared" si="4"/>
        <v>Subvencione</v>
      </c>
      <c r="B71" s="882">
        <f t="shared" si="4"/>
        <v>603</v>
      </c>
      <c r="C71" s="883"/>
      <c r="D71" s="884"/>
      <c r="E71" s="267">
        <f t="shared" si="5"/>
        <v>0</v>
      </c>
      <c r="F71" s="267">
        <f t="shared" si="5"/>
        <v>0</v>
      </c>
      <c r="G71" s="267">
        <f t="shared" si="5"/>
        <v>0</v>
      </c>
    </row>
    <row r="72" spans="1:15" ht="12.75" x14ac:dyDescent="0.2">
      <c r="A72" s="134" t="str">
        <f t="shared" si="4"/>
        <v>Të tjera transferta korrente të brendshme</v>
      </c>
      <c r="B72" s="882">
        <f t="shared" si="4"/>
        <v>604</v>
      </c>
      <c r="C72" s="883"/>
      <c r="D72" s="884"/>
      <c r="E72" s="267">
        <f t="shared" si="5"/>
        <v>0</v>
      </c>
      <c r="F72" s="267">
        <f t="shared" si="5"/>
        <v>0</v>
      </c>
      <c r="G72" s="267">
        <f t="shared" si="5"/>
        <v>0</v>
      </c>
    </row>
    <row r="73" spans="1:15" ht="12.75" x14ac:dyDescent="0.2">
      <c r="A73" s="134" t="str">
        <f t="shared" si="4"/>
        <v>Transferta korrente të huaja</v>
      </c>
      <c r="B73" s="882">
        <f t="shared" si="4"/>
        <v>605</v>
      </c>
      <c r="C73" s="883"/>
      <c r="D73" s="884"/>
      <c r="E73" s="267">
        <f t="shared" si="5"/>
        <v>0</v>
      </c>
      <c r="F73" s="267">
        <f t="shared" si="5"/>
        <v>0</v>
      </c>
      <c r="G73" s="267">
        <f t="shared" si="5"/>
        <v>0</v>
      </c>
    </row>
    <row r="74" spans="1:15" ht="12.75" x14ac:dyDescent="0.2">
      <c r="A74" s="134" t="str">
        <f t="shared" si="4"/>
        <v>Transferta për Buxhetet Familiare dhe Individët</v>
      </c>
      <c r="B74" s="882">
        <f t="shared" si="4"/>
        <v>606</v>
      </c>
      <c r="C74" s="883"/>
      <c r="D74" s="884"/>
      <c r="E74" s="267">
        <f t="shared" si="5"/>
        <v>931494000</v>
      </c>
      <c r="F74" s="267">
        <f t="shared" si="5"/>
        <v>931494000</v>
      </c>
      <c r="G74" s="267">
        <f t="shared" si="5"/>
        <v>931494000</v>
      </c>
    </row>
    <row r="75" spans="1:15" ht="12.75" x14ac:dyDescent="0.2">
      <c r="A75" s="134" t="str">
        <f t="shared" si="4"/>
        <v>Shpenzimet kapitale</v>
      </c>
      <c r="B75" s="885" t="str">
        <f t="shared" si="4"/>
        <v>230 / 231</v>
      </c>
      <c r="C75" s="883"/>
      <c r="D75" s="884"/>
      <c r="E75" s="267">
        <f t="shared" si="5"/>
        <v>270280988</v>
      </c>
      <c r="F75" s="267">
        <f t="shared" si="5"/>
        <v>209417260</v>
      </c>
      <c r="G75" s="267">
        <f t="shared" si="5"/>
        <v>209773423</v>
      </c>
    </row>
    <row r="76" spans="1:15" ht="12.75" x14ac:dyDescent="0.2">
      <c r="A76" s="134" t="str">
        <f t="shared" si="4"/>
        <v>Rezerva</v>
      </c>
      <c r="B76" s="885">
        <f t="shared" si="4"/>
        <v>609</v>
      </c>
      <c r="C76" s="883"/>
      <c r="D76" s="884"/>
      <c r="E76" s="267">
        <f t="shared" si="5"/>
        <v>0</v>
      </c>
      <c r="F76" s="267">
        <f t="shared" si="5"/>
        <v>0</v>
      </c>
      <c r="G76" s="267">
        <f t="shared" si="5"/>
        <v>0</v>
      </c>
    </row>
    <row r="77" spans="1:15" ht="12.75" x14ac:dyDescent="0.2">
      <c r="A77" s="134" t="str">
        <f t="shared" si="4"/>
        <v>Interesa per kredi direkte ose bono</v>
      </c>
      <c r="B77" s="885">
        <f t="shared" si="4"/>
        <v>650</v>
      </c>
      <c r="C77" s="883"/>
      <c r="D77" s="884"/>
      <c r="E77" s="267">
        <f t="shared" si="5"/>
        <v>0</v>
      </c>
      <c r="F77" s="267">
        <f t="shared" si="5"/>
        <v>0</v>
      </c>
      <c r="G77" s="267">
        <f t="shared" si="5"/>
        <v>0</v>
      </c>
    </row>
    <row r="78" spans="1:15" ht="12.75" x14ac:dyDescent="0.2">
      <c r="A78" s="134" t="str">
        <f t="shared" si="4"/>
        <v>Të tjera</v>
      </c>
      <c r="B78" s="885" t="str">
        <f t="shared" si="4"/>
        <v>69 / ?</v>
      </c>
      <c r="C78" s="883"/>
      <c r="D78" s="884"/>
      <c r="E78" s="126">
        <f t="shared" si="5"/>
        <v>0</v>
      </c>
      <c r="F78" s="126">
        <f t="shared" si="5"/>
        <v>0</v>
      </c>
      <c r="G78" s="126">
        <f t="shared" si="5"/>
        <v>0</v>
      </c>
    </row>
    <row r="79" spans="1:15" s="96" customFormat="1" ht="12.75" x14ac:dyDescent="0.2">
      <c r="A79" s="886"/>
      <c r="B79" s="887"/>
      <c r="C79" s="888"/>
      <c r="D79" s="888"/>
      <c r="E79" s="123"/>
      <c r="F79" s="123"/>
      <c r="G79" s="123"/>
    </row>
    <row r="80" spans="1:15" ht="12.75" x14ac:dyDescent="0.2">
      <c r="A80" s="889" t="str">
        <f>A48</f>
        <v>SHPENZIME TË PRITSHME</v>
      </c>
      <c r="B80" s="890">
        <f>B48</f>
        <v>1519965155</v>
      </c>
      <c r="C80" s="890">
        <f>C48</f>
        <v>1822305984</v>
      </c>
      <c r="D80" s="890">
        <f>D48</f>
        <v>2351787988</v>
      </c>
      <c r="E80" s="891">
        <f>E33+E46</f>
        <v>2161408648</v>
      </c>
      <c r="F80" s="891">
        <f>F33+F46</f>
        <v>2119789470</v>
      </c>
      <c r="G80" s="891">
        <f>G33+G46</f>
        <v>2149440473</v>
      </c>
    </row>
  </sheetData>
  <sheetProtection selectLockedCells="1"/>
  <mergeCells count="51">
    <mergeCell ref="A58:L58"/>
    <mergeCell ref="J43:O48"/>
    <mergeCell ref="B44:D44"/>
    <mergeCell ref="B45:C45"/>
    <mergeCell ref="B46:D46"/>
    <mergeCell ref="A50:O50"/>
    <mergeCell ref="A52:L52"/>
    <mergeCell ref="B43:D43"/>
    <mergeCell ref="A53:L53"/>
    <mergeCell ref="A54:K54"/>
    <mergeCell ref="A55:L55"/>
    <mergeCell ref="A56:L56"/>
    <mergeCell ref="A57:K57"/>
    <mergeCell ref="A66:G66"/>
    <mergeCell ref="A59:L59"/>
    <mergeCell ref="A60:K60"/>
    <mergeCell ref="A61:L61"/>
    <mergeCell ref="A62:L62"/>
    <mergeCell ref="A63:K63"/>
    <mergeCell ref="B38:D38"/>
    <mergeCell ref="B39:D39"/>
    <mergeCell ref="B40:D40"/>
    <mergeCell ref="B41:D41"/>
    <mergeCell ref="B42:D42"/>
    <mergeCell ref="B37:D37"/>
    <mergeCell ref="J37:L37"/>
    <mergeCell ref="B27:D27"/>
    <mergeCell ref="B28:D28"/>
    <mergeCell ref="B29:D29"/>
    <mergeCell ref="B30:D30"/>
    <mergeCell ref="B31:D31"/>
    <mergeCell ref="B32:D32"/>
    <mergeCell ref="I32:O33"/>
    <mergeCell ref="B33:D33"/>
    <mergeCell ref="A34:G34"/>
    <mergeCell ref="B35:D35"/>
    <mergeCell ref="B36:D36"/>
    <mergeCell ref="B23:D23"/>
    <mergeCell ref="B24:D24"/>
    <mergeCell ref="B25:D25"/>
    <mergeCell ref="B26:D26"/>
    <mergeCell ref="A20:G20"/>
    <mergeCell ref="A17:G17"/>
    <mergeCell ref="A21:G21"/>
    <mergeCell ref="B22:D22"/>
    <mergeCell ref="A13:O13"/>
    <mergeCell ref="A1:O1"/>
    <mergeCell ref="A15:G15"/>
    <mergeCell ref="I15:O15"/>
    <mergeCell ref="I18:O18"/>
    <mergeCell ref="I21:O21"/>
  </mergeCells>
  <dataValidations count="1">
    <dataValidation type="whole" errorStyle="warning" allowBlank="1" showInputMessage="1" showErrorMessage="1" errorTitle="CEILING TOO DEEP" sqref="M64:O65">
      <formula1>0</formula1>
      <formula2>1000000000</formula2>
    </dataValidation>
  </dataValidations>
  <pageMargins left="0.78740157480314965" right="0.70866141732283472" top="0.98425196850393704" bottom="0.78740157480314965" header="0.43307086614173229" footer="0.31496062992125984"/>
  <pageSetup paperSize="9" scale="62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tabColor rgb="FF92D050"/>
    <pageSetUpPr fitToPage="1"/>
  </sheetPr>
  <dimension ref="A1:J32"/>
  <sheetViews>
    <sheetView showGridLines="0" showRowColHeaders="0" topLeftCell="A34" workbookViewId="0">
      <selection activeCell="N57" sqref="N57"/>
    </sheetView>
  </sheetViews>
  <sheetFormatPr defaultColWidth="11.42578125" defaultRowHeight="15" x14ac:dyDescent="0.25"/>
  <cols>
    <col min="1" max="1" width="6.28515625" customWidth="1"/>
    <col min="2" max="2" width="20" customWidth="1"/>
    <col min="3" max="7" width="6.85546875" customWidth="1"/>
  </cols>
  <sheetData>
    <row r="1" spans="1:10" ht="21" x14ac:dyDescent="0.25">
      <c r="A1" s="1466" t="str">
        <f>'(G1) Fjalori'!A458</f>
        <v>(F11) SHPENZIMET SIPAS KLASIFIKIMIT EKONOMIK (BRUTO)</v>
      </c>
      <c r="B1" s="1467"/>
      <c r="C1" s="1467"/>
      <c r="D1" s="1467"/>
      <c r="E1" s="1467"/>
      <c r="F1" s="1467"/>
      <c r="G1" s="1467"/>
      <c r="H1" s="1467"/>
      <c r="I1" s="1467"/>
      <c r="J1" s="1468"/>
    </row>
    <row r="2" spans="1:10" s="308" customFormat="1" ht="21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</row>
    <row r="3" spans="1:10" s="308" customFormat="1" x14ac:dyDescent="0.25">
      <c r="C3" s="309">
        <f>'(F10) Shpenzimet klasifik. ekon'!E16</f>
        <v>2022</v>
      </c>
      <c r="D3" s="309">
        <f>'(F10) Shpenzimet klasifik. ekon'!F16</f>
        <v>2023</v>
      </c>
      <c r="E3" s="309">
        <f>'(F10) Shpenzimet klasifik. ekon'!G16</f>
        <v>2024</v>
      </c>
    </row>
    <row r="4" spans="1:10" s="308" customFormat="1" x14ac:dyDescent="0.25">
      <c r="B4" s="308" t="str">
        <f>'(F10) Shpenzimet klasifik. ekon'!A68</f>
        <v>Pagat</v>
      </c>
      <c r="C4" s="308">
        <f>'(F10) Shpenzimet klasifik. ekon'!E68</f>
        <v>428196583.94999999</v>
      </c>
      <c r="D4" s="308">
        <f>'(F10) Shpenzimet klasifik. ekon'!F68</f>
        <v>438654594.88</v>
      </c>
      <c r="E4" s="308">
        <f>'(F10) Shpenzimet klasifik. ekon'!G68</f>
        <v>449654063.00000006</v>
      </c>
    </row>
    <row r="5" spans="1:10" s="308" customFormat="1" x14ac:dyDescent="0.25">
      <c r="B5" s="308" t="str">
        <f>'(F10) Shpenzimet klasifik. ekon'!A69</f>
        <v>Sigurimet Shoqërore</v>
      </c>
      <c r="C5" s="308">
        <f>'(F10) Shpenzimet klasifik. ekon'!E69</f>
        <v>85575418.049999997</v>
      </c>
      <c r="D5" s="308">
        <f>'(F10) Shpenzimet klasifik. ekon'!F69</f>
        <v>87849619.11999999</v>
      </c>
      <c r="E5" s="308">
        <f>'(F10) Shpenzimet klasifik. ekon'!G69</f>
        <v>89810114</v>
      </c>
      <c r="F5" s="310"/>
      <c r="G5" s="310"/>
      <c r="H5" s="310"/>
    </row>
    <row r="6" spans="1:10" s="308" customFormat="1" x14ac:dyDescent="0.25">
      <c r="B6" s="308" t="str">
        <f>'(F10) Shpenzimet klasifik. ekon'!A70</f>
        <v>Mallra dhe shërbime</v>
      </c>
      <c r="C6" s="308">
        <f>'(F10) Shpenzimet klasifik. ekon'!E70</f>
        <v>445861658</v>
      </c>
      <c r="D6" s="308">
        <f>'(F10) Shpenzimet klasifik. ekon'!F70</f>
        <v>452373996</v>
      </c>
      <c r="E6" s="308">
        <f>'(F10) Shpenzimet klasifik. ekon'!G70</f>
        <v>468708873</v>
      </c>
      <c r="F6" s="309"/>
      <c r="G6" s="309"/>
      <c r="H6" s="309"/>
    </row>
    <row r="7" spans="1:10" s="308" customFormat="1" x14ac:dyDescent="0.25">
      <c r="B7" s="308" t="str">
        <f>'(F10) Shpenzimet klasifik. ekon'!A71</f>
        <v>Subvencione</v>
      </c>
      <c r="C7" s="308">
        <f>'(F10) Shpenzimet klasifik. ekon'!E71</f>
        <v>0</v>
      </c>
      <c r="D7" s="308">
        <f>'(F10) Shpenzimet klasifik. ekon'!F71</f>
        <v>0</v>
      </c>
      <c r="E7" s="308">
        <f>'(F10) Shpenzimet klasifik. ekon'!G71</f>
        <v>0</v>
      </c>
      <c r="F7" s="309"/>
      <c r="G7" s="309"/>
      <c r="H7" s="309"/>
    </row>
    <row r="8" spans="1:10" s="308" customFormat="1" x14ac:dyDescent="0.25">
      <c r="B8" s="308" t="str">
        <f>'(F10) Shpenzimet klasifik. ekon'!A72</f>
        <v>Të tjera transferta korrente të brendshme</v>
      </c>
      <c r="C8" s="308">
        <f>'(F10) Shpenzimet klasifik. ekon'!E72</f>
        <v>0</v>
      </c>
      <c r="D8" s="308">
        <f>'(F10) Shpenzimet klasifik. ekon'!F72</f>
        <v>0</v>
      </c>
      <c r="E8" s="308">
        <f>'(F10) Shpenzimet klasifik. ekon'!G72</f>
        <v>0</v>
      </c>
      <c r="F8" s="309"/>
      <c r="G8" s="309"/>
      <c r="H8" s="309"/>
    </row>
    <row r="9" spans="1:10" s="308" customFormat="1" x14ac:dyDescent="0.25">
      <c r="B9" s="308" t="str">
        <f>'(F10) Shpenzimet klasifik. ekon'!A73</f>
        <v>Transferta korrente të huaja</v>
      </c>
      <c r="C9" s="308">
        <f>'(F10) Shpenzimet klasifik. ekon'!E73</f>
        <v>0</v>
      </c>
      <c r="D9" s="308">
        <f>'(F10) Shpenzimet klasifik. ekon'!F73</f>
        <v>0</v>
      </c>
      <c r="E9" s="308">
        <f>'(F10) Shpenzimet klasifik. ekon'!G73</f>
        <v>0</v>
      </c>
      <c r="F9" s="309"/>
    </row>
    <row r="10" spans="1:10" s="308" customFormat="1" x14ac:dyDescent="0.25">
      <c r="B10" s="308" t="str">
        <f>'(F10) Shpenzimet klasifik. ekon'!A74</f>
        <v>Transferta për Buxhetet Familiare dhe Individët</v>
      </c>
      <c r="C10" s="308">
        <f>'(F10) Shpenzimet klasifik. ekon'!E74</f>
        <v>931494000</v>
      </c>
      <c r="D10" s="308">
        <f>'(F10) Shpenzimet klasifik. ekon'!F74</f>
        <v>931494000</v>
      </c>
      <c r="E10" s="308">
        <f>'(F10) Shpenzimet klasifik. ekon'!G74</f>
        <v>931494000</v>
      </c>
      <c r="F10" s="309"/>
    </row>
    <row r="11" spans="1:10" s="308" customFormat="1" x14ac:dyDescent="0.25">
      <c r="B11" s="308" t="str">
        <f>'(F10) Shpenzimet klasifik. ekon'!A75</f>
        <v>Shpenzimet kapitale</v>
      </c>
      <c r="C11" s="308">
        <f>'(F10) Shpenzimet klasifik. ekon'!E75</f>
        <v>270280988</v>
      </c>
      <c r="D11" s="308">
        <f>'(F10) Shpenzimet klasifik. ekon'!F75</f>
        <v>209417260</v>
      </c>
      <c r="E11" s="308">
        <f>'(F10) Shpenzimet klasifik. ekon'!G75</f>
        <v>209773423</v>
      </c>
      <c r="F11" s="309"/>
    </row>
    <row r="12" spans="1:10" s="308" customFormat="1" x14ac:dyDescent="0.25">
      <c r="B12" s="308" t="str">
        <f>'(F10) Shpenzimet klasifik. ekon'!A76</f>
        <v>Rezerva</v>
      </c>
      <c r="C12" s="308">
        <f>'(F10) Shpenzimet klasifik. ekon'!E76</f>
        <v>0</v>
      </c>
      <c r="D12" s="308">
        <f>'(F10) Shpenzimet klasifik. ekon'!F76</f>
        <v>0</v>
      </c>
      <c r="E12" s="308">
        <f>'(F10) Shpenzimet klasifik. ekon'!G76</f>
        <v>0</v>
      </c>
    </row>
    <row r="13" spans="1:10" s="308" customFormat="1" x14ac:dyDescent="0.25">
      <c r="B13" s="308" t="str">
        <f>'(F10) Shpenzimet klasifik. ekon'!A77</f>
        <v>Interesa per kredi direkte ose bono</v>
      </c>
      <c r="C13" s="308">
        <f>'(F10) Shpenzimet klasifik. ekon'!E77</f>
        <v>0</v>
      </c>
      <c r="D13" s="308">
        <f>'(F10) Shpenzimet klasifik. ekon'!F77</f>
        <v>0</v>
      </c>
      <c r="E13" s="308">
        <f>'(F10) Shpenzimet klasifik. ekon'!G77</f>
        <v>0</v>
      </c>
    </row>
    <row r="14" spans="1:10" s="308" customFormat="1" x14ac:dyDescent="0.25">
      <c r="B14" s="308" t="str">
        <f>'(F10) Shpenzimet klasifik. ekon'!A78</f>
        <v>Të tjera</v>
      </c>
      <c r="C14" s="308">
        <f>'(F10) Shpenzimet klasifik. ekon'!E78</f>
        <v>0</v>
      </c>
      <c r="D14" s="308">
        <f>'(F10) Shpenzimet klasifik. ekon'!F78</f>
        <v>0</v>
      </c>
      <c r="E14" s="308">
        <f>'(F10) Shpenzimet klasifik. ekon'!G78</f>
        <v>0</v>
      </c>
    </row>
    <row r="15" spans="1:10" s="308" customFormat="1" x14ac:dyDescent="0.25"/>
    <row r="16" spans="1:10" s="308" customFormat="1" ht="23.25" x14ac:dyDescent="0.25">
      <c r="B16" s="482"/>
    </row>
    <row r="32" spans="1:10" ht="21" x14ac:dyDescent="0.25">
      <c r="A32" s="1466" t="str">
        <f>'(G1) Fjalori'!A491</f>
        <v>(F11) SHPENZIMET SIPAS KLASIFIKIMIT EKONOMIK (BRUTO)</v>
      </c>
      <c r="B32" s="1467"/>
      <c r="C32" s="1467"/>
      <c r="D32" s="1467"/>
      <c r="E32" s="1467"/>
      <c r="F32" s="1467"/>
      <c r="G32" s="1467"/>
      <c r="H32" s="1467"/>
      <c r="I32" s="1467"/>
      <c r="J32" s="1468"/>
    </row>
  </sheetData>
  <sheetProtection selectLockedCells="1"/>
  <mergeCells count="2">
    <mergeCell ref="A1:J1"/>
    <mergeCell ref="A32:J32"/>
  </mergeCells>
  <pageMargins left="0.78740157480314965" right="0.70866141732283472" top="0.98425196850393704" bottom="0.78740157480314965" header="0.43307086614173229" footer="0.31496062992125984"/>
  <pageSetup paperSize="9" scale="91" fitToHeight="0" orientation="portrait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tabColor rgb="FF92D050"/>
    <pageSetUpPr fitToPage="1"/>
  </sheetPr>
  <dimension ref="A1:I10"/>
  <sheetViews>
    <sheetView showGridLines="0" showRowColHeaders="0" topLeftCell="A13" workbookViewId="0">
      <selection sqref="A1:I37"/>
    </sheetView>
  </sheetViews>
  <sheetFormatPr defaultColWidth="11.42578125" defaultRowHeight="15" x14ac:dyDescent="0.25"/>
  <cols>
    <col min="2" max="2" width="26" bestFit="1" customWidth="1"/>
  </cols>
  <sheetData>
    <row r="1" spans="1:9" ht="21" x14ac:dyDescent="0.25">
      <c r="A1" s="1466" t="str">
        <f>'(G1) Fjalori'!A460</f>
        <v>(F12) DETYRIMET E PRAPAMBETURA PËR VITIN E KALUAR</v>
      </c>
      <c r="B1" s="1467"/>
      <c r="C1" s="1467"/>
      <c r="D1" s="1467"/>
      <c r="E1" s="1467"/>
      <c r="F1" s="1467"/>
      <c r="G1" s="1467"/>
      <c r="H1" s="1467"/>
      <c r="I1" s="1468"/>
    </row>
    <row r="3" spans="1:9" x14ac:dyDescent="0.25">
      <c r="B3" s="233" t="s">
        <v>600</v>
      </c>
    </row>
    <row r="4" spans="1:9" x14ac:dyDescent="0.25">
      <c r="B4" s="266" t="s">
        <v>700</v>
      </c>
      <c r="C4" s="266"/>
      <c r="D4" s="266"/>
      <c r="E4" s="266"/>
      <c r="F4" s="266"/>
    </row>
    <row r="5" spans="1:9" x14ac:dyDescent="0.25">
      <c r="B5" s="265">
        <f>'(C3) Detyrimet e prapambetura'!E5</f>
        <v>2021</v>
      </c>
      <c r="C5" s="265">
        <f>'(C3) Detyrimet e prapambetura'!H5</f>
        <v>2022</v>
      </c>
      <c r="D5" s="265">
        <f>C5</f>
        <v>2022</v>
      </c>
      <c r="E5" s="265">
        <f>'(C3) Detyrimet e prapambetura'!K5</f>
        <v>2023</v>
      </c>
      <c r="F5" s="265">
        <f>E5</f>
        <v>2023</v>
      </c>
      <c r="G5" s="265">
        <f>'(C3) Detyrimet e prapambetura'!N5</f>
        <v>2024</v>
      </c>
      <c r="H5" s="265">
        <f>G5</f>
        <v>2024</v>
      </c>
    </row>
    <row r="6" spans="1:9" x14ac:dyDescent="0.25">
      <c r="B6" s="265" t="str">
        <f>'(C3) Detyrimet e prapambetura'!F7</f>
        <v>Stoku i borxhit, 31 Dhjetor</v>
      </c>
      <c r="C6" s="265" t="str">
        <f>'(C3) Detyrimet e prapambetura'!H7</f>
        <v>Amortizimi i detyrimeve të prapambetura gjatë vitit</v>
      </c>
      <c r="D6" s="265" t="str">
        <f>'(C3) Detyrimet e prapambetura'!I7</f>
        <v>Stoku i borxhit, 31 Dhjetor</v>
      </c>
      <c r="E6" s="265" t="str">
        <f>'(C3) Detyrimet e prapambetura'!K7</f>
        <v>Amortizimi i detyrimeve të prapambetura gjatë vitit</v>
      </c>
      <c r="F6" s="265" t="str">
        <f>'(C3) Detyrimet e prapambetura'!L7</f>
        <v>Stoku i borxhit, 31 Dhjetor</v>
      </c>
      <c r="G6" s="265" t="str">
        <f>'(C3) Detyrimet e prapambetura'!N7</f>
        <v>Amortizimi i detyrimeve të prapambetura gjatë vitit</v>
      </c>
      <c r="H6" s="311" t="str">
        <f>'(C3) Detyrimet e prapambetura'!O7</f>
        <v>Stoku i borxhit, 31 Dhjetor</v>
      </c>
    </row>
    <row r="7" spans="1:9" x14ac:dyDescent="0.25">
      <c r="B7" s="265">
        <f>'(C3) Detyrimet e prapambetura'!F394</f>
        <v>314843104</v>
      </c>
      <c r="C7" s="265">
        <f>'(C3) Detyrimet e prapambetura'!H394</f>
        <v>55384336</v>
      </c>
      <c r="D7" s="265">
        <f>'(C3) Detyrimet e prapambetura'!I394</f>
        <v>259458768</v>
      </c>
      <c r="E7" s="265">
        <f>'(C3) Detyrimet e prapambetura'!K394</f>
        <v>68415809</v>
      </c>
      <c r="F7" s="265">
        <f>'(C3) Detyrimet e prapambetura'!L394</f>
        <v>191042959</v>
      </c>
      <c r="G7" s="265">
        <f>'(C3) Detyrimet e prapambetura'!N394</f>
        <v>72126299</v>
      </c>
      <c r="H7" s="265">
        <f>'(C3) Detyrimet e prapambetura'!O394</f>
        <v>118916660</v>
      </c>
    </row>
    <row r="8" spans="1:9" x14ac:dyDescent="0.25">
      <c r="B8" s="265"/>
      <c r="C8" s="265"/>
      <c r="D8" s="265"/>
    </row>
    <row r="9" spans="1:9" x14ac:dyDescent="0.25">
      <c r="B9" s="265"/>
      <c r="C9" s="265"/>
      <c r="D9" s="265"/>
    </row>
    <row r="10" spans="1:9" x14ac:dyDescent="0.25">
      <c r="B10" s="265"/>
      <c r="C10" s="265"/>
      <c r="D10" s="265"/>
    </row>
  </sheetData>
  <sheetProtection sheet="1" objects="1" scenarios="1"/>
  <mergeCells count="1">
    <mergeCell ref="A1:I1"/>
  </mergeCells>
  <pageMargins left="0.78740157480314965" right="0.70866141732283472" top="0.98425196850393704" bottom="0.78740157480314965" header="0.43307086614173229" footer="0.31496062992125984"/>
  <pageSetup paperSize="9" scale="73" fitToHeight="0" orientation="portrait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tabColor rgb="FF00B050"/>
    <pageSetUpPr fitToPage="1"/>
  </sheetPr>
  <dimension ref="A1:G166"/>
  <sheetViews>
    <sheetView showGridLines="0" workbookViewId="0">
      <selection activeCell="J26" sqref="J26"/>
    </sheetView>
  </sheetViews>
  <sheetFormatPr defaultColWidth="4.140625" defaultRowHeight="12.75" x14ac:dyDescent="0.2"/>
  <cols>
    <col min="1" max="1" width="62.7109375" style="15" customWidth="1"/>
    <col min="2" max="2" width="11.5703125" style="16" customWidth="1"/>
    <col min="3" max="3" width="12.42578125" style="15" customWidth="1"/>
    <col min="4" max="4" width="11.42578125" style="15" customWidth="1" collapsed="1"/>
    <col min="5" max="5" width="12" style="15" customWidth="1"/>
    <col min="6" max="6" width="11.7109375" style="15" customWidth="1" collapsed="1"/>
    <col min="7" max="7" width="12.5703125" style="15" customWidth="1" collapsed="1"/>
    <col min="8" max="187" width="11.5703125" style="15" customWidth="1"/>
    <col min="188" max="188" width="3.85546875" style="15" customWidth="1"/>
    <col min="189" max="189" width="22" style="15" customWidth="1"/>
    <col min="190" max="192" width="4.140625" style="15" customWidth="1"/>
    <col min="193" max="193" width="5.85546875" style="15" customWidth="1"/>
    <col min="194" max="194" width="4.140625" style="15" customWidth="1"/>
    <col min="195" max="195" width="0.85546875" style="15" customWidth="1"/>
    <col min="196" max="196" width="5.85546875" style="15" customWidth="1"/>
    <col min="197" max="197" width="4.140625" style="15" customWidth="1"/>
    <col min="198" max="198" width="0.85546875" style="15" customWidth="1"/>
    <col min="199" max="199" width="5.85546875" style="15" customWidth="1"/>
    <col min="200" max="200" width="4.140625" style="15" customWidth="1"/>
    <col min="201" max="201" width="0.85546875" style="15" customWidth="1"/>
    <col min="202" max="202" width="5.85546875" style="15" customWidth="1"/>
    <col min="203" max="16384" width="4.140625" style="15"/>
  </cols>
  <sheetData>
    <row r="1" spans="1:7" ht="21" x14ac:dyDescent="0.2">
      <c r="A1" s="1127" t="str">
        <f>'(G1) Fjalori'!A462</f>
        <v>(F13) STATISTIKA FINANCIARE TË PËRGJITHSHME</v>
      </c>
      <c r="B1" s="1128"/>
      <c r="C1" s="1128"/>
      <c r="D1" s="1128"/>
      <c r="E1" s="1128"/>
      <c r="F1" s="1128"/>
      <c r="G1" s="1129"/>
    </row>
    <row r="2" spans="1:7" s="49" customFormat="1" x14ac:dyDescent="0.2"/>
    <row r="3" spans="1:7" x14ac:dyDescent="0.2">
      <c r="A3" s="65"/>
      <c r="B3" s="155">
        <f>'(A1) Titulli'!B39</f>
        <v>2019</v>
      </c>
      <c r="C3" s="155">
        <f>'(B1)Informacion i përgjithshëm '!B6</f>
        <v>2020</v>
      </c>
      <c r="D3" s="156">
        <f>'(B1)Informacion i përgjithshëm '!B7</f>
        <v>2021</v>
      </c>
      <c r="E3" s="157">
        <f>'(B1)Informacion i përgjithshëm '!B8</f>
        <v>2022</v>
      </c>
      <c r="F3" s="157">
        <f>'(B1)Informacion i përgjithshëm '!B9</f>
        <v>2023</v>
      </c>
      <c r="G3" s="157">
        <f>'(B1)Informacion i përgjithshëm '!B10</f>
        <v>2024</v>
      </c>
    </row>
    <row r="4" spans="1:7" x14ac:dyDescent="0.2">
      <c r="A4" s="352" t="str">
        <f>'(G1) Fjalori'!A494</f>
        <v>TOTALI I BURIMEVE TË BUXHETIT</v>
      </c>
      <c r="B4" s="352"/>
      <c r="C4" s="98"/>
      <c r="D4" s="98"/>
      <c r="E4" s="98"/>
      <c r="F4" s="98"/>
      <c r="G4" s="98"/>
    </row>
    <row r="5" spans="1:7" x14ac:dyDescent="0.2">
      <c r="A5" s="20" t="str">
        <f>'(G1) Fjalori'!A493</f>
        <v xml:space="preserve">Burimet e përgjithshme të buxhetit </v>
      </c>
      <c r="B5" s="793">
        <f>'(F1) Burimet buxhetore'!D95</f>
        <v>1765195168.9200001</v>
      </c>
      <c r="C5" s="793">
        <f>'(F1) Burimet buxhetore'!E95</f>
        <v>2023827429</v>
      </c>
      <c r="D5" s="793">
        <f>'(F1) Burimet buxhetore'!F95</f>
        <v>2365512857</v>
      </c>
      <c r="E5" s="793">
        <f>'(F1) Burimet buxhetore'!G95</f>
        <v>2186381363.8000002</v>
      </c>
      <c r="F5" s="793">
        <f>'(F1) Burimet buxhetore'!H95</f>
        <v>2142953089.227</v>
      </c>
      <c r="G5" s="793">
        <f>'(F1) Burimet buxhetore'!I95</f>
        <v>2172787287.6475081</v>
      </c>
    </row>
    <row r="6" spans="1:7" x14ac:dyDescent="0.2">
      <c r="A6" s="352" t="str">
        <f>'(G1) Fjalori'!A464</f>
        <v>TOTALI I SHPENZIMEVE</v>
      </c>
      <c r="B6" s="794"/>
      <c r="C6" s="675"/>
      <c r="D6" s="675"/>
      <c r="E6" s="675"/>
      <c r="F6" s="675"/>
      <c r="G6" s="675"/>
    </row>
    <row r="7" spans="1:7" x14ac:dyDescent="0.2">
      <c r="A7" s="20" t="str">
        <f>'(G1) Fjalori'!A467</f>
        <v>Shpenzimet e përgjithshme</v>
      </c>
      <c r="B7" s="793">
        <f>'(F10) Shpenzimet klasifik. ekon'!B18</f>
        <v>1519965155</v>
      </c>
      <c r="C7" s="793">
        <f>'(F10) Shpenzimet klasifik. ekon'!C18</f>
        <v>1822305984</v>
      </c>
      <c r="D7" s="793">
        <f>'(F10) Shpenzimet klasifik. ekon'!D18</f>
        <v>2351787988</v>
      </c>
      <c r="E7" s="793">
        <f>'(F10) Shpenzimet klasifik. ekon'!E18</f>
        <v>2161408648</v>
      </c>
      <c r="F7" s="793">
        <f>'(F10) Shpenzimet klasifik. ekon'!F18</f>
        <v>2119789470</v>
      </c>
      <c r="G7" s="793">
        <f>'(F10) Shpenzimet klasifik. ekon'!G18</f>
        <v>2149440473</v>
      </c>
    </row>
    <row r="8" spans="1:7" s="97" customFormat="1" x14ac:dyDescent="0.2">
      <c r="A8" s="352" t="str">
        <f>A9</f>
        <v>TOTALI I FONDEVE REZERVE + KONTIGJENCË</v>
      </c>
      <c r="B8" s="674"/>
      <c r="C8" s="675"/>
      <c r="D8" s="675"/>
      <c r="E8" s="675"/>
      <c r="F8" s="675"/>
      <c r="G8" s="675"/>
    </row>
    <row r="9" spans="1:7" s="97" customFormat="1" x14ac:dyDescent="0.2">
      <c r="A9" s="208" t="str">
        <f>'(D1) Tavanet buxhetore'!A494</f>
        <v>TOTALI I FONDEVE REZERVE + KONTIGJENCË</v>
      </c>
      <c r="B9" s="674"/>
      <c r="C9" s="675"/>
      <c r="D9" s="675"/>
      <c r="E9" s="793">
        <f>'(D1) Tavanet buxhetore'!C494</f>
        <v>23729331.258680001</v>
      </c>
      <c r="F9" s="793">
        <f>'(D1) Tavanet buxhetore'!D494</f>
        <v>23163619.133885641</v>
      </c>
      <c r="G9" s="793">
        <f>'(D1) Tavanet buxhetore'!E494</f>
        <v>23346806.474902656</v>
      </c>
    </row>
    <row r="10" spans="1:7" x14ac:dyDescent="0.2">
      <c r="A10" s="65"/>
      <c r="B10" s="674"/>
      <c r="C10" s="675"/>
      <c r="D10" s="675"/>
      <c r="E10" s="675"/>
      <c r="F10" s="675"/>
      <c r="G10" s="675"/>
    </row>
    <row r="11" spans="1:7" x14ac:dyDescent="0.2">
      <c r="A11" s="352" t="str">
        <f>'(G1) Fjalori'!A465</f>
        <v>FITIMI / HUMBJA E PËRGJITHSHME</v>
      </c>
      <c r="B11" s="794"/>
      <c r="C11" s="675"/>
      <c r="D11" s="675"/>
      <c r="E11" s="675"/>
      <c r="F11" s="675"/>
      <c r="G11" s="675"/>
    </row>
    <row r="12" spans="1:7" s="158" customFormat="1" x14ac:dyDescent="0.25">
      <c r="A12" s="219" t="str">
        <f>'(G1) Fjalori'!A468</f>
        <v>Përfitimi (+)/ Humbja (-) e përgjithshme</v>
      </c>
      <c r="B12" s="795">
        <f t="shared" ref="B12:G12" si="0">B5-B7-B9</f>
        <v>245230013.92000008</v>
      </c>
      <c r="C12" s="795">
        <f t="shared" si="0"/>
        <v>201521445</v>
      </c>
      <c r="D12" s="795">
        <f t="shared" si="0"/>
        <v>13724869</v>
      </c>
      <c r="E12" s="795">
        <f t="shared" si="0"/>
        <v>1243384.5413201898</v>
      </c>
      <c r="F12" s="795">
        <f t="shared" si="0"/>
        <v>9.3114357441663742E-2</v>
      </c>
      <c r="G12" s="795">
        <f t="shared" si="0"/>
        <v>8.1726054884493351</v>
      </c>
    </row>
    <row r="13" spans="1:7" x14ac:dyDescent="0.2">
      <c r="A13" s="65"/>
      <c r="B13" s="353" t="str">
        <f t="shared" ref="B13:G13" si="1">IF(B12&lt;0,"STOPP!","OK!")</f>
        <v>OK!</v>
      </c>
      <c r="C13" s="353" t="str">
        <f t="shared" si="1"/>
        <v>OK!</v>
      </c>
      <c r="D13" s="353" t="str">
        <f t="shared" si="1"/>
        <v>OK!</v>
      </c>
      <c r="E13" s="353" t="str">
        <f t="shared" si="1"/>
        <v>OK!</v>
      </c>
      <c r="F13" s="353" t="str">
        <f t="shared" si="1"/>
        <v>OK!</v>
      </c>
      <c r="G13" s="353" t="str">
        <f t="shared" si="1"/>
        <v>OK!</v>
      </c>
    </row>
    <row r="15" spans="1:7" x14ac:dyDescent="0.2">
      <c r="C15" s="22"/>
      <c r="D15" s="22"/>
      <c r="E15" s="22"/>
      <c r="F15" s="22"/>
      <c r="G15" s="22"/>
    </row>
    <row r="16" spans="1:7" x14ac:dyDescent="0.2">
      <c r="C16" s="22"/>
      <c r="D16" s="22"/>
      <c r="E16" s="22"/>
      <c r="F16" s="22"/>
      <c r="G16" s="22"/>
    </row>
    <row r="17" spans="3:7" x14ac:dyDescent="0.2">
      <c r="C17" s="22"/>
      <c r="D17" s="22"/>
      <c r="E17" s="22"/>
      <c r="F17" s="22"/>
      <c r="G17" s="22"/>
    </row>
    <row r="18" spans="3:7" x14ac:dyDescent="0.2">
      <c r="C18" s="22"/>
      <c r="D18" s="22"/>
      <c r="E18" s="22"/>
      <c r="F18" s="22"/>
      <c r="G18" s="22"/>
    </row>
    <row r="19" spans="3:7" x14ac:dyDescent="0.2">
      <c r="C19" s="22"/>
      <c r="D19" s="22"/>
      <c r="E19" s="22"/>
      <c r="F19" s="22"/>
      <c r="G19" s="22"/>
    </row>
    <row r="20" spans="3:7" x14ac:dyDescent="0.2">
      <c r="C20" s="22"/>
      <c r="D20" s="22"/>
      <c r="E20" s="22"/>
      <c r="F20" s="22"/>
      <c r="G20" s="22"/>
    </row>
    <row r="21" spans="3:7" x14ac:dyDescent="0.2">
      <c r="C21" s="22"/>
      <c r="D21" s="22"/>
      <c r="E21" s="22"/>
      <c r="F21" s="22"/>
      <c r="G21" s="22"/>
    </row>
    <row r="22" spans="3:7" x14ac:dyDescent="0.2">
      <c r="C22" s="22"/>
      <c r="D22" s="22"/>
      <c r="E22" s="22"/>
      <c r="F22" s="22"/>
      <c r="G22" s="22"/>
    </row>
    <row r="23" spans="3:7" x14ac:dyDescent="0.2">
      <c r="C23" s="22"/>
      <c r="D23" s="22"/>
      <c r="E23" s="22"/>
      <c r="F23" s="22"/>
      <c r="G23" s="22"/>
    </row>
    <row r="24" spans="3:7" x14ac:dyDescent="0.2">
      <c r="C24" s="22"/>
      <c r="D24" s="22"/>
      <c r="E24" s="22"/>
      <c r="F24" s="22"/>
      <c r="G24" s="22"/>
    </row>
    <row r="25" spans="3:7" x14ac:dyDescent="0.2">
      <c r="C25" s="22"/>
      <c r="D25" s="22"/>
      <c r="E25" s="22"/>
      <c r="F25" s="22"/>
      <c r="G25" s="22"/>
    </row>
    <row r="26" spans="3:7" x14ac:dyDescent="0.2">
      <c r="C26" s="22"/>
      <c r="D26" s="22"/>
      <c r="E26" s="22"/>
      <c r="F26" s="22"/>
      <c r="G26" s="22"/>
    </row>
    <row r="27" spans="3:7" x14ac:dyDescent="0.2">
      <c r="C27" s="22"/>
      <c r="D27" s="22"/>
      <c r="E27" s="22"/>
      <c r="F27" s="22"/>
      <c r="G27" s="22"/>
    </row>
    <row r="28" spans="3:7" x14ac:dyDescent="0.2">
      <c r="C28" s="22"/>
      <c r="D28" s="22"/>
      <c r="E28" s="22"/>
      <c r="F28" s="22"/>
      <c r="G28" s="22"/>
    </row>
    <row r="29" spans="3:7" x14ac:dyDescent="0.2">
      <c r="C29" s="22"/>
      <c r="D29" s="22"/>
      <c r="E29" s="22"/>
      <c r="F29" s="22"/>
      <c r="G29" s="22"/>
    </row>
    <row r="30" spans="3:7" x14ac:dyDescent="0.2">
      <c r="C30" s="22"/>
      <c r="D30" s="22"/>
      <c r="E30" s="22"/>
      <c r="F30" s="22"/>
      <c r="G30" s="22"/>
    </row>
    <row r="31" spans="3:7" x14ac:dyDescent="0.2">
      <c r="C31" s="22"/>
      <c r="D31" s="22"/>
      <c r="E31" s="22"/>
      <c r="F31" s="22"/>
      <c r="G31" s="22"/>
    </row>
    <row r="32" spans="3:7" x14ac:dyDescent="0.2">
      <c r="C32" s="22"/>
      <c r="D32" s="22"/>
      <c r="E32" s="22"/>
      <c r="F32" s="22"/>
      <c r="G32" s="22"/>
    </row>
    <row r="33" spans="3:7" x14ac:dyDescent="0.2">
      <c r="C33" s="22"/>
      <c r="D33" s="22"/>
      <c r="E33" s="22"/>
      <c r="F33" s="22"/>
      <c r="G33" s="22"/>
    </row>
    <row r="34" spans="3:7" x14ac:dyDescent="0.2">
      <c r="C34" s="22"/>
      <c r="D34" s="22"/>
      <c r="E34" s="22"/>
      <c r="F34" s="22"/>
      <c r="G34" s="22"/>
    </row>
    <row r="35" spans="3:7" x14ac:dyDescent="0.2">
      <c r="C35" s="22"/>
      <c r="D35" s="22"/>
      <c r="E35" s="22"/>
      <c r="F35" s="22"/>
      <c r="G35" s="22"/>
    </row>
    <row r="36" spans="3:7" x14ac:dyDescent="0.2">
      <c r="C36" s="22"/>
      <c r="D36" s="22"/>
      <c r="E36" s="22"/>
      <c r="F36" s="22"/>
      <c r="G36" s="22"/>
    </row>
    <row r="37" spans="3:7" x14ac:dyDescent="0.2">
      <c r="C37" s="22"/>
      <c r="D37" s="22"/>
      <c r="E37" s="22"/>
      <c r="F37" s="22"/>
      <c r="G37" s="22"/>
    </row>
    <row r="38" spans="3:7" x14ac:dyDescent="0.2">
      <c r="C38" s="22"/>
      <c r="D38" s="22"/>
      <c r="E38" s="22"/>
      <c r="F38" s="22"/>
      <c r="G38" s="22"/>
    </row>
    <row r="39" spans="3:7" x14ac:dyDescent="0.2">
      <c r="C39" s="22"/>
      <c r="D39" s="22"/>
      <c r="E39" s="22"/>
      <c r="F39" s="22"/>
      <c r="G39" s="22"/>
    </row>
    <row r="40" spans="3:7" x14ac:dyDescent="0.2">
      <c r="C40" s="22"/>
      <c r="D40" s="22"/>
      <c r="E40" s="22"/>
      <c r="F40" s="22"/>
      <c r="G40" s="22"/>
    </row>
    <row r="41" spans="3:7" x14ac:dyDescent="0.2">
      <c r="C41" s="22"/>
      <c r="D41" s="22"/>
      <c r="E41" s="22"/>
      <c r="F41" s="22"/>
      <c r="G41" s="22"/>
    </row>
    <row r="42" spans="3:7" x14ac:dyDescent="0.2">
      <c r="C42" s="22"/>
      <c r="D42" s="22"/>
      <c r="E42" s="22"/>
      <c r="F42" s="22"/>
      <c r="G42" s="22"/>
    </row>
    <row r="43" spans="3:7" x14ac:dyDescent="0.2">
      <c r="C43" s="22"/>
      <c r="D43" s="22"/>
      <c r="E43" s="22"/>
      <c r="F43" s="22"/>
      <c r="G43" s="22"/>
    </row>
    <row r="44" spans="3:7" x14ac:dyDescent="0.2">
      <c r="C44" s="22"/>
      <c r="D44" s="22"/>
      <c r="E44" s="22"/>
      <c r="F44" s="22"/>
      <c r="G44" s="22"/>
    </row>
    <row r="45" spans="3:7" x14ac:dyDescent="0.2">
      <c r="C45" s="22"/>
      <c r="D45" s="22"/>
      <c r="E45" s="22"/>
      <c r="F45" s="22"/>
      <c r="G45" s="22"/>
    </row>
    <row r="46" spans="3:7" x14ac:dyDescent="0.2">
      <c r="C46" s="22"/>
      <c r="D46" s="22"/>
      <c r="E46" s="22"/>
      <c r="F46" s="22"/>
      <c r="G46" s="22"/>
    </row>
    <row r="47" spans="3:7" x14ac:dyDescent="0.2">
      <c r="C47" s="22"/>
      <c r="D47" s="22"/>
      <c r="E47" s="22"/>
      <c r="F47" s="22"/>
      <c r="G47" s="22"/>
    </row>
    <row r="48" spans="3:7" x14ac:dyDescent="0.2">
      <c r="C48" s="22"/>
      <c r="D48" s="22"/>
      <c r="E48" s="22"/>
      <c r="F48" s="22"/>
      <c r="G48" s="22"/>
    </row>
    <row r="49" spans="3:7" x14ac:dyDescent="0.2">
      <c r="C49" s="22"/>
      <c r="D49" s="22"/>
      <c r="E49" s="22"/>
      <c r="F49" s="22"/>
      <c r="G49" s="22"/>
    </row>
    <row r="50" spans="3:7" x14ac:dyDescent="0.2">
      <c r="C50" s="22"/>
      <c r="D50" s="22"/>
      <c r="E50" s="22"/>
      <c r="F50" s="22"/>
      <c r="G50" s="22"/>
    </row>
    <row r="51" spans="3:7" x14ac:dyDescent="0.2">
      <c r="C51" s="22"/>
      <c r="D51" s="22"/>
      <c r="E51" s="22"/>
      <c r="F51" s="22"/>
      <c r="G51" s="22"/>
    </row>
    <row r="52" spans="3:7" x14ac:dyDescent="0.2">
      <c r="C52" s="22"/>
      <c r="D52" s="22"/>
      <c r="E52" s="22"/>
      <c r="F52" s="22"/>
      <c r="G52" s="22"/>
    </row>
    <row r="53" spans="3:7" x14ac:dyDescent="0.2">
      <c r="C53" s="22"/>
      <c r="D53" s="22"/>
      <c r="E53" s="22"/>
      <c r="F53" s="22"/>
      <c r="G53" s="22"/>
    </row>
    <row r="54" spans="3:7" x14ac:dyDescent="0.2">
      <c r="C54" s="22"/>
      <c r="D54" s="22"/>
      <c r="E54" s="22"/>
      <c r="F54" s="22"/>
      <c r="G54" s="22"/>
    </row>
    <row r="55" spans="3:7" x14ac:dyDescent="0.2">
      <c r="C55" s="22"/>
      <c r="D55" s="22"/>
      <c r="E55" s="22"/>
      <c r="F55" s="22"/>
      <c r="G55" s="22"/>
    </row>
    <row r="56" spans="3:7" x14ac:dyDescent="0.2">
      <c r="C56" s="22"/>
      <c r="D56" s="22"/>
      <c r="E56" s="22"/>
      <c r="F56" s="22"/>
      <c r="G56" s="22"/>
    </row>
    <row r="57" spans="3:7" x14ac:dyDescent="0.2">
      <c r="C57" s="22"/>
      <c r="D57" s="22"/>
      <c r="E57" s="22"/>
      <c r="F57" s="22"/>
      <c r="G57" s="22"/>
    </row>
    <row r="58" spans="3:7" x14ac:dyDescent="0.2">
      <c r="C58" s="22"/>
      <c r="D58" s="22"/>
      <c r="E58" s="22"/>
      <c r="F58" s="22"/>
      <c r="G58" s="22"/>
    </row>
    <row r="59" spans="3:7" x14ac:dyDescent="0.2">
      <c r="C59" s="22"/>
      <c r="D59" s="22"/>
      <c r="E59" s="22"/>
      <c r="F59" s="22"/>
      <c r="G59" s="22"/>
    </row>
    <row r="60" spans="3:7" x14ac:dyDescent="0.2">
      <c r="C60" s="22"/>
      <c r="D60" s="22"/>
      <c r="E60" s="22"/>
      <c r="F60" s="22"/>
      <c r="G60" s="22"/>
    </row>
    <row r="61" spans="3:7" x14ac:dyDescent="0.2">
      <c r="C61" s="22"/>
      <c r="D61" s="22"/>
      <c r="E61" s="22"/>
      <c r="F61" s="22"/>
      <c r="G61" s="22"/>
    </row>
    <row r="62" spans="3:7" x14ac:dyDescent="0.2">
      <c r="C62" s="22"/>
      <c r="D62" s="22"/>
      <c r="E62" s="22"/>
      <c r="F62" s="22"/>
      <c r="G62" s="22"/>
    </row>
    <row r="63" spans="3:7" x14ac:dyDescent="0.2">
      <c r="C63" s="22"/>
      <c r="D63" s="22"/>
      <c r="E63" s="22"/>
      <c r="F63" s="22"/>
      <c r="G63" s="22"/>
    </row>
    <row r="64" spans="3:7" x14ac:dyDescent="0.2">
      <c r="C64" s="22"/>
      <c r="D64" s="22"/>
      <c r="E64" s="22"/>
      <c r="F64" s="22"/>
      <c r="G64" s="22"/>
    </row>
    <row r="65" spans="3:7" x14ac:dyDescent="0.2">
      <c r="C65" s="22"/>
      <c r="D65" s="22"/>
      <c r="E65" s="22"/>
      <c r="F65" s="22"/>
      <c r="G65" s="22"/>
    </row>
    <row r="66" spans="3:7" x14ac:dyDescent="0.2">
      <c r="C66" s="22"/>
      <c r="D66" s="22"/>
      <c r="E66" s="22"/>
      <c r="F66" s="22"/>
      <c r="G66" s="22"/>
    </row>
    <row r="67" spans="3:7" x14ac:dyDescent="0.2">
      <c r="C67" s="22"/>
      <c r="D67" s="22"/>
      <c r="E67" s="22"/>
      <c r="F67" s="22"/>
      <c r="G67" s="22"/>
    </row>
    <row r="68" spans="3:7" x14ac:dyDescent="0.2">
      <c r="C68" s="22"/>
      <c r="D68" s="22"/>
      <c r="E68" s="22"/>
      <c r="F68" s="22"/>
      <c r="G68" s="22"/>
    </row>
    <row r="69" spans="3:7" x14ac:dyDescent="0.2">
      <c r="C69" s="22"/>
      <c r="D69" s="22"/>
      <c r="E69" s="22"/>
      <c r="F69" s="22"/>
      <c r="G69" s="22"/>
    </row>
    <row r="70" spans="3:7" x14ac:dyDescent="0.2">
      <c r="C70" s="22"/>
      <c r="D70" s="22"/>
      <c r="E70" s="22"/>
      <c r="F70" s="22"/>
      <c r="G70" s="22"/>
    </row>
    <row r="71" spans="3:7" x14ac:dyDescent="0.2">
      <c r="C71" s="22"/>
      <c r="D71" s="22"/>
      <c r="E71" s="22"/>
      <c r="F71" s="22"/>
      <c r="G71" s="22"/>
    </row>
    <row r="72" spans="3:7" x14ac:dyDescent="0.2">
      <c r="C72" s="22"/>
      <c r="D72" s="22"/>
      <c r="E72" s="22"/>
      <c r="F72" s="22"/>
      <c r="G72" s="22"/>
    </row>
    <row r="73" spans="3:7" x14ac:dyDescent="0.2">
      <c r="C73" s="22"/>
      <c r="D73" s="22"/>
      <c r="E73" s="22"/>
      <c r="F73" s="22"/>
      <c r="G73" s="22"/>
    </row>
    <row r="74" spans="3:7" x14ac:dyDescent="0.2">
      <c r="C74" s="22"/>
      <c r="D74" s="22"/>
      <c r="E74" s="22"/>
      <c r="F74" s="22"/>
      <c r="G74" s="22"/>
    </row>
    <row r="75" spans="3:7" x14ac:dyDescent="0.2">
      <c r="C75" s="22"/>
      <c r="D75" s="22"/>
      <c r="E75" s="22"/>
      <c r="F75" s="22"/>
      <c r="G75" s="22"/>
    </row>
    <row r="76" spans="3:7" x14ac:dyDescent="0.2">
      <c r="C76" s="22"/>
      <c r="D76" s="22"/>
      <c r="E76" s="22"/>
      <c r="F76" s="22"/>
      <c r="G76" s="22"/>
    </row>
    <row r="77" spans="3:7" x14ac:dyDescent="0.2">
      <c r="C77" s="22"/>
      <c r="D77" s="22"/>
      <c r="E77" s="22"/>
      <c r="F77" s="22"/>
      <c r="G77" s="22"/>
    </row>
    <row r="78" spans="3:7" x14ac:dyDescent="0.2">
      <c r="C78" s="22"/>
      <c r="D78" s="22"/>
      <c r="E78" s="22"/>
      <c r="F78" s="22"/>
      <c r="G78" s="22"/>
    </row>
    <row r="79" spans="3:7" x14ac:dyDescent="0.2">
      <c r="C79" s="22"/>
      <c r="D79" s="22"/>
      <c r="E79" s="22"/>
      <c r="F79" s="22"/>
      <c r="G79" s="22"/>
    </row>
    <row r="80" spans="3:7" x14ac:dyDescent="0.2">
      <c r="C80" s="22"/>
      <c r="D80" s="22"/>
      <c r="E80" s="22"/>
      <c r="F80" s="22"/>
      <c r="G80" s="22"/>
    </row>
    <row r="81" spans="3:7" x14ac:dyDescent="0.2">
      <c r="C81" s="22"/>
      <c r="D81" s="22"/>
      <c r="E81" s="22"/>
      <c r="F81" s="22"/>
      <c r="G81" s="22"/>
    </row>
    <row r="82" spans="3:7" x14ac:dyDescent="0.2">
      <c r="C82" s="22"/>
      <c r="D82" s="22"/>
      <c r="E82" s="22"/>
      <c r="F82" s="22"/>
      <c r="G82" s="22"/>
    </row>
    <row r="83" spans="3:7" x14ac:dyDescent="0.2">
      <c r="C83" s="22"/>
      <c r="D83" s="22"/>
      <c r="E83" s="22"/>
      <c r="F83" s="22"/>
      <c r="G83" s="22"/>
    </row>
    <row r="84" spans="3:7" x14ac:dyDescent="0.2">
      <c r="C84" s="22"/>
      <c r="D84" s="22"/>
      <c r="E84" s="22"/>
      <c r="F84" s="22"/>
      <c r="G84" s="22"/>
    </row>
    <row r="85" spans="3:7" x14ac:dyDescent="0.2">
      <c r="C85" s="22"/>
      <c r="D85" s="22"/>
      <c r="E85" s="22"/>
      <c r="F85" s="22"/>
      <c r="G85" s="22"/>
    </row>
    <row r="86" spans="3:7" x14ac:dyDescent="0.2">
      <c r="C86" s="22"/>
      <c r="D86" s="22"/>
      <c r="E86" s="22"/>
      <c r="F86" s="22"/>
      <c r="G86" s="22"/>
    </row>
    <row r="87" spans="3:7" x14ac:dyDescent="0.2">
      <c r="C87" s="22"/>
      <c r="D87" s="22"/>
      <c r="E87" s="22"/>
      <c r="F87" s="22"/>
      <c r="G87" s="22"/>
    </row>
    <row r="88" spans="3:7" x14ac:dyDescent="0.2">
      <c r="C88" s="22"/>
      <c r="D88" s="22"/>
      <c r="E88" s="22"/>
      <c r="F88" s="22"/>
      <c r="G88" s="22"/>
    </row>
    <row r="89" spans="3:7" x14ac:dyDescent="0.2">
      <c r="C89" s="22"/>
      <c r="D89" s="22"/>
      <c r="E89" s="22"/>
      <c r="F89" s="22"/>
      <c r="G89" s="22"/>
    </row>
    <row r="90" spans="3:7" x14ac:dyDescent="0.2">
      <c r="C90" s="22"/>
      <c r="D90" s="22"/>
      <c r="E90" s="22"/>
      <c r="F90" s="22"/>
      <c r="G90" s="22"/>
    </row>
    <row r="91" spans="3:7" x14ac:dyDescent="0.2">
      <c r="C91" s="22"/>
      <c r="D91" s="22"/>
      <c r="E91" s="22"/>
      <c r="F91" s="22"/>
      <c r="G91" s="22"/>
    </row>
    <row r="92" spans="3:7" x14ac:dyDescent="0.2">
      <c r="C92" s="22"/>
      <c r="D92" s="22"/>
      <c r="E92" s="22"/>
      <c r="F92" s="22"/>
      <c r="G92" s="22"/>
    </row>
    <row r="93" spans="3:7" x14ac:dyDescent="0.2">
      <c r="C93" s="22"/>
      <c r="D93" s="22"/>
      <c r="E93" s="22"/>
      <c r="F93" s="22"/>
      <c r="G93" s="22"/>
    </row>
    <row r="94" spans="3:7" x14ac:dyDescent="0.2">
      <c r="C94" s="22"/>
      <c r="D94" s="22"/>
      <c r="E94" s="22"/>
      <c r="F94" s="22"/>
      <c r="G94" s="22"/>
    </row>
    <row r="95" spans="3:7" x14ac:dyDescent="0.2">
      <c r="C95" s="22"/>
      <c r="D95" s="22"/>
      <c r="E95" s="22"/>
      <c r="F95" s="22"/>
      <c r="G95" s="22"/>
    </row>
    <row r="96" spans="3:7" x14ac:dyDescent="0.2">
      <c r="C96" s="22"/>
      <c r="D96" s="22"/>
      <c r="E96" s="22"/>
      <c r="F96" s="22"/>
      <c r="G96" s="22"/>
    </row>
    <row r="97" spans="3:7" x14ac:dyDescent="0.2">
      <c r="C97" s="22"/>
      <c r="D97" s="22"/>
      <c r="E97" s="22"/>
      <c r="F97" s="22"/>
      <c r="G97" s="22"/>
    </row>
    <row r="98" spans="3:7" x14ac:dyDescent="0.2">
      <c r="C98" s="22"/>
      <c r="D98" s="22"/>
      <c r="E98" s="22"/>
      <c r="F98" s="22"/>
      <c r="G98" s="22"/>
    </row>
    <row r="99" spans="3:7" x14ac:dyDescent="0.2">
      <c r="C99" s="22"/>
      <c r="D99" s="22"/>
      <c r="E99" s="22"/>
      <c r="F99" s="22"/>
      <c r="G99" s="22"/>
    </row>
    <row r="100" spans="3:7" x14ac:dyDescent="0.2">
      <c r="C100" s="22"/>
      <c r="D100" s="22"/>
      <c r="E100" s="22"/>
      <c r="F100" s="22"/>
      <c r="G100" s="22"/>
    </row>
    <row r="101" spans="3:7" x14ac:dyDescent="0.2">
      <c r="C101" s="22"/>
      <c r="D101" s="22"/>
      <c r="E101" s="22"/>
      <c r="F101" s="22"/>
      <c r="G101" s="22"/>
    </row>
    <row r="102" spans="3:7" x14ac:dyDescent="0.2">
      <c r="C102" s="22"/>
      <c r="D102" s="22"/>
      <c r="E102" s="22"/>
      <c r="F102" s="22"/>
      <c r="G102" s="22"/>
    </row>
    <row r="103" spans="3:7" x14ac:dyDescent="0.2">
      <c r="C103" s="22"/>
      <c r="D103" s="22"/>
      <c r="E103" s="22"/>
      <c r="F103" s="22"/>
      <c r="G103" s="22"/>
    </row>
    <row r="104" spans="3:7" x14ac:dyDescent="0.2">
      <c r="C104" s="22"/>
      <c r="D104" s="22"/>
      <c r="E104" s="22"/>
      <c r="F104" s="22"/>
      <c r="G104" s="22"/>
    </row>
    <row r="105" spans="3:7" x14ac:dyDescent="0.2">
      <c r="C105" s="22"/>
      <c r="D105" s="22"/>
      <c r="E105" s="22"/>
      <c r="F105" s="22"/>
      <c r="G105" s="22"/>
    </row>
    <row r="106" spans="3:7" x14ac:dyDescent="0.2">
      <c r="C106" s="22"/>
      <c r="D106" s="22"/>
      <c r="E106" s="22"/>
      <c r="F106" s="22"/>
      <c r="G106" s="22"/>
    </row>
    <row r="107" spans="3:7" x14ac:dyDescent="0.2">
      <c r="C107" s="22"/>
      <c r="D107" s="22"/>
      <c r="E107" s="22"/>
      <c r="F107" s="22"/>
      <c r="G107" s="22"/>
    </row>
    <row r="108" spans="3:7" x14ac:dyDescent="0.2">
      <c r="C108" s="22"/>
      <c r="D108" s="22"/>
      <c r="E108" s="22"/>
      <c r="F108" s="22"/>
      <c r="G108" s="22"/>
    </row>
    <row r="109" spans="3:7" x14ac:dyDescent="0.2">
      <c r="C109" s="22"/>
      <c r="D109" s="22"/>
      <c r="E109" s="22"/>
      <c r="F109" s="22"/>
      <c r="G109" s="22"/>
    </row>
    <row r="110" spans="3:7" x14ac:dyDescent="0.2">
      <c r="C110" s="22"/>
      <c r="D110" s="22"/>
      <c r="E110" s="22"/>
      <c r="F110" s="22"/>
      <c r="G110" s="22"/>
    </row>
    <row r="111" spans="3:7" x14ac:dyDescent="0.2">
      <c r="C111" s="22"/>
      <c r="D111" s="22"/>
      <c r="E111" s="22"/>
      <c r="F111" s="22"/>
      <c r="G111" s="22"/>
    </row>
    <row r="112" spans="3:7" x14ac:dyDescent="0.2">
      <c r="C112" s="22"/>
      <c r="D112" s="22"/>
      <c r="E112" s="22"/>
      <c r="F112" s="22"/>
      <c r="G112" s="22"/>
    </row>
    <row r="113" spans="3:7" x14ac:dyDescent="0.2">
      <c r="C113" s="22"/>
      <c r="D113" s="22"/>
      <c r="E113" s="22"/>
      <c r="F113" s="22"/>
      <c r="G113" s="22"/>
    </row>
    <row r="114" spans="3:7" x14ac:dyDescent="0.2">
      <c r="C114" s="22"/>
      <c r="D114" s="22"/>
      <c r="E114" s="22"/>
      <c r="F114" s="22"/>
      <c r="G114" s="22"/>
    </row>
    <row r="115" spans="3:7" x14ac:dyDescent="0.2">
      <c r="C115" s="22"/>
      <c r="D115" s="22"/>
      <c r="E115" s="22"/>
      <c r="F115" s="22"/>
      <c r="G115" s="22"/>
    </row>
    <row r="116" spans="3:7" x14ac:dyDescent="0.2">
      <c r="C116" s="22"/>
      <c r="D116" s="22"/>
      <c r="E116" s="22"/>
      <c r="F116" s="22"/>
      <c r="G116" s="22"/>
    </row>
    <row r="117" spans="3:7" x14ac:dyDescent="0.2">
      <c r="C117" s="22"/>
      <c r="D117" s="22"/>
      <c r="E117" s="22"/>
      <c r="F117" s="22"/>
      <c r="G117" s="22"/>
    </row>
    <row r="118" spans="3:7" x14ac:dyDescent="0.2">
      <c r="C118" s="22"/>
      <c r="D118" s="22"/>
      <c r="E118" s="22"/>
      <c r="F118" s="22"/>
      <c r="G118" s="22"/>
    </row>
    <row r="119" spans="3:7" x14ac:dyDescent="0.2">
      <c r="C119" s="22"/>
      <c r="D119" s="22"/>
      <c r="E119" s="22"/>
      <c r="F119" s="22"/>
      <c r="G119" s="22"/>
    </row>
    <row r="120" spans="3:7" x14ac:dyDescent="0.2">
      <c r="C120" s="22"/>
      <c r="D120" s="22"/>
      <c r="E120" s="22"/>
      <c r="F120" s="22"/>
      <c r="G120" s="22"/>
    </row>
    <row r="121" spans="3:7" x14ac:dyDescent="0.2">
      <c r="C121" s="22"/>
      <c r="D121" s="22"/>
      <c r="E121" s="22"/>
      <c r="F121" s="22"/>
      <c r="G121" s="22"/>
    </row>
    <row r="122" spans="3:7" x14ac:dyDescent="0.2">
      <c r="C122" s="22"/>
      <c r="D122" s="22"/>
      <c r="E122" s="22"/>
      <c r="F122" s="22"/>
      <c r="G122" s="22"/>
    </row>
    <row r="123" spans="3:7" x14ac:dyDescent="0.2">
      <c r="C123" s="22"/>
      <c r="D123" s="22"/>
      <c r="E123" s="22"/>
      <c r="F123" s="22"/>
      <c r="G123" s="22"/>
    </row>
    <row r="124" spans="3:7" x14ac:dyDescent="0.2">
      <c r="C124" s="22"/>
      <c r="D124" s="22"/>
      <c r="E124" s="22"/>
      <c r="F124" s="22"/>
      <c r="G124" s="22"/>
    </row>
    <row r="125" spans="3:7" x14ac:dyDescent="0.2">
      <c r="C125" s="22"/>
      <c r="D125" s="22"/>
      <c r="E125" s="22"/>
      <c r="F125" s="22"/>
      <c r="G125" s="22"/>
    </row>
    <row r="126" spans="3:7" x14ac:dyDescent="0.2">
      <c r="C126" s="22"/>
      <c r="D126" s="22"/>
      <c r="E126" s="22"/>
      <c r="F126" s="22"/>
      <c r="G126" s="22"/>
    </row>
    <row r="127" spans="3:7" x14ac:dyDescent="0.2">
      <c r="C127" s="22"/>
      <c r="D127" s="22"/>
      <c r="E127" s="22"/>
      <c r="F127" s="22"/>
      <c r="G127" s="22"/>
    </row>
    <row r="128" spans="3:7" x14ac:dyDescent="0.2">
      <c r="C128" s="22"/>
      <c r="D128" s="22"/>
      <c r="E128" s="22"/>
      <c r="F128" s="22"/>
      <c r="G128" s="22"/>
    </row>
    <row r="129" spans="3:7" x14ac:dyDescent="0.2">
      <c r="C129" s="22"/>
      <c r="D129" s="22"/>
      <c r="E129" s="22"/>
      <c r="F129" s="22"/>
      <c r="G129" s="22"/>
    </row>
    <row r="130" spans="3:7" x14ac:dyDescent="0.2">
      <c r="C130" s="22"/>
      <c r="D130" s="22"/>
      <c r="E130" s="22"/>
      <c r="F130" s="22"/>
      <c r="G130" s="22"/>
    </row>
    <row r="131" spans="3:7" x14ac:dyDescent="0.2">
      <c r="C131" s="22"/>
      <c r="D131" s="22"/>
      <c r="E131" s="22"/>
      <c r="F131" s="22"/>
      <c r="G131" s="22"/>
    </row>
    <row r="132" spans="3:7" x14ac:dyDescent="0.2">
      <c r="C132" s="22"/>
      <c r="D132" s="22"/>
      <c r="E132" s="22"/>
      <c r="F132" s="22"/>
      <c r="G132" s="22"/>
    </row>
    <row r="133" spans="3:7" x14ac:dyDescent="0.2">
      <c r="C133" s="22"/>
      <c r="D133" s="22"/>
      <c r="E133" s="22"/>
      <c r="F133" s="22"/>
      <c r="G133" s="22"/>
    </row>
    <row r="134" spans="3:7" x14ac:dyDescent="0.2">
      <c r="C134" s="22"/>
      <c r="D134" s="22"/>
      <c r="E134" s="22"/>
      <c r="F134" s="22"/>
      <c r="G134" s="22"/>
    </row>
    <row r="135" spans="3:7" x14ac:dyDescent="0.2">
      <c r="C135" s="22"/>
      <c r="D135" s="22"/>
      <c r="E135" s="22"/>
      <c r="F135" s="22"/>
      <c r="G135" s="22"/>
    </row>
    <row r="136" spans="3:7" x14ac:dyDescent="0.2">
      <c r="C136" s="22"/>
      <c r="D136" s="22"/>
      <c r="E136" s="22"/>
      <c r="F136" s="22"/>
      <c r="G136" s="22"/>
    </row>
    <row r="137" spans="3:7" x14ac:dyDescent="0.2">
      <c r="C137" s="22"/>
      <c r="D137" s="22"/>
      <c r="E137" s="22"/>
      <c r="F137" s="22"/>
      <c r="G137" s="22"/>
    </row>
    <row r="138" spans="3:7" x14ac:dyDescent="0.2">
      <c r="C138" s="22"/>
      <c r="D138" s="22"/>
      <c r="E138" s="22"/>
      <c r="F138" s="22"/>
      <c r="G138" s="22"/>
    </row>
    <row r="139" spans="3:7" x14ac:dyDescent="0.2">
      <c r="C139" s="22"/>
      <c r="D139" s="22"/>
      <c r="E139" s="22"/>
      <c r="F139" s="22"/>
      <c r="G139" s="22"/>
    </row>
    <row r="140" spans="3:7" x14ac:dyDescent="0.2">
      <c r="C140" s="22"/>
      <c r="D140" s="22"/>
      <c r="E140" s="22"/>
      <c r="F140" s="22"/>
      <c r="G140" s="22"/>
    </row>
    <row r="141" spans="3:7" x14ac:dyDescent="0.2">
      <c r="C141" s="22"/>
      <c r="D141" s="22"/>
      <c r="E141" s="22"/>
      <c r="F141" s="22"/>
      <c r="G141" s="22"/>
    </row>
    <row r="142" spans="3:7" x14ac:dyDescent="0.2">
      <c r="C142" s="22"/>
      <c r="D142" s="22"/>
      <c r="E142" s="22"/>
      <c r="F142" s="22"/>
      <c r="G142" s="22"/>
    </row>
    <row r="143" spans="3:7" x14ac:dyDescent="0.2">
      <c r="C143" s="22"/>
      <c r="D143" s="22"/>
      <c r="E143" s="22"/>
      <c r="F143" s="22"/>
      <c r="G143" s="22"/>
    </row>
    <row r="144" spans="3:7" x14ac:dyDescent="0.2">
      <c r="C144" s="22"/>
      <c r="D144" s="22"/>
      <c r="E144" s="22"/>
      <c r="F144" s="22"/>
      <c r="G144" s="22"/>
    </row>
    <row r="145" spans="3:7" x14ac:dyDescent="0.2">
      <c r="C145" s="22"/>
      <c r="D145" s="22"/>
      <c r="E145" s="22"/>
      <c r="F145" s="22"/>
      <c r="G145" s="22"/>
    </row>
    <row r="146" spans="3:7" x14ac:dyDescent="0.2">
      <c r="C146" s="23"/>
      <c r="D146" s="23"/>
      <c r="E146" s="23"/>
      <c r="F146" s="23"/>
      <c r="G146" s="23"/>
    </row>
    <row r="147" spans="3:7" x14ac:dyDescent="0.2">
      <c r="C147" s="23"/>
      <c r="D147" s="23"/>
      <c r="E147" s="23"/>
      <c r="F147" s="23"/>
      <c r="G147" s="23"/>
    </row>
    <row r="148" spans="3:7" x14ac:dyDescent="0.2">
      <c r="C148" s="23"/>
      <c r="D148" s="23"/>
      <c r="E148" s="23"/>
      <c r="F148" s="23"/>
      <c r="G148" s="23"/>
    </row>
    <row r="149" spans="3:7" x14ac:dyDescent="0.2">
      <c r="C149" s="23"/>
      <c r="D149" s="23"/>
      <c r="E149" s="23"/>
      <c r="F149" s="23"/>
      <c r="G149" s="23"/>
    </row>
    <row r="150" spans="3:7" x14ac:dyDescent="0.2">
      <c r="C150" s="23"/>
      <c r="D150" s="23"/>
      <c r="E150" s="23"/>
      <c r="F150" s="23"/>
      <c r="G150" s="23"/>
    </row>
    <row r="151" spans="3:7" x14ac:dyDescent="0.2">
      <c r="C151" s="23"/>
      <c r="D151" s="23"/>
      <c r="E151" s="23"/>
      <c r="F151" s="23"/>
      <c r="G151" s="23"/>
    </row>
    <row r="152" spans="3:7" x14ac:dyDescent="0.2">
      <c r="C152" s="23"/>
      <c r="D152" s="23"/>
      <c r="E152" s="23"/>
      <c r="F152" s="23"/>
      <c r="G152" s="23"/>
    </row>
    <row r="153" spans="3:7" x14ac:dyDescent="0.2">
      <c r="C153" s="23"/>
      <c r="D153" s="23"/>
      <c r="E153" s="23"/>
      <c r="F153" s="23"/>
      <c r="G153" s="23"/>
    </row>
    <row r="154" spans="3:7" x14ac:dyDescent="0.2">
      <c r="C154" s="23"/>
      <c r="D154" s="23"/>
      <c r="E154" s="23"/>
      <c r="F154" s="23"/>
      <c r="G154" s="23"/>
    </row>
    <row r="155" spans="3:7" x14ac:dyDescent="0.2">
      <c r="C155" s="23"/>
      <c r="D155" s="23"/>
      <c r="E155" s="23"/>
      <c r="F155" s="23"/>
      <c r="G155" s="23"/>
    </row>
    <row r="156" spans="3:7" x14ac:dyDescent="0.2">
      <c r="C156" s="23"/>
      <c r="D156" s="23"/>
      <c r="E156" s="23"/>
      <c r="F156" s="23"/>
      <c r="G156" s="23"/>
    </row>
    <row r="157" spans="3:7" x14ac:dyDescent="0.2">
      <c r="C157" s="23"/>
      <c r="D157" s="23"/>
      <c r="E157" s="23"/>
      <c r="F157" s="23"/>
      <c r="G157" s="23"/>
    </row>
    <row r="158" spans="3:7" x14ac:dyDescent="0.2">
      <c r="C158" s="23"/>
      <c r="D158" s="23"/>
      <c r="E158" s="23"/>
      <c r="F158" s="23"/>
      <c r="G158" s="23"/>
    </row>
    <row r="159" spans="3:7" x14ac:dyDescent="0.2">
      <c r="C159" s="23"/>
      <c r="D159" s="23"/>
      <c r="E159" s="23"/>
      <c r="F159" s="23"/>
      <c r="G159" s="23"/>
    </row>
    <row r="160" spans="3:7" x14ac:dyDescent="0.2">
      <c r="C160" s="23"/>
      <c r="D160" s="23"/>
      <c r="E160" s="23"/>
      <c r="F160" s="23"/>
      <c r="G160" s="23"/>
    </row>
    <row r="161" spans="3:7" x14ac:dyDescent="0.2">
      <c r="C161" s="23"/>
      <c r="D161" s="23"/>
      <c r="E161" s="23"/>
      <c r="F161" s="23"/>
      <c r="G161" s="23"/>
    </row>
    <row r="162" spans="3:7" x14ac:dyDescent="0.2">
      <c r="C162" s="23"/>
      <c r="D162" s="23"/>
      <c r="E162" s="23"/>
      <c r="F162" s="23"/>
      <c r="G162" s="23"/>
    </row>
    <row r="163" spans="3:7" x14ac:dyDescent="0.2">
      <c r="C163" s="23"/>
      <c r="D163" s="23"/>
      <c r="E163" s="23"/>
      <c r="F163" s="23"/>
      <c r="G163" s="23"/>
    </row>
    <row r="164" spans="3:7" x14ac:dyDescent="0.2">
      <c r="C164" s="23"/>
      <c r="D164" s="23"/>
      <c r="E164" s="23"/>
      <c r="F164" s="23"/>
      <c r="G164" s="23"/>
    </row>
    <row r="165" spans="3:7" x14ac:dyDescent="0.2">
      <c r="C165" s="23"/>
      <c r="D165" s="23"/>
      <c r="E165" s="23"/>
      <c r="F165" s="23"/>
      <c r="G165" s="23"/>
    </row>
    <row r="166" spans="3:7" x14ac:dyDescent="0.2">
      <c r="C166" s="23"/>
      <c r="D166" s="23"/>
      <c r="E166" s="23"/>
      <c r="F166" s="23"/>
      <c r="G166" s="23"/>
    </row>
  </sheetData>
  <sheetProtection selectLockedCells="1"/>
  <mergeCells count="1">
    <mergeCell ref="A1:G1"/>
  </mergeCells>
  <pageMargins left="0.78740157480314998" right="0.70866141732283505" top="0.98425196850393704" bottom="0.78740157480314998" header="0.43307086614173201" footer="0.31496062992126"/>
  <pageSetup paperSize="9" scale="96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tabColor rgb="FF00B050"/>
    <pageSetUpPr fitToPage="1"/>
  </sheetPr>
  <dimension ref="A1:I137"/>
  <sheetViews>
    <sheetView showGridLines="0" workbookViewId="0">
      <selection activeCell="B20" sqref="B20:H20"/>
    </sheetView>
  </sheetViews>
  <sheetFormatPr defaultColWidth="4.140625" defaultRowHeight="12.75" x14ac:dyDescent="0.2"/>
  <cols>
    <col min="1" max="1" width="4.85546875" style="97" bestFit="1" customWidth="1"/>
    <col min="2" max="2" width="53.140625" style="97" customWidth="1"/>
    <col min="3" max="3" width="11" style="97" customWidth="1"/>
    <col min="4" max="4" width="10" style="97" customWidth="1"/>
    <col min="5" max="5" width="9.85546875" style="97" customWidth="1" collapsed="1"/>
    <col min="6" max="6" width="10" style="97" customWidth="1"/>
    <col min="7" max="8" width="10" style="97" customWidth="1" collapsed="1"/>
    <col min="9" max="9" width="47" style="97" hidden="1" customWidth="1"/>
    <col min="10" max="188" width="11.5703125" style="97" customWidth="1"/>
    <col min="189" max="189" width="3.85546875" style="97" customWidth="1"/>
    <col min="190" max="190" width="22" style="97" customWidth="1"/>
    <col min="191" max="193" width="4.140625" style="97" customWidth="1"/>
    <col min="194" max="194" width="5.85546875" style="97" customWidth="1"/>
    <col min="195" max="195" width="4.140625" style="97" customWidth="1"/>
    <col min="196" max="196" width="0.85546875" style="97" customWidth="1"/>
    <col min="197" max="197" width="5.85546875" style="97" customWidth="1"/>
    <col min="198" max="198" width="4.140625" style="97" customWidth="1"/>
    <col min="199" max="199" width="0.85546875" style="97" customWidth="1"/>
    <col min="200" max="200" width="5.85546875" style="97" customWidth="1"/>
    <col min="201" max="201" width="4.140625" style="97" customWidth="1"/>
    <col min="202" max="202" width="0.85546875" style="97" customWidth="1"/>
    <col min="203" max="203" width="5.85546875" style="97" customWidth="1"/>
    <col min="204" max="16384" width="4.140625" style="97"/>
  </cols>
  <sheetData>
    <row r="1" spans="1:9" s="158" customFormat="1" ht="21" x14ac:dyDescent="0.25">
      <c r="A1" s="1127" t="str">
        <f>'(G1) Fjalori'!A470</f>
        <v>(F14) INDIKATORËT</v>
      </c>
      <c r="B1" s="1128"/>
      <c r="C1" s="1128"/>
      <c r="D1" s="1128"/>
      <c r="E1" s="1128"/>
      <c r="F1" s="1128"/>
      <c r="G1" s="1128"/>
      <c r="H1" s="1128"/>
      <c r="I1" s="1129"/>
    </row>
    <row r="2" spans="1:9" s="105" customFormat="1" x14ac:dyDescent="0.2"/>
    <row r="3" spans="1:9" s="158" customFormat="1" ht="25.5" customHeight="1" x14ac:dyDescent="0.25">
      <c r="C3" s="155">
        <f>'(B1)Informacion i përgjithshëm '!B5</f>
        <v>2019</v>
      </c>
      <c r="D3" s="155">
        <f>'(B1)Informacion i përgjithshëm '!B6</f>
        <v>2020</v>
      </c>
      <c r="E3" s="156">
        <f>'(B1)Informacion i përgjithshëm '!B7</f>
        <v>2021</v>
      </c>
      <c r="F3" s="157">
        <f>'(B1)Informacion i përgjithshëm '!B8</f>
        <v>2022</v>
      </c>
      <c r="G3" s="157">
        <f>'(B1)Informacion i përgjithshëm '!B9</f>
        <v>2023</v>
      </c>
      <c r="H3" s="157">
        <f>'(B1)Informacion i përgjithshëm '!B10</f>
        <v>2024</v>
      </c>
    </row>
    <row r="5" spans="1:9" x14ac:dyDescent="0.2">
      <c r="A5" s="231">
        <v>1</v>
      </c>
      <c r="B5" s="1508" t="str">
        <f>'(G1) Fjalori'!A472</f>
        <v>Norma e totalit të shpenzimeve ndaj totalit të të ardhurave</v>
      </c>
      <c r="C5" s="1509"/>
      <c r="D5" s="1509"/>
      <c r="E5" s="1509"/>
      <c r="F5" s="1509"/>
      <c r="G5" s="1509"/>
      <c r="H5" s="1510"/>
    </row>
    <row r="6" spans="1:9" x14ac:dyDescent="0.2">
      <c r="A6" s="232"/>
      <c r="B6" s="184" t="str">
        <f>'(G1) Fjalori'!A471</f>
        <v>Shpenzimet e përgjithshme /Të ardhurat e përgjithshme</v>
      </c>
      <c r="C6" s="113">
        <f>'(F13) Përmbledhja e të dhënave'!B7/'(F13) Përmbledhja e të dhënave'!B5</f>
        <v>0.86107484416579316</v>
      </c>
      <c r="D6" s="113">
        <f>'(F13) Përmbledhja e të dhënave'!C7/'(F13) Përmbledhja e të dhënave'!C5</f>
        <v>0.9004255787265546</v>
      </c>
      <c r="E6" s="113">
        <f>'(F13) Përmbledhja e të dhënave'!D7/'(F13) Përmbledhja e të dhënave'!D5</f>
        <v>0.99419793092251196</v>
      </c>
      <c r="F6" s="115">
        <f>('(F13) Përmbledhja e të dhënave'!E7+'(F13) Përmbledhja e të dhënave'!E9)/'(F13) Përmbledhja e të dhënave'!E5</f>
        <v>0.99943130482087572</v>
      </c>
      <c r="G6" s="115">
        <f>('(F13) Përmbledhja e të dhënave'!F7+'(F13) Përmbledhja e të dhënave'!F9)/'(F13) Përmbledhja e të dhënave'!F5</f>
        <v>0.99999999995654854</v>
      </c>
      <c r="H6" s="115">
        <f>('(F13) Përmbledhja e të dhënave'!G7+'(F13) Përmbledhja e të dhënave'!G9)/'(F13) Përmbledhja e të dhënave'!G5</f>
        <v>0.99999999623865365</v>
      </c>
      <c r="I6" s="110" t="s">
        <v>78</v>
      </c>
    </row>
    <row r="7" spans="1:9" x14ac:dyDescent="0.2">
      <c r="A7" s="232"/>
      <c r="B7" s="12"/>
      <c r="C7" s="116"/>
      <c r="D7" s="116"/>
      <c r="E7" s="116"/>
      <c r="F7" s="116"/>
      <c r="G7" s="116"/>
      <c r="H7" s="116"/>
      <c r="I7" s="9"/>
    </row>
    <row r="8" spans="1:9" x14ac:dyDescent="0.2">
      <c r="A8" s="184">
        <v>2</v>
      </c>
      <c r="B8" s="1508" t="str">
        <f>'(G1) Fjalori'!A473</f>
        <v>Norma e të ardhurave nga taksat dhe tarifat vendore ndaj totalit të të ardhurave</v>
      </c>
      <c r="C8" s="1509"/>
      <c r="D8" s="1509"/>
      <c r="E8" s="1509"/>
      <c r="F8" s="1509"/>
      <c r="G8" s="1509"/>
      <c r="H8" s="1510"/>
      <c r="I8" s="9"/>
    </row>
    <row r="9" spans="1:9" x14ac:dyDescent="0.2">
      <c r="A9" s="232"/>
      <c r="B9" s="184" t="str">
        <f>'(G1) Fjalori'!A474</f>
        <v>Taksat dhe tarifat lokale / Të ardhurat e përgjithshme</v>
      </c>
      <c r="C9" s="113">
        <f>('(F1) Burimet buxhetore'!D6+'(F1) Burimet buxhetore'!D26)/'(F1) Burimet buxhetore'!D95</f>
        <v>0.14394039054358823</v>
      </c>
      <c r="D9" s="113">
        <f>('(F1) Burimet buxhetore'!E6+'(F1) Burimet buxhetore'!E26)/'(F1) Burimet buxhetore'!E95</f>
        <v>0.12476191219760369</v>
      </c>
      <c r="E9" s="114">
        <f>('(F1) Burimet buxhetore'!F6+'(F1) Burimet buxhetore'!F26)/'(F1) Burimet buxhetore'!F95</f>
        <v>0.20141044619145776</v>
      </c>
      <c r="F9" s="115">
        <f>('(F1) Burimet buxhetore'!G6+'(F1) Burimet buxhetore'!G26)/'(F1) Burimet buxhetore'!G95</f>
        <v>0.22394390196823352</v>
      </c>
      <c r="G9" s="115">
        <f>('(F1) Burimet buxhetore'!H6+'(F1) Burimet buxhetore'!H26)/'(F1) Burimet buxhetore'!H95</f>
        <v>0.23056477610773388</v>
      </c>
      <c r="H9" s="115">
        <f>('(F1) Burimet buxhetore'!I6+'(F1) Burimet buxhetore'!I26)/'(F1) Burimet buxhetore'!I95</f>
        <v>0.22939277143284137</v>
      </c>
      <c r="I9" s="110"/>
    </row>
    <row r="10" spans="1:9" x14ac:dyDescent="0.2">
      <c r="A10" s="232"/>
      <c r="B10" s="12"/>
      <c r="C10" s="116"/>
      <c r="D10" s="116"/>
      <c r="E10" s="116"/>
      <c r="F10" s="116"/>
      <c r="G10" s="116"/>
      <c r="H10" s="116"/>
      <c r="I10" s="9"/>
    </row>
    <row r="11" spans="1:9" x14ac:dyDescent="0.2">
      <c r="A11" s="184">
        <v>3</v>
      </c>
      <c r="B11" s="1508" t="str">
        <f>'(G1) Fjalori'!A475</f>
        <v>Norma e të ardhurave nga burimet e veta ndaj totalit të të ardhurave</v>
      </c>
      <c r="C11" s="1509"/>
      <c r="D11" s="1509"/>
      <c r="E11" s="1509"/>
      <c r="F11" s="1509"/>
      <c r="G11" s="1509"/>
      <c r="H11" s="1510"/>
      <c r="I11" s="9"/>
    </row>
    <row r="12" spans="1:9" x14ac:dyDescent="0.2">
      <c r="A12" s="232"/>
      <c r="B12" s="184" t="str">
        <f>'(G1) Fjalori'!A476</f>
        <v>Të ardhura nga burimet e veta / Të ardhurat e përgjithshme</v>
      </c>
      <c r="C12" s="113">
        <f>'(F1) Burimet buxhetore'!D5/'(F1) Burimet buxhetore'!D95</f>
        <v>0.1648199395299759</v>
      </c>
      <c r="D12" s="113">
        <f>'(F1) Burimet buxhetore'!E5/'(F1) Burimet buxhetore'!E95</f>
        <v>0.15177055592717734</v>
      </c>
      <c r="E12" s="114">
        <f>'(F1) Burimet buxhetore'!F5/'(F1) Burimet buxhetore'!F95</f>
        <v>0.24901015408008836</v>
      </c>
      <c r="F12" s="115">
        <f>'(F1) Burimet buxhetore'!G5/'(F1) Burimet buxhetore'!G95</f>
        <v>0.27205811925060458</v>
      </c>
      <c r="G12" s="115">
        <f>'(F1) Burimet buxhetore'!H5/'(F1) Burimet buxhetore'!H95</f>
        <v>0.27986404846749813</v>
      </c>
      <c r="H12" s="115">
        <f>'(F1) Burimet buxhetore'!I5/'(F1) Burimet buxhetore'!I95</f>
        <v>0.27801512328504852</v>
      </c>
      <c r="I12" s="9"/>
    </row>
    <row r="13" spans="1:9" x14ac:dyDescent="0.2">
      <c r="A13" s="232"/>
      <c r="B13" s="12"/>
      <c r="C13" s="116"/>
      <c r="D13" s="116"/>
      <c r="E13" s="116"/>
      <c r="F13" s="116"/>
      <c r="G13" s="116"/>
      <c r="H13" s="116"/>
      <c r="I13" s="9"/>
    </row>
    <row r="14" spans="1:9" x14ac:dyDescent="0.2">
      <c r="A14" s="184">
        <v>4</v>
      </c>
      <c r="B14" s="1508" t="str">
        <f>'(G1) Fjalori'!A477</f>
        <v>Norma e shpenzimeve kapitale ndaj totalit të shpenzimeve</v>
      </c>
      <c r="C14" s="1509"/>
      <c r="D14" s="1509"/>
      <c r="E14" s="1509"/>
      <c r="F14" s="1509"/>
      <c r="G14" s="1509"/>
      <c r="H14" s="1510"/>
    </row>
    <row r="15" spans="1:9" x14ac:dyDescent="0.2">
      <c r="A15" s="232"/>
      <c r="B15" s="184" t="str">
        <f>'(G1) Fjalori'!A478</f>
        <v>Shpenzimet kapitale / Shpenzimet e përgjithshme</v>
      </c>
      <c r="D15" s="98"/>
      <c r="E15" s="98"/>
      <c r="F15" s="115">
        <f>'(F10) Shpenzimet klasifik. ekon'!E75/'(F10) Shpenzimet klasifik. ekon'!E80</f>
        <v>0.12504853640245081</v>
      </c>
      <c r="G15" s="115">
        <f>'(F10) Shpenzimet klasifik. ekon'!F75/'(F10) Shpenzimet klasifik. ekon'!F80</f>
        <v>9.8791537067122043E-2</v>
      </c>
      <c r="H15" s="115">
        <f>'(F10) Shpenzimet klasifik. ekon'!G75/'(F10) Shpenzimet klasifik. ekon'!G80</f>
        <v>9.7594432427903763E-2</v>
      </c>
    </row>
    <row r="16" spans="1:9" x14ac:dyDescent="0.2">
      <c r="A16" s="232"/>
      <c r="D16" s="98"/>
      <c r="E16" s="98"/>
      <c r="F16" s="98"/>
      <c r="G16" s="98"/>
      <c r="H16" s="98"/>
    </row>
    <row r="17" spans="1:9" x14ac:dyDescent="0.2">
      <c r="A17" s="184">
        <v>5</v>
      </c>
      <c r="B17" s="1508" t="str">
        <f>'(G1) Fjalori'!A480</f>
        <v>Norma e shpenzimeve korrente ndaj shpenzimeve totale</v>
      </c>
      <c r="C17" s="1509"/>
      <c r="D17" s="1509"/>
      <c r="E17" s="1509"/>
      <c r="F17" s="1509"/>
      <c r="G17" s="1509"/>
      <c r="H17" s="1510"/>
    </row>
    <row r="18" spans="1:9" x14ac:dyDescent="0.2">
      <c r="A18" s="232"/>
      <c r="B18" s="184" t="str">
        <f>'(G1) Fjalori'!A481</f>
        <v>Shpenzime korrente / Totali shpenzimeve</v>
      </c>
      <c r="D18" s="98"/>
      <c r="E18" s="98"/>
      <c r="F18" s="115">
        <f>('(F10) Shpenzimet klasifik. ekon'!E68+'(F10) Shpenzimet klasifik. ekon'!E69+'(F10) Shpenzimet klasifik. ekon'!E70+'(F10) Shpenzimet klasifik. ekon'!E71+'(F10) Shpenzimet klasifik. ekon'!E72+'(F10) Shpenzimet klasifik. ekon'!E73+'(F10) Shpenzimet klasifik. ekon'!E74+'(F10) Shpenzimet klasifik. ekon'!E76+'(F10) Shpenzimet klasifik. ekon'!E77)/'(F10) Shpenzimet klasifik. ekon'!E80</f>
        <v>0.87495146359754916</v>
      </c>
      <c r="G18" s="115">
        <f>('(F10) Shpenzimet klasifik. ekon'!F68+'(F10) Shpenzimet klasifik. ekon'!F69+'(F10) Shpenzimet klasifik. ekon'!F70+'(F10) Shpenzimet klasifik. ekon'!F71+'(F10) Shpenzimet klasifik. ekon'!F72+'(F10) Shpenzimet klasifik. ekon'!F73+'(F10) Shpenzimet klasifik. ekon'!F74+'(F10) Shpenzimet klasifik. ekon'!F76+'(F10) Shpenzimet klasifik. ekon'!F77)/'(F10) Shpenzimet klasifik. ekon'!F80</f>
        <v>0.90120846293287793</v>
      </c>
      <c r="H18" s="115">
        <f>('(F10) Shpenzimet klasifik. ekon'!G68+'(F10) Shpenzimet klasifik. ekon'!G69+'(F10) Shpenzimet klasifik. ekon'!G70+'(F10) Shpenzimet klasifik. ekon'!G71+'(F10) Shpenzimet klasifik. ekon'!G72+'(F10) Shpenzimet klasifik. ekon'!G73+'(F10) Shpenzimet klasifik. ekon'!G74+'(F10) Shpenzimet klasifik. ekon'!G76+'(F10) Shpenzimet klasifik. ekon'!G77)/'(F10) Shpenzimet klasifik. ekon'!G80</f>
        <v>0.90240556757209622</v>
      </c>
      <c r="I18" s="115" t="e">
        <f>('(F1) Burimet buxhetore'!J91+'(F1) Burimet buxhetore'!J92)/'(F1) Burimet buxhetore'!#REF!</f>
        <v>#REF!</v>
      </c>
    </row>
    <row r="19" spans="1:9" x14ac:dyDescent="0.2">
      <c r="A19" s="232"/>
      <c r="D19" s="98"/>
      <c r="E19" s="98"/>
      <c r="F19" s="98"/>
      <c r="G19" s="98"/>
      <c r="H19" s="98"/>
    </row>
    <row r="20" spans="1:9" x14ac:dyDescent="0.2">
      <c r="A20" s="184">
        <v>6</v>
      </c>
      <c r="B20" s="1508" t="str">
        <f>'(G1) Fjalori'!A479</f>
        <v>Normal e shpenzimeve të personelit ndaj totalit të shpenizmeve</v>
      </c>
      <c r="C20" s="1509"/>
      <c r="D20" s="1509"/>
      <c r="E20" s="1509"/>
      <c r="F20" s="1509"/>
      <c r="G20" s="1509"/>
      <c r="H20" s="1510"/>
    </row>
    <row r="21" spans="1:9" x14ac:dyDescent="0.2">
      <c r="A21" s="232"/>
      <c r="B21" s="184" t="str">
        <f>'(G1) Fjalori'!A482</f>
        <v>Shpenzimet e personelit / Shpenzimet e përgjithshme</v>
      </c>
      <c r="D21" s="98"/>
      <c r="E21" s="98"/>
      <c r="F21" s="115">
        <f>('(F10) Shpenzimet klasifik. ekon'!E68+'(F10) Shpenzimet klasifik. ekon'!E69)/'(F10) Shpenzimet klasifik. ekon'!E80</f>
        <v>0.23770239027932305</v>
      </c>
      <c r="G21" s="115">
        <f>('(F10) Shpenzimet klasifik. ekon'!F68+'(F10) Shpenzimet klasifik. ekon'!F69)/'(F10) Shpenzimet klasifik. ekon'!F80</f>
        <v>0.24837570968781159</v>
      </c>
      <c r="H21" s="115">
        <f>('(F10) Shpenzimet klasifik. ekon'!G68+'(F10) Shpenzimet klasifik. ekon'!G69)/'(F10) Shpenzimet klasifik. ekon'!G80</f>
        <v>0.25097888672723434</v>
      </c>
    </row>
    <row r="22" spans="1:9" x14ac:dyDescent="0.2">
      <c r="A22" s="232"/>
      <c r="D22" s="98"/>
      <c r="E22" s="98"/>
      <c r="F22" s="98"/>
      <c r="G22" s="98"/>
      <c r="H22" s="98"/>
    </row>
    <row r="23" spans="1:9" x14ac:dyDescent="0.2">
      <c r="A23" s="184">
        <v>7</v>
      </c>
      <c r="B23" s="1508" t="str">
        <f>'(G1) Fjalori'!A483</f>
        <v>Norma e huamarrjes afatgjatë ndaj totalit të të ardhurave</v>
      </c>
      <c r="C23" s="1509"/>
      <c r="D23" s="1509"/>
      <c r="E23" s="1509"/>
      <c r="F23" s="1509"/>
      <c r="G23" s="1509"/>
      <c r="H23" s="1510"/>
    </row>
    <row r="24" spans="1:9" x14ac:dyDescent="0.2">
      <c r="A24" s="232"/>
      <c r="B24" s="184"/>
      <c r="C24" s="113">
        <f>'(F1) Burimet buxhetore'!D91/'(F1) Burimet buxhetore'!D95</f>
        <v>0</v>
      </c>
      <c r="D24" s="113">
        <f>'(F1) Burimet buxhetore'!E91/'(F1) Burimet buxhetore'!E95</f>
        <v>0</v>
      </c>
      <c r="E24" s="113">
        <f>'(F1) Burimet buxhetore'!F91/'(F1) Burimet buxhetore'!F95</f>
        <v>0</v>
      </c>
      <c r="F24" s="115">
        <f>'(F1) Burimet buxhetore'!G91/'(F1) Burimet buxhetore'!G95</f>
        <v>0</v>
      </c>
      <c r="G24" s="115">
        <f>'(F1) Burimet buxhetore'!H91/'(F1) Burimet buxhetore'!H95</f>
        <v>0</v>
      </c>
      <c r="H24" s="115">
        <f>'(F1) Burimet buxhetore'!I91/'(F1) Burimet buxhetore'!I95</f>
        <v>0</v>
      </c>
      <c r="I24" s="115" t="e">
        <f>('(F1) Burimet buxhetore'!J94+'(F1) Burimet buxhetore'!J95)/'(F1) Burimet buxhetore'!#REF!</f>
        <v>#REF!</v>
      </c>
    </row>
    <row r="25" spans="1:9" x14ac:dyDescent="0.2">
      <c r="A25" s="232"/>
      <c r="D25" s="98"/>
      <c r="E25" s="98"/>
      <c r="F25" s="98"/>
      <c r="G25" s="98"/>
      <c r="H25" s="98"/>
    </row>
    <row r="26" spans="1:9" x14ac:dyDescent="0.2">
      <c r="A26" s="184">
        <v>8</v>
      </c>
      <c r="B26" s="1508" t="str">
        <f>'(G1) Fjalori'!A484</f>
        <v>Norma e huamarrjes afatgjatë ndaj të ardhurave të veta</v>
      </c>
      <c r="C26" s="1509"/>
      <c r="D26" s="1509"/>
      <c r="E26" s="1509"/>
      <c r="F26" s="1509"/>
      <c r="G26" s="1509"/>
      <c r="H26" s="1510"/>
    </row>
    <row r="27" spans="1:9" x14ac:dyDescent="0.2">
      <c r="A27" s="232"/>
      <c r="B27" s="184"/>
      <c r="C27" s="113">
        <f>'(F1) Burimet buxhetore'!D91/'(F1) Burimet buxhetore'!D5</f>
        <v>0</v>
      </c>
      <c r="D27" s="113">
        <f>'(F1) Burimet buxhetore'!E91/'(F1) Burimet buxhetore'!E5</f>
        <v>0</v>
      </c>
      <c r="E27" s="113">
        <f>'(F1) Burimet buxhetore'!F91/'(F1) Burimet buxhetore'!F5</f>
        <v>0</v>
      </c>
      <c r="F27" s="115">
        <f>'(F1) Burimet buxhetore'!G91/'(F1) Burimet buxhetore'!G5</f>
        <v>0</v>
      </c>
      <c r="G27" s="115">
        <f>'(F1) Burimet buxhetore'!H91/'(F1) Burimet buxhetore'!H5</f>
        <v>0</v>
      </c>
      <c r="H27" s="115">
        <f>'(F1) Burimet buxhetore'!I91/'(F1) Burimet buxhetore'!I5</f>
        <v>0</v>
      </c>
      <c r="I27" s="115" t="e">
        <f>('(F1) Burimet buxhetore'!J94+'(F1) Burimet buxhetore'!J95)/('(F1) Burimet buxhetore'!#REF!-'(F1) Burimet buxhetore'!J90-'(F1) Burimet buxhetore'!#REF!)</f>
        <v>#REF!</v>
      </c>
    </row>
    <row r="28" spans="1:9" x14ac:dyDescent="0.2">
      <c r="A28" s="232"/>
      <c r="D28" s="98"/>
      <c r="E28" s="98"/>
      <c r="F28" s="98"/>
      <c r="G28" s="98"/>
      <c r="H28" s="98"/>
    </row>
    <row r="29" spans="1:9" x14ac:dyDescent="0.2">
      <c r="A29" s="184">
        <v>9</v>
      </c>
      <c r="B29" s="1508" t="str">
        <f>'(G1) Fjalori'!A485</f>
        <v>Norma e detyrimeve të prapambetura ndaj totalit të të ardhurave</v>
      </c>
      <c r="C29" s="1509"/>
      <c r="D29" s="1509"/>
      <c r="E29" s="1509"/>
      <c r="F29" s="1509"/>
      <c r="G29" s="1509"/>
      <c r="H29" s="1510"/>
    </row>
    <row r="30" spans="1:9" x14ac:dyDescent="0.2">
      <c r="A30" s="232"/>
      <c r="B30" s="184"/>
      <c r="D30" s="98"/>
      <c r="E30" s="114">
        <f>'(C3) Detyrimet e prapambetura'!F394/'(F1) Burimet buxhetore'!F95</f>
        <v>0.13309718569836546</v>
      </c>
      <c r="F30" s="115">
        <f>'(C3) Detyrimet e prapambetura'!I394/'(F1) Burimet buxhetore'!G95</f>
        <v>0.11867040777783269</v>
      </c>
      <c r="G30" s="115">
        <f>'(C3) Detyrimet e prapambetura'!L394/'(F1) Burimet buxhetore'!H95</f>
        <v>8.9149389205207694E-2</v>
      </c>
      <c r="H30" s="115">
        <f>'(C3) Detyrimet e prapambetura'!O394/'(F1) Burimet buxhetore'!I95</f>
        <v>5.4730005406443578E-2</v>
      </c>
      <c r="I30" s="113" t="e">
        <f>'(C3) Detyrimet e prapambetura'!L394/'(F10) Shpenzimet klasifik. ekon'!P29</f>
        <v>#DIV/0!</v>
      </c>
    </row>
    <row r="31" spans="1:9" x14ac:dyDescent="0.2">
      <c r="A31" s="232"/>
      <c r="D31" s="98"/>
      <c r="E31" s="98"/>
      <c r="F31" s="98"/>
      <c r="G31" s="98"/>
      <c r="H31" s="98"/>
    </row>
    <row r="32" spans="1:9" x14ac:dyDescent="0.2">
      <c r="A32" s="184">
        <v>10</v>
      </c>
      <c r="B32" s="1508" t="str">
        <f>'(G1) Fjalori'!A486</f>
        <v>Norma e shpenzimeve në politikat sociale ndaj totalit të shpenzimeve</v>
      </c>
      <c r="C32" s="1509"/>
      <c r="D32" s="1509"/>
      <c r="E32" s="1509"/>
      <c r="F32" s="1509"/>
      <c r="G32" s="1509"/>
      <c r="H32" s="1510"/>
    </row>
    <row r="33" spans="1:8" x14ac:dyDescent="0.2">
      <c r="A33" s="232"/>
      <c r="B33" s="184"/>
      <c r="C33" s="114">
        <f>'(F6) Shpenzimet sipas funks.bru'!C41/'(F6) Shpenzimet sipas funks.bru'!C43</f>
        <v>0.49667670046028128</v>
      </c>
      <c r="D33" s="114">
        <f>'(F6) Shpenzimet sipas funks.bru'!D41/'(F6) Shpenzimet sipas funks.bru'!D43</f>
        <v>0.51468864078536658</v>
      </c>
      <c r="E33" s="114">
        <f>'(F6) Shpenzimet sipas funks.bru'!E41/'(F6) Shpenzimet sipas funks.bru'!E43</f>
        <v>0.39989291415668204</v>
      </c>
      <c r="F33" s="115">
        <f>'(F6) Shpenzimet sipas funks.bru'!I41/'(F6) Shpenzimet sipas funks.bru'!I43</f>
        <v>0.43831968923305026</v>
      </c>
      <c r="G33" s="115">
        <f>'(F6) Shpenzimet sipas funks.bru'!M41/'(F6) Shpenzimet sipas funks.bru'!M43</f>
        <v>0.44694818792655339</v>
      </c>
      <c r="H33" s="115">
        <f>'(F6) Shpenzimet sipas funks.bru'!Q41/'(F6) Shpenzimet sipas funks.bru'!Q43</f>
        <v>0.44081121472299339</v>
      </c>
    </row>
    <row r="34" spans="1:8" x14ac:dyDescent="0.2">
      <c r="A34" s="232"/>
      <c r="D34" s="98"/>
      <c r="E34" s="98"/>
      <c r="F34" s="98"/>
      <c r="G34" s="98"/>
      <c r="H34" s="98"/>
    </row>
    <row r="35" spans="1:8" x14ac:dyDescent="0.2">
      <c r="A35" s="232"/>
      <c r="D35" s="98"/>
      <c r="E35" s="98"/>
      <c r="F35" s="98"/>
      <c r="G35" s="98"/>
      <c r="H35" s="98"/>
    </row>
    <row r="36" spans="1:8" x14ac:dyDescent="0.2">
      <c r="D36" s="98"/>
      <c r="E36" s="98"/>
      <c r="F36" s="98"/>
      <c r="G36" s="98"/>
      <c r="H36" s="98"/>
    </row>
    <row r="37" spans="1:8" x14ac:dyDescent="0.2">
      <c r="D37" s="98"/>
      <c r="E37" s="98"/>
      <c r="F37" s="98"/>
      <c r="G37" s="98"/>
      <c r="H37" s="98"/>
    </row>
    <row r="38" spans="1:8" x14ac:dyDescent="0.2">
      <c r="D38" s="98"/>
      <c r="E38" s="98"/>
      <c r="F38" s="98"/>
      <c r="G38" s="98"/>
      <c r="H38" s="98"/>
    </row>
    <row r="39" spans="1:8" x14ac:dyDescent="0.2">
      <c r="D39" s="98"/>
      <c r="E39" s="98"/>
      <c r="F39" s="98"/>
      <c r="G39" s="98"/>
      <c r="H39" s="98"/>
    </row>
    <row r="40" spans="1:8" x14ac:dyDescent="0.2">
      <c r="D40" s="98"/>
      <c r="E40" s="98"/>
      <c r="F40" s="98"/>
      <c r="G40" s="98"/>
      <c r="H40" s="98"/>
    </row>
    <row r="41" spans="1:8" x14ac:dyDescent="0.2">
      <c r="D41" s="98"/>
      <c r="E41" s="98"/>
      <c r="F41" s="98"/>
      <c r="G41" s="98"/>
      <c r="H41" s="98"/>
    </row>
    <row r="42" spans="1:8" x14ac:dyDescent="0.2">
      <c r="D42" s="98"/>
      <c r="E42" s="98"/>
      <c r="F42" s="98"/>
      <c r="G42" s="98"/>
      <c r="H42" s="98"/>
    </row>
    <row r="43" spans="1:8" x14ac:dyDescent="0.2">
      <c r="D43" s="98"/>
      <c r="E43" s="98"/>
      <c r="F43" s="98"/>
      <c r="G43" s="98"/>
      <c r="H43" s="98"/>
    </row>
    <row r="44" spans="1:8" x14ac:dyDescent="0.2">
      <c r="D44" s="98"/>
      <c r="E44" s="98"/>
      <c r="F44" s="98"/>
      <c r="G44" s="98"/>
      <c r="H44" s="98"/>
    </row>
    <row r="45" spans="1:8" x14ac:dyDescent="0.2">
      <c r="D45" s="98"/>
      <c r="E45" s="98"/>
      <c r="F45" s="98"/>
      <c r="G45" s="98"/>
      <c r="H45" s="98"/>
    </row>
    <row r="46" spans="1:8" x14ac:dyDescent="0.2">
      <c r="D46" s="98"/>
      <c r="E46" s="98"/>
      <c r="F46" s="98"/>
      <c r="G46" s="98"/>
      <c r="H46" s="98"/>
    </row>
    <row r="47" spans="1:8" x14ac:dyDescent="0.2">
      <c r="D47" s="98"/>
      <c r="E47" s="98"/>
      <c r="F47" s="98"/>
      <c r="G47" s="98"/>
      <c r="H47" s="98"/>
    </row>
    <row r="48" spans="1:8" x14ac:dyDescent="0.2">
      <c r="D48" s="98"/>
      <c r="E48" s="98"/>
      <c r="F48" s="98"/>
      <c r="G48" s="98"/>
      <c r="H48" s="98"/>
    </row>
    <row r="49" spans="4:8" x14ac:dyDescent="0.2">
      <c r="D49" s="98"/>
      <c r="E49" s="98"/>
      <c r="F49" s="98"/>
      <c r="G49" s="98"/>
      <c r="H49" s="98"/>
    </row>
    <row r="50" spans="4:8" x14ac:dyDescent="0.2">
      <c r="D50" s="98"/>
      <c r="E50" s="98"/>
      <c r="F50" s="98"/>
      <c r="G50" s="98"/>
      <c r="H50" s="98"/>
    </row>
    <row r="51" spans="4:8" x14ac:dyDescent="0.2">
      <c r="D51" s="98"/>
      <c r="E51" s="98"/>
      <c r="F51" s="98"/>
      <c r="G51" s="98"/>
      <c r="H51" s="98"/>
    </row>
    <row r="52" spans="4:8" x14ac:dyDescent="0.2">
      <c r="D52" s="98"/>
      <c r="E52" s="98"/>
      <c r="F52" s="98"/>
      <c r="G52" s="98"/>
      <c r="H52" s="98"/>
    </row>
    <row r="53" spans="4:8" x14ac:dyDescent="0.2">
      <c r="D53" s="98"/>
      <c r="E53" s="98"/>
      <c r="F53" s="98"/>
      <c r="G53" s="98"/>
      <c r="H53" s="98"/>
    </row>
    <row r="54" spans="4:8" x14ac:dyDescent="0.2">
      <c r="D54" s="98"/>
      <c r="E54" s="98"/>
      <c r="F54" s="98"/>
      <c r="G54" s="98"/>
      <c r="H54" s="98"/>
    </row>
    <row r="55" spans="4:8" x14ac:dyDescent="0.2">
      <c r="D55" s="98"/>
      <c r="E55" s="98"/>
      <c r="F55" s="98"/>
      <c r="G55" s="98"/>
      <c r="H55" s="98"/>
    </row>
    <row r="56" spans="4:8" x14ac:dyDescent="0.2">
      <c r="D56" s="98"/>
      <c r="E56" s="98"/>
      <c r="F56" s="98"/>
      <c r="G56" s="98"/>
      <c r="H56" s="98"/>
    </row>
    <row r="57" spans="4:8" x14ac:dyDescent="0.2">
      <c r="D57" s="98"/>
      <c r="E57" s="98"/>
      <c r="F57" s="98"/>
      <c r="G57" s="98"/>
      <c r="H57" s="98"/>
    </row>
    <row r="58" spans="4:8" x14ac:dyDescent="0.2">
      <c r="D58" s="98"/>
      <c r="E58" s="98"/>
      <c r="F58" s="98"/>
      <c r="G58" s="98"/>
      <c r="H58" s="98"/>
    </row>
    <row r="59" spans="4:8" x14ac:dyDescent="0.2">
      <c r="D59" s="98"/>
      <c r="E59" s="98"/>
      <c r="F59" s="98"/>
      <c r="G59" s="98"/>
      <c r="H59" s="98"/>
    </row>
    <row r="60" spans="4:8" x14ac:dyDescent="0.2">
      <c r="D60" s="98"/>
      <c r="E60" s="98"/>
      <c r="F60" s="98"/>
      <c r="G60" s="98"/>
      <c r="H60" s="98"/>
    </row>
    <row r="61" spans="4:8" x14ac:dyDescent="0.2">
      <c r="D61" s="98"/>
      <c r="E61" s="98"/>
      <c r="F61" s="98"/>
      <c r="G61" s="98"/>
      <c r="H61" s="98"/>
    </row>
    <row r="62" spans="4:8" x14ac:dyDescent="0.2">
      <c r="D62" s="98"/>
      <c r="E62" s="98"/>
      <c r="F62" s="98"/>
      <c r="G62" s="98"/>
      <c r="H62" s="98"/>
    </row>
    <row r="63" spans="4:8" x14ac:dyDescent="0.2">
      <c r="D63" s="98"/>
      <c r="E63" s="98"/>
      <c r="F63" s="98"/>
      <c r="G63" s="98"/>
      <c r="H63" s="98"/>
    </row>
    <row r="64" spans="4:8" x14ac:dyDescent="0.2">
      <c r="D64" s="98"/>
      <c r="E64" s="98"/>
      <c r="F64" s="98"/>
      <c r="G64" s="98"/>
      <c r="H64" s="98"/>
    </row>
    <row r="65" spans="4:8" x14ac:dyDescent="0.2">
      <c r="D65" s="98"/>
      <c r="E65" s="98"/>
      <c r="F65" s="98"/>
      <c r="G65" s="98"/>
      <c r="H65" s="98"/>
    </row>
    <row r="66" spans="4:8" x14ac:dyDescent="0.2">
      <c r="D66" s="98"/>
      <c r="E66" s="98"/>
      <c r="F66" s="98"/>
      <c r="G66" s="98"/>
      <c r="H66" s="98"/>
    </row>
    <row r="67" spans="4:8" x14ac:dyDescent="0.2">
      <c r="D67" s="98"/>
      <c r="E67" s="98"/>
      <c r="F67" s="98"/>
      <c r="G67" s="98"/>
      <c r="H67" s="98"/>
    </row>
    <row r="68" spans="4:8" x14ac:dyDescent="0.2">
      <c r="D68" s="98"/>
      <c r="E68" s="98"/>
      <c r="F68" s="98"/>
      <c r="G68" s="98"/>
      <c r="H68" s="98"/>
    </row>
    <row r="69" spans="4:8" x14ac:dyDescent="0.2">
      <c r="D69" s="98"/>
      <c r="E69" s="98"/>
      <c r="F69" s="98"/>
      <c r="G69" s="98"/>
      <c r="H69" s="98"/>
    </row>
    <row r="70" spans="4:8" x14ac:dyDescent="0.2">
      <c r="D70" s="98"/>
      <c r="E70" s="98"/>
      <c r="F70" s="98"/>
      <c r="G70" s="98"/>
      <c r="H70" s="98"/>
    </row>
    <row r="71" spans="4:8" x14ac:dyDescent="0.2">
      <c r="D71" s="98"/>
      <c r="E71" s="98"/>
      <c r="F71" s="98"/>
      <c r="G71" s="98"/>
      <c r="H71" s="98"/>
    </row>
    <row r="72" spans="4:8" x14ac:dyDescent="0.2">
      <c r="D72" s="98"/>
      <c r="E72" s="98"/>
      <c r="F72" s="98"/>
      <c r="G72" s="98"/>
      <c r="H72" s="98"/>
    </row>
    <row r="73" spans="4:8" x14ac:dyDescent="0.2">
      <c r="D73" s="98"/>
      <c r="E73" s="98"/>
      <c r="F73" s="98"/>
      <c r="G73" s="98"/>
      <c r="H73" s="98"/>
    </row>
    <row r="74" spans="4:8" x14ac:dyDescent="0.2">
      <c r="D74" s="98"/>
      <c r="E74" s="98"/>
      <c r="F74" s="98"/>
      <c r="G74" s="98"/>
      <c r="H74" s="98"/>
    </row>
    <row r="75" spans="4:8" x14ac:dyDescent="0.2">
      <c r="D75" s="98"/>
      <c r="E75" s="98"/>
      <c r="F75" s="98"/>
      <c r="G75" s="98"/>
      <c r="H75" s="98"/>
    </row>
    <row r="76" spans="4:8" x14ac:dyDescent="0.2">
      <c r="D76" s="98"/>
      <c r="E76" s="98"/>
      <c r="F76" s="98"/>
      <c r="G76" s="98"/>
      <c r="H76" s="98"/>
    </row>
    <row r="77" spans="4:8" x14ac:dyDescent="0.2">
      <c r="D77" s="98"/>
      <c r="E77" s="98"/>
      <c r="F77" s="98"/>
      <c r="G77" s="98"/>
      <c r="H77" s="98"/>
    </row>
    <row r="78" spans="4:8" x14ac:dyDescent="0.2">
      <c r="D78" s="98"/>
      <c r="E78" s="98"/>
      <c r="F78" s="98"/>
      <c r="G78" s="98"/>
      <c r="H78" s="98"/>
    </row>
    <row r="79" spans="4:8" x14ac:dyDescent="0.2">
      <c r="D79" s="98"/>
      <c r="E79" s="98"/>
      <c r="F79" s="98"/>
      <c r="G79" s="98"/>
      <c r="H79" s="98"/>
    </row>
    <row r="80" spans="4:8" x14ac:dyDescent="0.2">
      <c r="D80" s="98"/>
      <c r="E80" s="98"/>
      <c r="F80" s="98"/>
      <c r="G80" s="98"/>
      <c r="H80" s="98"/>
    </row>
    <row r="81" spans="4:8" x14ac:dyDescent="0.2">
      <c r="D81" s="98"/>
      <c r="E81" s="98"/>
      <c r="F81" s="98"/>
      <c r="G81" s="98"/>
      <c r="H81" s="98"/>
    </row>
    <row r="82" spans="4:8" x14ac:dyDescent="0.2">
      <c r="D82" s="98"/>
      <c r="E82" s="98"/>
      <c r="F82" s="98"/>
      <c r="G82" s="98"/>
      <c r="H82" s="98"/>
    </row>
    <row r="83" spans="4:8" x14ac:dyDescent="0.2">
      <c r="D83" s="98"/>
      <c r="E83" s="98"/>
      <c r="F83" s="98"/>
      <c r="G83" s="98"/>
      <c r="H83" s="98"/>
    </row>
    <row r="84" spans="4:8" x14ac:dyDescent="0.2">
      <c r="D84" s="98"/>
      <c r="E84" s="98"/>
      <c r="F84" s="98"/>
      <c r="G84" s="98"/>
      <c r="H84" s="98"/>
    </row>
    <row r="85" spans="4:8" x14ac:dyDescent="0.2">
      <c r="D85" s="98"/>
      <c r="E85" s="98"/>
      <c r="F85" s="98"/>
      <c r="G85" s="98"/>
      <c r="H85" s="98"/>
    </row>
    <row r="86" spans="4:8" x14ac:dyDescent="0.2">
      <c r="D86" s="98"/>
      <c r="E86" s="98"/>
      <c r="F86" s="98"/>
      <c r="G86" s="98"/>
      <c r="H86" s="98"/>
    </row>
    <row r="87" spans="4:8" x14ac:dyDescent="0.2">
      <c r="D87" s="98"/>
      <c r="E87" s="98"/>
      <c r="F87" s="98"/>
      <c r="G87" s="98"/>
      <c r="H87" s="98"/>
    </row>
    <row r="88" spans="4:8" x14ac:dyDescent="0.2">
      <c r="D88" s="98"/>
      <c r="E88" s="98"/>
      <c r="F88" s="98"/>
      <c r="G88" s="98"/>
      <c r="H88" s="98"/>
    </row>
    <row r="89" spans="4:8" x14ac:dyDescent="0.2">
      <c r="D89" s="98"/>
      <c r="E89" s="98"/>
      <c r="F89" s="98"/>
      <c r="G89" s="98"/>
      <c r="H89" s="98"/>
    </row>
    <row r="90" spans="4:8" x14ac:dyDescent="0.2">
      <c r="D90" s="98"/>
      <c r="E90" s="98"/>
      <c r="F90" s="98"/>
      <c r="G90" s="98"/>
      <c r="H90" s="98"/>
    </row>
    <row r="91" spans="4:8" x14ac:dyDescent="0.2">
      <c r="D91" s="98"/>
      <c r="E91" s="98"/>
      <c r="F91" s="98"/>
      <c r="G91" s="98"/>
      <c r="H91" s="98"/>
    </row>
    <row r="92" spans="4:8" x14ac:dyDescent="0.2">
      <c r="D92" s="98"/>
      <c r="E92" s="98"/>
      <c r="F92" s="98"/>
      <c r="G92" s="98"/>
      <c r="H92" s="98"/>
    </row>
    <row r="93" spans="4:8" x14ac:dyDescent="0.2">
      <c r="D93" s="98"/>
      <c r="E93" s="98"/>
      <c r="F93" s="98"/>
      <c r="G93" s="98"/>
      <c r="H93" s="98"/>
    </row>
    <row r="94" spans="4:8" x14ac:dyDescent="0.2">
      <c r="D94" s="98"/>
      <c r="E94" s="98"/>
      <c r="F94" s="98"/>
      <c r="G94" s="98"/>
      <c r="H94" s="98"/>
    </row>
    <row r="95" spans="4:8" x14ac:dyDescent="0.2">
      <c r="D95" s="98"/>
      <c r="E95" s="98"/>
      <c r="F95" s="98"/>
      <c r="G95" s="98"/>
      <c r="H95" s="98"/>
    </row>
    <row r="96" spans="4:8" x14ac:dyDescent="0.2">
      <c r="D96" s="98"/>
      <c r="E96" s="98"/>
      <c r="F96" s="98"/>
      <c r="G96" s="98"/>
      <c r="H96" s="98"/>
    </row>
    <row r="97" spans="4:8" x14ac:dyDescent="0.2">
      <c r="D97" s="98"/>
      <c r="E97" s="98"/>
      <c r="F97" s="98"/>
      <c r="G97" s="98"/>
      <c r="H97" s="98"/>
    </row>
    <row r="98" spans="4:8" x14ac:dyDescent="0.2">
      <c r="D98" s="98"/>
      <c r="E98" s="98"/>
      <c r="F98" s="98"/>
      <c r="G98" s="98"/>
      <c r="H98" s="98"/>
    </row>
    <row r="99" spans="4:8" x14ac:dyDescent="0.2">
      <c r="D99" s="98"/>
      <c r="E99" s="98"/>
      <c r="F99" s="98"/>
      <c r="G99" s="98"/>
      <c r="H99" s="98"/>
    </row>
    <row r="100" spans="4:8" x14ac:dyDescent="0.2">
      <c r="D100" s="98"/>
      <c r="E100" s="98"/>
      <c r="F100" s="98"/>
      <c r="G100" s="98"/>
      <c r="H100" s="98"/>
    </row>
    <row r="101" spans="4:8" x14ac:dyDescent="0.2">
      <c r="D101" s="98"/>
      <c r="E101" s="98"/>
      <c r="F101" s="98"/>
      <c r="G101" s="98"/>
      <c r="H101" s="98"/>
    </row>
    <row r="102" spans="4:8" x14ac:dyDescent="0.2">
      <c r="D102" s="98"/>
      <c r="E102" s="98"/>
      <c r="F102" s="98"/>
      <c r="G102" s="98"/>
      <c r="H102" s="98"/>
    </row>
    <row r="103" spans="4:8" x14ac:dyDescent="0.2">
      <c r="D103" s="98"/>
      <c r="E103" s="98"/>
      <c r="F103" s="98"/>
      <c r="G103" s="98"/>
      <c r="H103" s="98"/>
    </row>
    <row r="104" spans="4:8" x14ac:dyDescent="0.2">
      <c r="D104" s="98"/>
      <c r="E104" s="98"/>
      <c r="F104" s="98"/>
      <c r="G104" s="98"/>
      <c r="H104" s="98"/>
    </row>
    <row r="105" spans="4:8" x14ac:dyDescent="0.2">
      <c r="D105" s="98"/>
      <c r="E105" s="98"/>
      <c r="F105" s="98"/>
      <c r="G105" s="98"/>
      <c r="H105" s="98"/>
    </row>
    <row r="106" spans="4:8" x14ac:dyDescent="0.2">
      <c r="D106" s="98"/>
      <c r="E106" s="98"/>
      <c r="F106" s="98"/>
      <c r="G106" s="98"/>
      <c r="H106" s="98"/>
    </row>
    <row r="107" spans="4:8" x14ac:dyDescent="0.2">
      <c r="D107" s="98"/>
      <c r="E107" s="98"/>
      <c r="F107" s="98"/>
      <c r="G107" s="98"/>
      <c r="H107" s="98"/>
    </row>
    <row r="108" spans="4:8" x14ac:dyDescent="0.2">
      <c r="D108" s="98"/>
      <c r="E108" s="98"/>
      <c r="F108" s="98"/>
      <c r="G108" s="98"/>
      <c r="H108" s="98"/>
    </row>
    <row r="109" spans="4:8" x14ac:dyDescent="0.2">
      <c r="D109" s="98"/>
      <c r="E109" s="98"/>
      <c r="F109" s="98"/>
      <c r="G109" s="98"/>
      <c r="H109" s="98"/>
    </row>
    <row r="110" spans="4:8" x14ac:dyDescent="0.2">
      <c r="D110" s="98"/>
      <c r="E110" s="98"/>
      <c r="F110" s="98"/>
      <c r="G110" s="98"/>
      <c r="H110" s="98"/>
    </row>
    <row r="111" spans="4:8" x14ac:dyDescent="0.2">
      <c r="D111" s="98"/>
      <c r="E111" s="98"/>
      <c r="F111" s="98"/>
      <c r="G111" s="98"/>
      <c r="H111" s="98"/>
    </row>
    <row r="112" spans="4:8" x14ac:dyDescent="0.2">
      <c r="D112" s="98"/>
      <c r="E112" s="98"/>
      <c r="F112" s="98"/>
      <c r="G112" s="98"/>
      <c r="H112" s="98"/>
    </row>
    <row r="113" spans="4:8" x14ac:dyDescent="0.2">
      <c r="D113" s="98"/>
      <c r="E113" s="98"/>
      <c r="F113" s="98"/>
      <c r="G113" s="98"/>
      <c r="H113" s="98"/>
    </row>
    <row r="114" spans="4:8" x14ac:dyDescent="0.2">
      <c r="D114" s="98"/>
      <c r="E114" s="98"/>
      <c r="F114" s="98"/>
      <c r="G114" s="98"/>
      <c r="H114" s="98"/>
    </row>
    <row r="115" spans="4:8" x14ac:dyDescent="0.2">
      <c r="D115" s="98"/>
      <c r="E115" s="98"/>
      <c r="F115" s="98"/>
      <c r="G115" s="98"/>
      <c r="H115" s="98"/>
    </row>
    <row r="116" spans="4:8" x14ac:dyDescent="0.2">
      <c r="D116" s="98"/>
      <c r="E116" s="98"/>
      <c r="F116" s="98"/>
      <c r="G116" s="98"/>
      <c r="H116" s="98"/>
    </row>
    <row r="117" spans="4:8" x14ac:dyDescent="0.2">
      <c r="D117" s="99"/>
      <c r="E117" s="99"/>
      <c r="F117" s="99"/>
      <c r="G117" s="99"/>
      <c r="H117" s="99"/>
    </row>
    <row r="118" spans="4:8" x14ac:dyDescent="0.2">
      <c r="D118" s="99"/>
      <c r="E118" s="99"/>
      <c r="F118" s="99"/>
      <c r="G118" s="99"/>
      <c r="H118" s="99"/>
    </row>
    <row r="119" spans="4:8" x14ac:dyDescent="0.2">
      <c r="D119" s="99"/>
      <c r="E119" s="99"/>
      <c r="F119" s="99"/>
      <c r="G119" s="99"/>
      <c r="H119" s="99"/>
    </row>
    <row r="120" spans="4:8" x14ac:dyDescent="0.2">
      <c r="D120" s="99"/>
      <c r="E120" s="99"/>
      <c r="F120" s="99"/>
      <c r="G120" s="99"/>
      <c r="H120" s="99"/>
    </row>
    <row r="121" spans="4:8" x14ac:dyDescent="0.2">
      <c r="D121" s="99"/>
      <c r="E121" s="99"/>
      <c r="F121" s="99"/>
      <c r="G121" s="99"/>
      <c r="H121" s="99"/>
    </row>
    <row r="122" spans="4:8" x14ac:dyDescent="0.2">
      <c r="D122" s="99"/>
      <c r="E122" s="99"/>
      <c r="F122" s="99"/>
      <c r="G122" s="99"/>
      <c r="H122" s="99"/>
    </row>
    <row r="123" spans="4:8" x14ac:dyDescent="0.2">
      <c r="D123" s="99"/>
      <c r="E123" s="99"/>
      <c r="F123" s="99"/>
      <c r="G123" s="99"/>
      <c r="H123" s="99"/>
    </row>
    <row r="124" spans="4:8" x14ac:dyDescent="0.2">
      <c r="D124" s="99"/>
      <c r="E124" s="99"/>
      <c r="F124" s="99"/>
      <c r="G124" s="99"/>
      <c r="H124" s="99"/>
    </row>
    <row r="125" spans="4:8" x14ac:dyDescent="0.2">
      <c r="D125" s="99"/>
      <c r="E125" s="99"/>
      <c r="F125" s="99"/>
      <c r="G125" s="99"/>
      <c r="H125" s="99"/>
    </row>
    <row r="126" spans="4:8" x14ac:dyDescent="0.2">
      <c r="D126" s="99"/>
      <c r="E126" s="99"/>
      <c r="F126" s="99"/>
      <c r="G126" s="99"/>
      <c r="H126" s="99"/>
    </row>
    <row r="127" spans="4:8" x14ac:dyDescent="0.2">
      <c r="D127" s="99"/>
      <c r="E127" s="99"/>
      <c r="F127" s="99"/>
      <c r="G127" s="99"/>
      <c r="H127" s="99"/>
    </row>
    <row r="128" spans="4:8" x14ac:dyDescent="0.2">
      <c r="D128" s="99"/>
      <c r="E128" s="99"/>
      <c r="F128" s="99"/>
      <c r="G128" s="99"/>
      <c r="H128" s="99"/>
    </row>
    <row r="129" spans="4:8" x14ac:dyDescent="0.2">
      <c r="D129" s="99"/>
      <c r="E129" s="99"/>
      <c r="F129" s="99"/>
      <c r="G129" s="99"/>
      <c r="H129" s="99"/>
    </row>
    <row r="130" spans="4:8" x14ac:dyDescent="0.2">
      <c r="D130" s="99"/>
      <c r="E130" s="99"/>
      <c r="F130" s="99"/>
      <c r="G130" s="99"/>
      <c r="H130" s="99"/>
    </row>
    <row r="131" spans="4:8" x14ac:dyDescent="0.2">
      <c r="D131" s="99"/>
      <c r="E131" s="99"/>
      <c r="F131" s="99"/>
      <c r="G131" s="99"/>
      <c r="H131" s="99"/>
    </row>
    <row r="132" spans="4:8" x14ac:dyDescent="0.2">
      <c r="D132" s="99"/>
      <c r="E132" s="99"/>
      <c r="F132" s="99"/>
      <c r="G132" s="99"/>
      <c r="H132" s="99"/>
    </row>
    <row r="133" spans="4:8" x14ac:dyDescent="0.2">
      <c r="D133" s="99"/>
      <c r="E133" s="99"/>
      <c r="F133" s="99"/>
      <c r="G133" s="99"/>
      <c r="H133" s="99"/>
    </row>
    <row r="134" spans="4:8" x14ac:dyDescent="0.2">
      <c r="D134" s="99"/>
      <c r="E134" s="99"/>
      <c r="F134" s="99"/>
      <c r="G134" s="99"/>
      <c r="H134" s="99"/>
    </row>
    <row r="135" spans="4:8" x14ac:dyDescent="0.2">
      <c r="D135" s="99"/>
      <c r="E135" s="99"/>
      <c r="F135" s="99"/>
      <c r="G135" s="99"/>
      <c r="H135" s="99"/>
    </row>
    <row r="136" spans="4:8" x14ac:dyDescent="0.2">
      <c r="D136" s="99"/>
      <c r="E136" s="99"/>
      <c r="F136" s="99"/>
      <c r="G136" s="99"/>
      <c r="H136" s="99"/>
    </row>
    <row r="137" spans="4:8" x14ac:dyDescent="0.2">
      <c r="D137" s="99"/>
      <c r="E137" s="99"/>
      <c r="F137" s="99"/>
      <c r="G137" s="99"/>
      <c r="H137" s="99"/>
    </row>
  </sheetData>
  <sheetProtection selectLockedCells="1"/>
  <mergeCells count="11">
    <mergeCell ref="B32:H32"/>
    <mergeCell ref="A1:I1"/>
    <mergeCell ref="B20:H20"/>
    <mergeCell ref="B23:H23"/>
    <mergeCell ref="B26:H26"/>
    <mergeCell ref="B29:H29"/>
    <mergeCell ref="B5:H5"/>
    <mergeCell ref="B8:H8"/>
    <mergeCell ref="B11:H11"/>
    <mergeCell ref="B17:H17"/>
    <mergeCell ref="B14:H14"/>
  </mergeCells>
  <pageMargins left="0.78740157480314998" right="0.70866141732283505" top="0.98425196850393704" bottom="0.78740157480314998" header="0.43307086614173201" footer="0.31496062992126"/>
  <pageSetup paperSize="9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0"/>
  <sheetViews>
    <sheetView zoomScale="85" zoomScaleNormal="85" workbookViewId="0">
      <selection activeCell="H5" sqref="H5"/>
    </sheetView>
  </sheetViews>
  <sheetFormatPr defaultRowHeight="15" x14ac:dyDescent="0.25"/>
  <cols>
    <col min="1" max="1" width="14.85546875" style="101" bestFit="1" customWidth="1"/>
    <col min="2" max="2" width="57.7109375" style="101" customWidth="1"/>
    <col min="3" max="3" width="15.85546875" style="101" customWidth="1"/>
    <col min="4" max="4" width="15.28515625" style="101" customWidth="1"/>
    <col min="5" max="5" width="17.28515625" style="101" customWidth="1"/>
    <col min="6" max="6" width="14.85546875" style="101" customWidth="1"/>
    <col min="7" max="7" width="15.28515625" style="101" customWidth="1"/>
    <col min="8" max="8" width="14.85546875" style="101" customWidth="1"/>
  </cols>
  <sheetData>
    <row r="1" spans="1:8" ht="21" x14ac:dyDescent="0.25">
      <c r="A1" s="1127" t="str">
        <f>'(G1) Fjalori'!A489</f>
        <v>(F15) SHPENZIMET KAPITALE SIPAS PROGRAMEVE</v>
      </c>
      <c r="B1" s="1128"/>
      <c r="C1" s="1128"/>
      <c r="D1" s="1128"/>
      <c r="E1" s="1128"/>
      <c r="F1" s="1128"/>
      <c r="G1" s="1128"/>
      <c r="H1" s="1129"/>
    </row>
    <row r="2" spans="1:8" x14ac:dyDescent="0.25">
      <c r="A2" s="1511"/>
      <c r="B2" s="1511"/>
      <c r="C2" s="1513"/>
      <c r="D2" s="1513"/>
      <c r="E2" s="1513"/>
      <c r="F2" s="1513"/>
      <c r="G2" s="1513"/>
      <c r="H2" s="1513"/>
    </row>
    <row r="3" spans="1:8" x14ac:dyDescent="0.25">
      <c r="A3" s="1512"/>
      <c r="B3" s="1512"/>
      <c r="C3" s="593">
        <f>'(C1b)Shpenzimet vitet e kaluar '!D5</f>
        <v>2019</v>
      </c>
      <c r="D3" s="593">
        <f>'(C1b)Shpenzimet vitet e kaluar '!E5</f>
        <v>2020</v>
      </c>
      <c r="E3" s="593">
        <f>'(C1b)Shpenzimet vitet e kaluar '!F5</f>
        <v>2021</v>
      </c>
      <c r="F3" s="594">
        <f>'(A1) Titulli'!B42</f>
        <v>2022</v>
      </c>
      <c r="G3" s="594">
        <f>'(A1) Titulli'!B43</f>
        <v>2023</v>
      </c>
      <c r="H3" s="594">
        <f>'(A1) Titulli'!B44</f>
        <v>2024</v>
      </c>
    </row>
    <row r="4" spans="1:8" x14ac:dyDescent="0.25">
      <c r="A4" s="614" t="str">
        <f>'(F2) Shpenzimet sipas nenfunk.b'!A6</f>
        <v>Nënfunksioni 1</v>
      </c>
      <c r="B4" s="615" t="str">
        <f>' (F4)Shpenzimet sipas nenf.neto'!B6</f>
        <v>011 Organet ekzekutive dhe legjislative, për çështjet financiare dhe fiskale, çështjet e brendshme</v>
      </c>
      <c r="C4" s="616">
        <f>'(C1b)Shpenzimet vitet e kaluar '!D15</f>
        <v>4710715</v>
      </c>
      <c r="D4" s="616">
        <f>'(C1b)Shpenzimet vitet e kaluar '!E15</f>
        <v>4310738</v>
      </c>
      <c r="E4" s="616">
        <f>'(C1b)Shpenzimet vitet e kaluar '!F15</f>
        <v>53066794</v>
      </c>
      <c r="F4" s="617">
        <f>'(F2) Shpenzimet sipas nenfunk.b'!H6</f>
        <v>82418688</v>
      </c>
      <c r="G4" s="618">
        <f>'(F2) Shpenzimet sipas nenfunk.b'!L6</f>
        <v>21596860</v>
      </c>
      <c r="H4" s="618">
        <f>'(F2) Shpenzimet sipas nenfunk.b'!P6</f>
        <v>18046223</v>
      </c>
    </row>
    <row r="5" spans="1:8" x14ac:dyDescent="0.25">
      <c r="A5" s="586" t="str">
        <f>'(B3) Struktura Funksionale'!B8</f>
        <v>01110</v>
      </c>
      <c r="B5" s="100" t="str">
        <f>'(B3) Struktura Funksionale'!C8</f>
        <v>Planifikimi Menaxhimi dhe Administrimi</v>
      </c>
      <c r="C5" s="407">
        <f>'(C1b)Shpenzimet vitet e kaluar '!D9</f>
        <v>4710715</v>
      </c>
      <c r="D5" s="407">
        <f>'(C1b)Shpenzimet vitet e kaluar '!E9</f>
        <v>4310738</v>
      </c>
      <c r="E5" s="407">
        <f>'(C1b)Shpenzimet vitet e kaluar '!F9</f>
        <v>53066794</v>
      </c>
      <c r="F5" s="77">
        <f>'(F2) Shpenzimet sipas nenfunk.b'!H7</f>
        <v>82418688</v>
      </c>
      <c r="G5" s="399">
        <f>'(F2) Shpenzimet sipas nenfunk.b'!L7</f>
        <v>21596860</v>
      </c>
      <c r="H5" s="399">
        <f>'(F2) Shpenzimet sipas nenfunk.b'!P7</f>
        <v>18046223</v>
      </c>
    </row>
    <row r="6" spans="1:8" x14ac:dyDescent="0.25">
      <c r="A6" s="586" t="str">
        <f>'(B3) Struktura Funksionale'!B9</f>
        <v>01120</v>
      </c>
      <c r="B6" s="100" t="str">
        <f>'(B3) Struktura Funksionale'!C9</f>
        <v>Çështje financiare dhe fiskale</v>
      </c>
      <c r="C6" s="407">
        <f>'(C1b)Shpenzimet vitet e kaluar '!D10</f>
        <v>0</v>
      </c>
      <c r="D6" s="407">
        <f>'(C1b)Shpenzimet vitet e kaluar '!E10</f>
        <v>0</v>
      </c>
      <c r="E6" s="407">
        <f>'(C1b)Shpenzimet vitet e kaluar '!F10</f>
        <v>0</v>
      </c>
      <c r="F6" s="77">
        <f>'(F2) Shpenzimet sipas nenfunk.b'!H8</f>
        <v>0</v>
      </c>
      <c r="G6" s="399">
        <f>'(F2) Shpenzimet sipas nenfunk.b'!L8</f>
        <v>0</v>
      </c>
      <c r="H6" s="399">
        <f>'(F2) Shpenzimet sipas nenfunk.b'!P8</f>
        <v>0</v>
      </c>
    </row>
    <row r="7" spans="1:8" x14ac:dyDescent="0.25">
      <c r="A7" s="586" t="str">
        <f>'(B3) Struktura Funksionale'!B11</f>
        <v>01170</v>
      </c>
      <c r="B7" s="100" t="str">
        <f>'(B3) Struktura Funksionale'!C11</f>
        <v>Gjendja civile</v>
      </c>
      <c r="C7" s="407">
        <f>'(C1b)Shpenzimet vitet e kaluar '!D12</f>
        <v>0</v>
      </c>
      <c r="D7" s="407">
        <f>'(C1b)Shpenzimet vitet e kaluar '!E12</f>
        <v>0</v>
      </c>
      <c r="E7" s="407">
        <f>'(C1b)Shpenzimet vitet e kaluar '!F12</f>
        <v>0</v>
      </c>
      <c r="F7" s="77">
        <f>'(F2) Shpenzimet sipas nenfunk.b'!H9</f>
        <v>0</v>
      </c>
      <c r="G7" s="399">
        <f>'(F2) Shpenzimet sipas nenfunk.b'!L9</f>
        <v>0</v>
      </c>
      <c r="H7" s="399">
        <f>'(F2) Shpenzimet sipas nenfunk.b'!P9</f>
        <v>0</v>
      </c>
    </row>
    <row r="8" spans="1:8" x14ac:dyDescent="0.25">
      <c r="A8" s="614" t="str">
        <f>'(F2) Shpenzimet sipas nenfunk.b'!A10</f>
        <v>Nënfunksioni 2</v>
      </c>
      <c r="B8" s="615" t="str">
        <f>' (F4)Shpenzimet sipas nenf.neto'!B10</f>
        <v>017 Shërbime të  huamarrjes vendore</v>
      </c>
      <c r="C8" s="616">
        <f>'(C1b)Shpenzimet vitet e kaluar '!D22</f>
        <v>0</v>
      </c>
      <c r="D8" s="616">
        <f>'(C1b)Shpenzimet vitet e kaluar '!E22</f>
        <v>0</v>
      </c>
      <c r="E8" s="616">
        <f>'(C1b)Shpenzimet vitet e kaluar '!F22</f>
        <v>0</v>
      </c>
      <c r="F8" s="617">
        <f>'(F2) Shpenzimet sipas nenfunk.b'!H10</f>
        <v>0</v>
      </c>
      <c r="G8" s="618">
        <f>'(F2) Shpenzimet sipas nenfunk.b'!L10</f>
        <v>0</v>
      </c>
      <c r="H8" s="618">
        <f>'(F2) Shpenzimet sipas nenfunk.b'!P10</f>
        <v>0</v>
      </c>
    </row>
    <row r="9" spans="1:8" hidden="1" x14ac:dyDescent="0.25">
      <c r="A9" s="586" t="str">
        <f>'(B3) Struktura Funksionale'!B15</f>
        <v>01310</v>
      </c>
      <c r="B9" s="100" t="str">
        <f>'(B3) Struktura Funksionale'!C15</f>
        <v>Planifikimi i përgjithshëm dhe Shërbimet Statistikore</v>
      </c>
      <c r="C9" s="407">
        <f>'(C1b)Shpenzimet vitet e kaluar '!D17</f>
        <v>0</v>
      </c>
      <c r="D9" s="407">
        <f>'(C1b)Shpenzimet vitet e kaluar '!E17</f>
        <v>0</v>
      </c>
      <c r="E9" s="407">
        <f>'(C1b)Shpenzimet vitet e kaluar '!F17</f>
        <v>0</v>
      </c>
      <c r="F9" s="77">
        <f>'(F2) Shpenzimet sipas nenfunk.b'!H11</f>
        <v>0</v>
      </c>
      <c r="G9" s="399">
        <f>'(F2) Shpenzimet sipas nenfunk.b'!L11</f>
        <v>0</v>
      </c>
      <c r="H9" s="399">
        <f>'(F2) Shpenzimet sipas nenfunk.b'!P11</f>
        <v>0</v>
      </c>
    </row>
    <row r="10" spans="1:8" hidden="1" x14ac:dyDescent="0.25">
      <c r="A10" s="586" t="str">
        <f>'(B3) Struktura Funksionale'!B17</f>
        <v>01320</v>
      </c>
      <c r="B10" s="100" t="str">
        <f>'(B3) Struktura Funksionale'!C17</f>
        <v>Shërbime të tjera të përgjithshme</v>
      </c>
      <c r="C10" s="407">
        <f>'(C1b)Shpenzimet vitet e kaluar '!D19</f>
        <v>0</v>
      </c>
      <c r="D10" s="407">
        <f>'(C1b)Shpenzimet vitet e kaluar '!E19</f>
        <v>0</v>
      </c>
      <c r="E10" s="407">
        <f>'(C1b)Shpenzimet vitet e kaluar '!F19</f>
        <v>0</v>
      </c>
      <c r="F10" s="77">
        <f>'(F2) Shpenzimet sipas nenfunk.b'!H12</f>
        <v>0</v>
      </c>
      <c r="G10" s="399">
        <f>'(F2) Shpenzimet sipas nenfunk.b'!L12</f>
        <v>0</v>
      </c>
      <c r="H10" s="399">
        <f>'(F2) Shpenzimet sipas nenfunk.b'!P12</f>
        <v>0</v>
      </c>
    </row>
    <row r="11" spans="1:8" x14ac:dyDescent="0.25">
      <c r="A11" s="586" t="str">
        <f>'(B3) Struktura Funksionale'!B18</f>
        <v>01710</v>
      </c>
      <c r="B11" s="100" t="str">
        <f>'(B3) Struktura Funksionale'!C18</f>
        <v>Pagesa për shërbimin e borxhit të brendshëm</v>
      </c>
      <c r="C11" s="407">
        <f>'(C1b)Shpenzimet vitet e kaluar '!D20</f>
        <v>0</v>
      </c>
      <c r="D11" s="407">
        <f>'(C1b)Shpenzimet vitet e kaluar '!E20</f>
        <v>0</v>
      </c>
      <c r="E11" s="407">
        <f>'(C1b)Shpenzimet vitet e kaluar '!F20</f>
        <v>0</v>
      </c>
      <c r="F11" s="77">
        <f>'(F2) Shpenzimet sipas nenfunk.b'!H13</f>
        <v>0</v>
      </c>
      <c r="G11" s="399">
        <f>'(F2) Shpenzimet sipas nenfunk.b'!L13</f>
        <v>0</v>
      </c>
      <c r="H11" s="399">
        <f>'(F2) Shpenzimet sipas nenfunk.b'!P13</f>
        <v>0</v>
      </c>
    </row>
    <row r="12" spans="1:8" x14ac:dyDescent="0.25">
      <c r="A12" s="614" t="str">
        <f>'(F2) Shpenzimet sipas nenfunk.b'!A14</f>
        <v>Nënfunksioni 3</v>
      </c>
      <c r="B12" s="615" t="str">
        <f>' (F4)Shpenzimet sipas nenf.neto'!B14</f>
        <v>031 Shërbimet Policore</v>
      </c>
      <c r="C12" s="616">
        <f>'(C1b)Shpenzimet vitet e kaluar '!D28</f>
        <v>0</v>
      </c>
      <c r="D12" s="616">
        <f>'(C1b)Shpenzimet vitet e kaluar '!E28</f>
        <v>0</v>
      </c>
      <c r="E12" s="616">
        <f>'(C1b)Shpenzimet vitet e kaluar '!F28</f>
        <v>0</v>
      </c>
      <c r="F12" s="617">
        <f>'(F2) Shpenzimet sipas nenfunk.b'!H14</f>
        <v>0</v>
      </c>
      <c r="G12" s="618">
        <f>'(F2) Shpenzimet sipas nenfunk.b'!L14</f>
        <v>0</v>
      </c>
      <c r="H12" s="618">
        <f>'(F2) Shpenzimet sipas nenfunk.b'!P14</f>
        <v>0</v>
      </c>
    </row>
    <row r="13" spans="1:8" x14ac:dyDescent="0.25">
      <c r="A13" s="586" t="str">
        <f>'(B3) Struktura Funksionale'!B22</f>
        <v>03140</v>
      </c>
      <c r="B13" s="100" t="str">
        <f>'(B3) Struktura Funksionale'!C22</f>
        <v>Shërbimet e Policisë Vendore</v>
      </c>
      <c r="C13" s="407">
        <f>'(C1b)Shpenzimet vitet e kaluar '!D25</f>
        <v>0</v>
      </c>
      <c r="D13" s="407">
        <f>'(C1b)Shpenzimet vitet e kaluar '!E25</f>
        <v>0</v>
      </c>
      <c r="E13" s="407">
        <f>'(C1b)Shpenzimet vitet e kaluar '!F25</f>
        <v>0</v>
      </c>
      <c r="F13" s="77">
        <f>'(F2) Shpenzimet sipas nenfunk.b'!H15</f>
        <v>0</v>
      </c>
      <c r="G13" s="399">
        <f>'(F2) Shpenzimet sipas nenfunk.b'!L15</f>
        <v>0</v>
      </c>
      <c r="H13" s="399">
        <f>'(F2) Shpenzimet sipas nenfunk.b'!P15</f>
        <v>0</v>
      </c>
    </row>
    <row r="14" spans="1:8" x14ac:dyDescent="0.25">
      <c r="A14" s="614" t="str">
        <f>'(F2) Shpenzimet sipas nenfunk.b'!A16</f>
        <v>Nënfunksioni 4</v>
      </c>
      <c r="B14" s="615" t="str">
        <f>' (F4)Shpenzimet sipas nenf.neto'!B16</f>
        <v>032 Shërbimet e mbrojtjes ndaj zjarrit</v>
      </c>
      <c r="C14" s="616">
        <f>'(C1b)Shpenzimet vitet e kaluar '!D33</f>
        <v>0</v>
      </c>
      <c r="D14" s="616">
        <f>'(C1b)Shpenzimet vitet e kaluar '!E33</f>
        <v>0</v>
      </c>
      <c r="E14" s="616">
        <f>'(C1b)Shpenzimet vitet e kaluar '!F33</f>
        <v>0</v>
      </c>
      <c r="F14" s="617">
        <f>'(F2) Shpenzimet sipas nenfunk.b'!H16</f>
        <v>0</v>
      </c>
      <c r="G14" s="618">
        <f>'(F2) Shpenzimet sipas nenfunk.b'!L16</f>
        <v>0</v>
      </c>
      <c r="H14" s="618">
        <f>'(F2) Shpenzimet sipas nenfunk.b'!P16</f>
        <v>0</v>
      </c>
    </row>
    <row r="15" spans="1:8" x14ac:dyDescent="0.25">
      <c r="A15" s="586" t="str">
        <f>'(B3) Struktura Funksionale'!B26</f>
        <v>03280</v>
      </c>
      <c r="B15" s="100" t="str">
        <f>'(B3) Struktura Funksionale'!C26</f>
        <v>Mbrotja nga zjarri dhe mbrojtja civile</v>
      </c>
      <c r="C15" s="407">
        <f>'(C1b)Shpenzimet vitet e kaluar '!D30</f>
        <v>0</v>
      </c>
      <c r="D15" s="407">
        <f>'(C1b)Shpenzimet vitet e kaluar '!E30</f>
        <v>0</v>
      </c>
      <c r="E15" s="407">
        <f>'(C1b)Shpenzimet vitet e kaluar '!F30</f>
        <v>0</v>
      </c>
      <c r="F15" s="77">
        <f>'(F2) Shpenzimet sipas nenfunk.b'!H17</f>
        <v>0</v>
      </c>
      <c r="G15" s="399">
        <f>'(F2) Shpenzimet sipas nenfunk.b'!L17</f>
        <v>0</v>
      </c>
      <c r="H15" s="399">
        <f>'(F2) Shpenzimet sipas nenfunk.b'!P17</f>
        <v>0</v>
      </c>
    </row>
    <row r="16" spans="1:8" x14ac:dyDescent="0.25">
      <c r="A16" s="614" t="str">
        <f>'(F2) Shpenzimet sipas nenfunk.b'!A18</f>
        <v>Nënfunksioni 5</v>
      </c>
      <c r="B16" s="615" t="str">
        <f>' (F4)Shpenzimet sipas nenf.neto'!B18</f>
        <v>036 Marrdheniet me komunitetin</v>
      </c>
      <c r="C16" s="616">
        <f>'(C1b)Shpenzimet vitet e kaluar '!D38</f>
        <v>0</v>
      </c>
      <c r="D16" s="616">
        <f>'(C1b)Shpenzimet vitet e kaluar '!E38</f>
        <v>0</v>
      </c>
      <c r="E16" s="616">
        <f>'(C1b)Shpenzimet vitet e kaluar '!F38</f>
        <v>0</v>
      </c>
      <c r="F16" s="617">
        <f>'(F2) Shpenzimet sipas nenfunk.b'!H18</f>
        <v>0</v>
      </c>
      <c r="G16" s="618">
        <f>'(F2) Shpenzimet sipas nenfunk.b'!L18</f>
        <v>0</v>
      </c>
      <c r="H16" s="618">
        <f>'(F2) Shpenzimet sipas nenfunk.b'!P18</f>
        <v>0</v>
      </c>
    </row>
    <row r="17" spans="1:8" x14ac:dyDescent="0.25">
      <c r="A17" s="586" t="str">
        <f>'(B3) Struktura Funksionale'!B30</f>
        <v>03600</v>
      </c>
      <c r="B17" s="100" t="str">
        <f>'(B3) Struktura Funksionale'!C30</f>
        <v>Marrdheniet me komunitetin</v>
      </c>
      <c r="C17" s="407">
        <f>'(C1b)Shpenzimet vitet e kaluar '!D35</f>
        <v>0</v>
      </c>
      <c r="D17" s="407">
        <f>'(C1b)Shpenzimet vitet e kaluar '!E35</f>
        <v>0</v>
      </c>
      <c r="E17" s="407">
        <f>'(C1b)Shpenzimet vitet e kaluar '!F35</f>
        <v>0</v>
      </c>
      <c r="F17" s="77">
        <f>'(F2) Shpenzimet sipas nenfunk.b'!H19</f>
        <v>0</v>
      </c>
      <c r="G17" s="399">
        <f>'(F2) Shpenzimet sipas nenfunk.b'!L19</f>
        <v>0</v>
      </c>
      <c r="H17" s="399">
        <f>'(F2) Shpenzimet sipas nenfunk.b'!P19</f>
        <v>0</v>
      </c>
    </row>
    <row r="18" spans="1:8" x14ac:dyDescent="0.25">
      <c r="A18" s="614" t="str">
        <f>'(F2) Shpenzimet sipas nenfunk.b'!A20</f>
        <v>Nënfunksioni 6</v>
      </c>
      <c r="B18" s="615" t="str">
        <f>' (F4)Shpenzimet sipas nenf.neto'!B20</f>
        <v>041 Çështjet e përgjithshme ekonomike, tregtare dhe të punës</v>
      </c>
      <c r="C18" s="616">
        <f>'(C1b)Shpenzimet vitet e kaluar '!D46</f>
        <v>0</v>
      </c>
      <c r="D18" s="616">
        <f>'(C1b)Shpenzimet vitet e kaluar '!E46</f>
        <v>0</v>
      </c>
      <c r="E18" s="616">
        <f>'(C1b)Shpenzimet vitet e kaluar '!F46</f>
        <v>0</v>
      </c>
      <c r="F18" s="617">
        <f>'(F2) Shpenzimet sipas nenfunk.b'!H20</f>
        <v>0</v>
      </c>
      <c r="G18" s="618">
        <f>'(F2) Shpenzimet sipas nenfunk.b'!L20</f>
        <v>0</v>
      </c>
      <c r="H18" s="618">
        <f>'(F2) Shpenzimet sipas nenfunk.b'!P20</f>
        <v>0</v>
      </c>
    </row>
    <row r="19" spans="1:8" hidden="1" x14ac:dyDescent="0.25">
      <c r="A19" s="586" t="str">
        <f>'(B3) Struktura Funksionale'!B35</f>
        <v>04110</v>
      </c>
      <c r="B19" s="100" t="str">
        <f>'(B3) Struktura Funksionale'!C35</f>
        <v xml:space="preserve">Çështjet e përgjithshme ekonomike dhe tregtare </v>
      </c>
      <c r="C19" s="407">
        <f>'(C1b)Shpenzimet vitet e kaluar '!D41</f>
        <v>0</v>
      </c>
      <c r="D19" s="407">
        <f>'(C1b)Shpenzimet vitet e kaluar '!E41</f>
        <v>0</v>
      </c>
      <c r="E19" s="407">
        <f>'(C1b)Shpenzimet vitet e kaluar '!F41</f>
        <v>0</v>
      </c>
      <c r="F19" s="77">
        <f>'(F2) Shpenzimet sipas nenfunk.b'!H21</f>
        <v>0</v>
      </c>
      <c r="G19" s="399">
        <f>'(F2) Shpenzimet sipas nenfunk.b'!L21</f>
        <v>0</v>
      </c>
      <c r="H19" s="399">
        <f>'(F2) Shpenzimet sipas nenfunk.b'!P21</f>
        <v>0</v>
      </c>
    </row>
    <row r="20" spans="1:8" x14ac:dyDescent="0.25">
      <c r="A20" s="586" t="str">
        <f>'(B3) Struktura Funksionale'!B36</f>
        <v>04130</v>
      </c>
      <c r="B20" s="100" t="str">
        <f>'(B3) Struktura Funksionale'!C36</f>
        <v>Mbështetje për zhvillimin ekonomik</v>
      </c>
      <c r="C20" s="407">
        <f>'(C1b)Shpenzimet vitet e kaluar '!D42</f>
        <v>0</v>
      </c>
      <c r="D20" s="407">
        <f>'(C1b)Shpenzimet vitet e kaluar '!E42</f>
        <v>0</v>
      </c>
      <c r="E20" s="407">
        <f>'(C1b)Shpenzimet vitet e kaluar '!F42</f>
        <v>0</v>
      </c>
      <c r="F20" s="77">
        <f>'(F2) Shpenzimet sipas nenfunk.b'!H22</f>
        <v>0</v>
      </c>
      <c r="G20" s="399">
        <f>'(F2) Shpenzimet sipas nenfunk.b'!L22</f>
        <v>0</v>
      </c>
      <c r="H20" s="399">
        <f>'(F2) Shpenzimet sipas nenfunk.b'!P22</f>
        <v>0</v>
      </c>
    </row>
    <row r="21" spans="1:8" ht="15" hidden="1" customHeight="1" x14ac:dyDescent="0.25">
      <c r="A21" s="586" t="str">
        <f>'(B3) Struktura Funksionale'!B38</f>
        <v>04132</v>
      </c>
      <c r="B21" s="100" t="str">
        <f>'(B3) Struktura Funksionale'!C38</f>
        <v>Mbështetja e Zhvillimit rajonal</v>
      </c>
      <c r="C21" s="407">
        <f>'(C1b)Shpenzimet vitet e kaluar '!D44</f>
        <v>0</v>
      </c>
      <c r="D21" s="407">
        <f>'(C1b)Shpenzimet vitet e kaluar '!E44</f>
        <v>0</v>
      </c>
      <c r="E21" s="407">
        <f>'(C1b)Shpenzimet vitet e kaluar '!F44</f>
        <v>0</v>
      </c>
      <c r="F21" s="77">
        <f>'(F2) Shpenzimet sipas nenfunk.b'!H23</f>
        <v>0</v>
      </c>
      <c r="G21" s="399">
        <f>'(F2) Shpenzimet sipas nenfunk.b'!L23</f>
        <v>0</v>
      </c>
      <c r="H21" s="399">
        <f>'(F2) Shpenzimet sipas nenfunk.b'!P23</f>
        <v>0</v>
      </c>
    </row>
    <row r="22" spans="1:8" x14ac:dyDescent="0.25">
      <c r="A22" s="586" t="str">
        <f>'(B3) Struktura Funksionale'!B39</f>
        <v>04160</v>
      </c>
      <c r="B22" s="100" t="str">
        <f>'(B3) Struktura Funksionale'!C39</f>
        <v>Shërbimet e tregjeve, akreditimi dhe inspektimi</v>
      </c>
      <c r="C22" s="407">
        <f>'(C1b)Shpenzimet vitet e kaluar '!D45</f>
        <v>0</v>
      </c>
      <c r="D22" s="407">
        <f>'(C1b)Shpenzimet vitet e kaluar '!E45</f>
        <v>0</v>
      </c>
      <c r="E22" s="407">
        <f>'(C1b)Shpenzimet vitet e kaluar '!F45</f>
        <v>0</v>
      </c>
      <c r="F22" s="77">
        <f>'(F2) Shpenzimet sipas nenfunk.b'!H24</f>
        <v>0</v>
      </c>
      <c r="G22" s="399">
        <f>'(F2) Shpenzimet sipas nenfunk.b'!L24</f>
        <v>0</v>
      </c>
      <c r="H22" s="399">
        <f>'(F2) Shpenzimet sipas nenfunk.b'!P24</f>
        <v>0</v>
      </c>
    </row>
    <row r="23" spans="1:8" x14ac:dyDescent="0.25">
      <c r="A23" s="614" t="str">
        <f>'(F2) Shpenzimet sipas nenfunk.b'!A25</f>
        <v>Nënfunksioni 7</v>
      </c>
      <c r="B23" s="615" t="str">
        <f>' (F4)Shpenzimet sipas nenf.neto'!B25</f>
        <v>042 Bujqësia, pyjet, peshkimi dhe gjuetia</v>
      </c>
      <c r="C23" s="616">
        <f>'(C1b)Shpenzimet vitet e kaluar '!D54</f>
        <v>274780</v>
      </c>
      <c r="D23" s="616">
        <f>'(C1b)Shpenzimet vitet e kaluar '!E54</f>
        <v>4283169</v>
      </c>
      <c r="E23" s="616">
        <f>'(C1b)Shpenzimet vitet e kaluar '!F54</f>
        <v>8028800</v>
      </c>
      <c r="F23" s="617">
        <f>'(F2) Shpenzimet sipas nenfunk.b'!H25</f>
        <v>8350000</v>
      </c>
      <c r="G23" s="618">
        <f>'(F2) Shpenzimet sipas nenfunk.b'!L25</f>
        <v>8569600</v>
      </c>
      <c r="H23" s="618">
        <f>'(F2) Shpenzimet sipas nenfunk.b'!P25</f>
        <v>8830700</v>
      </c>
    </row>
    <row r="24" spans="1:8" x14ac:dyDescent="0.25">
      <c r="A24" s="586" t="str">
        <f>'(B3) Struktura Funksionale'!B42</f>
        <v>04220</v>
      </c>
      <c r="B24" s="100" t="str">
        <f>'(B3) Struktura Funksionale'!C42</f>
        <v>Shërbimet bujqësore, inspektimi, ushqimi dhe mbrojtja e konsumatoreve</v>
      </c>
      <c r="C24" s="407">
        <f>'(C1b)Shpenzimet vitet e kaluar '!D48</f>
        <v>0</v>
      </c>
      <c r="D24" s="407">
        <f>'(C1b)Shpenzimet vitet e kaluar '!E48</f>
        <v>0</v>
      </c>
      <c r="E24" s="407">
        <f>'(C1b)Shpenzimet vitet e kaluar '!F48</f>
        <v>0</v>
      </c>
      <c r="F24" s="77">
        <f>'(F2) Shpenzimet sipas nenfunk.b'!H26</f>
        <v>0</v>
      </c>
      <c r="G24" s="399">
        <f>'(F2) Shpenzimet sipas nenfunk.b'!L26</f>
        <v>0</v>
      </c>
      <c r="H24" s="399">
        <f>'(F2) Shpenzimet sipas nenfunk.b'!P26</f>
        <v>0</v>
      </c>
    </row>
    <row r="25" spans="1:8" hidden="1" x14ac:dyDescent="0.25">
      <c r="A25" s="586" t="str">
        <f>'(B3) Struktura Funksionale'!B44</f>
        <v>04223</v>
      </c>
      <c r="B25" s="100" t="str">
        <f>'(B3) Struktura Funksionale'!C44</f>
        <v>Veterineria</v>
      </c>
      <c r="C25" s="407">
        <f>'(C1b)Shpenzimet vitet e kaluar '!D50</f>
        <v>0</v>
      </c>
      <c r="D25" s="407">
        <f>'(C1b)Shpenzimet vitet e kaluar '!E50</f>
        <v>0</v>
      </c>
      <c r="E25" s="407">
        <f>'(C1b)Shpenzimet vitet e kaluar '!F50</f>
        <v>0</v>
      </c>
      <c r="F25" s="77">
        <f>'(F2) Shpenzimet sipas nenfunk.b'!H27</f>
        <v>0</v>
      </c>
      <c r="G25" s="399">
        <f>'(F2) Shpenzimet sipas nenfunk.b'!L27</f>
        <v>0</v>
      </c>
      <c r="H25" s="399">
        <f>'(F2) Shpenzimet sipas nenfunk.b'!P27</f>
        <v>0</v>
      </c>
    </row>
    <row r="26" spans="1:8" x14ac:dyDescent="0.25">
      <c r="A26" s="586" t="str">
        <f>'(B3) Struktura Funksionale'!B45</f>
        <v>04240</v>
      </c>
      <c r="B26" s="100" t="str">
        <f>'(B3) Struktura Funksionale'!C45</f>
        <v>Menaxhimi i Infrastruktuës së ujitjes dhe kullimit</v>
      </c>
      <c r="C26" s="407">
        <f>'(C1b)Shpenzimet vitet e kaluar '!D51</f>
        <v>274780</v>
      </c>
      <c r="D26" s="407">
        <f>'(C1b)Shpenzimet vitet e kaluar '!E51</f>
        <v>0</v>
      </c>
      <c r="E26" s="407">
        <f>'(C1b)Shpenzimet vitet e kaluar '!F51</f>
        <v>28800</v>
      </c>
      <c r="F26" s="77">
        <f>'(F2) Shpenzimet sipas nenfunk.b'!H28</f>
        <v>0</v>
      </c>
      <c r="G26" s="399">
        <f>'(F2) Shpenzimet sipas nenfunk.b'!L28</f>
        <v>0</v>
      </c>
      <c r="H26" s="399">
        <f>'(F2) Shpenzimet sipas nenfunk.b'!P28</f>
        <v>0</v>
      </c>
    </row>
    <row r="27" spans="1:8" x14ac:dyDescent="0.25">
      <c r="A27" s="586" t="str">
        <f>'(B3) Struktura Funksionale'!B46</f>
        <v>04260</v>
      </c>
      <c r="B27" s="100" t="str">
        <f>'(B3) Struktura Funksionale'!C46</f>
        <v>Administrimi i pyjeve dhe kullotave</v>
      </c>
      <c r="C27" s="407">
        <f>'(C1b)Shpenzimet vitet e kaluar '!D52</f>
        <v>0</v>
      </c>
      <c r="D27" s="407">
        <f>'(C1b)Shpenzimet vitet e kaluar '!E52</f>
        <v>4283169</v>
      </c>
      <c r="E27" s="407">
        <f>'(C1b)Shpenzimet vitet e kaluar '!F52</f>
        <v>8000000</v>
      </c>
      <c r="F27" s="77">
        <f>'(F2) Shpenzimet sipas nenfunk.b'!H29</f>
        <v>8350000</v>
      </c>
      <c r="G27" s="399">
        <f>'(F2) Shpenzimet sipas nenfunk.b'!L29</f>
        <v>8569600</v>
      </c>
      <c r="H27" s="399">
        <f>'(F2) Shpenzimet sipas nenfunk.b'!P29</f>
        <v>8830700</v>
      </c>
    </row>
    <row r="28" spans="1:8" x14ac:dyDescent="0.25">
      <c r="A28" s="614" t="str">
        <f>'(F2) Shpenzimet sipas nenfunk.b'!A30</f>
        <v>Nënfunksioni 8</v>
      </c>
      <c r="B28" s="615" t="str">
        <f>' (F4)Shpenzimet sipas nenf.neto'!B30</f>
        <v>045 Trasporti</v>
      </c>
      <c r="C28" s="616">
        <f>'(C1b)Shpenzimet vitet e kaluar '!D60</f>
        <v>206633639</v>
      </c>
      <c r="D28" s="616">
        <f>'(C1b)Shpenzimet vitet e kaluar '!E60</f>
        <v>55174564</v>
      </c>
      <c r="E28" s="616">
        <f>'(C1b)Shpenzimet vitet e kaluar '!F60</f>
        <v>184832823</v>
      </c>
      <c r="F28" s="617">
        <f>'(F2) Shpenzimet sipas nenfunk.b'!H30</f>
        <v>167700000</v>
      </c>
      <c r="G28" s="618">
        <f>'(F2) Shpenzimet sipas nenfunk.b'!L30</f>
        <v>168100000</v>
      </c>
      <c r="H28" s="618">
        <f>'(F2) Shpenzimet sipas nenfunk.b'!P30</f>
        <v>172202000</v>
      </c>
    </row>
    <row r="29" spans="1:8" x14ac:dyDescent="0.25">
      <c r="A29" s="586" t="str">
        <f>'(B3) Struktura Funksionale'!B49</f>
        <v>04520</v>
      </c>
      <c r="B29" s="100" t="str">
        <f>'(B3) Struktura Funksionale'!C49</f>
        <v>Rrjeti rrugor rural</v>
      </c>
      <c r="C29" s="407">
        <f>'(C1b)Shpenzimet vitet e kaluar '!D56</f>
        <v>206633639</v>
      </c>
      <c r="D29" s="407">
        <f>'(C1b)Shpenzimet vitet e kaluar '!E56</f>
        <v>2920680</v>
      </c>
      <c r="E29" s="407">
        <f>'(C1b)Shpenzimet vitet e kaluar '!F56</f>
        <v>7900000</v>
      </c>
      <c r="F29" s="77">
        <f>'(F2) Shpenzimet sipas nenfunk.b'!H31</f>
        <v>167700000</v>
      </c>
      <c r="G29" s="399">
        <f>'(F2) Shpenzimet sipas nenfunk.b'!L31</f>
        <v>168100000</v>
      </c>
      <c r="H29" s="399">
        <f>'(F2) Shpenzimet sipas nenfunk.b'!P31</f>
        <v>172202000</v>
      </c>
    </row>
    <row r="30" spans="1:8" x14ac:dyDescent="0.25">
      <c r="A30" s="586" t="str">
        <f>'(B3) Struktura Funksionale'!B50</f>
        <v>04530</v>
      </c>
      <c r="B30" s="100" t="str">
        <f>'(B3) Struktura Funksionale'!C50</f>
        <v>Studimi i rrugëve</v>
      </c>
      <c r="C30" s="407">
        <f>'(C1b)Shpenzimet vitet e kaluar '!D57</f>
        <v>0</v>
      </c>
      <c r="D30" s="407">
        <f>'(C1b)Shpenzimet vitet e kaluar '!E57</f>
        <v>52253884</v>
      </c>
      <c r="E30" s="407">
        <f>'(C1b)Shpenzimet vitet e kaluar '!F57</f>
        <v>176932823</v>
      </c>
      <c r="F30" s="77">
        <f>'(F2) Shpenzimet sipas nenfunk.b'!H32</f>
        <v>0</v>
      </c>
      <c r="G30" s="399">
        <f>'(F2) Shpenzimet sipas nenfunk.b'!L32</f>
        <v>0</v>
      </c>
      <c r="H30" s="399">
        <f>'(F2) Shpenzimet sipas nenfunk.b'!P32</f>
        <v>0</v>
      </c>
    </row>
    <row r="31" spans="1:8" x14ac:dyDescent="0.25">
      <c r="A31" s="586" t="str">
        <f>'(B3) Struktura Funksionale'!B51</f>
        <v>04570</v>
      </c>
      <c r="B31" s="100" t="str">
        <f>'(B3) Struktura Funksionale'!C51</f>
        <v>Transporti publik</v>
      </c>
      <c r="C31" s="407">
        <f>'(C1b)Shpenzimet vitet e kaluar '!D58</f>
        <v>0</v>
      </c>
      <c r="D31" s="407">
        <f>'(C1b)Shpenzimet vitet e kaluar '!E58</f>
        <v>0</v>
      </c>
      <c r="E31" s="407">
        <f>'(C1b)Shpenzimet vitet e kaluar '!F58</f>
        <v>0</v>
      </c>
      <c r="F31" s="77">
        <f>'(F2) Shpenzimet sipas nenfunk.b'!H33</f>
        <v>0</v>
      </c>
      <c r="G31" s="399">
        <f>'(F2) Shpenzimet sipas nenfunk.b'!L33</f>
        <v>0</v>
      </c>
      <c r="H31" s="399">
        <f>'(F2) Shpenzimet sipas nenfunk.b'!P33</f>
        <v>0</v>
      </c>
    </row>
    <row r="32" spans="1:8" x14ac:dyDescent="0.25">
      <c r="A32" s="614" t="str">
        <f>'(F2) Shpenzimet sipas nenfunk.b'!A34</f>
        <v>Nënfunksioni 9</v>
      </c>
      <c r="B32" s="615" t="str">
        <f>' (F4)Shpenzimet sipas nenf.neto'!B34</f>
        <v>047 Industri të tjera</v>
      </c>
      <c r="C32" s="616">
        <f>'(C1b)Shpenzimet vitet e kaluar '!D66</f>
        <v>0</v>
      </c>
      <c r="D32" s="616">
        <f>'(C1b)Shpenzimet vitet e kaluar '!E66</f>
        <v>0</v>
      </c>
      <c r="E32" s="616">
        <f>'(C1b)Shpenzimet vitet e kaluar '!F66</f>
        <v>0</v>
      </c>
      <c r="F32" s="617">
        <f>'(F2) Shpenzimet sipas nenfunk.b'!H34</f>
        <v>0</v>
      </c>
      <c r="G32" s="618">
        <f>'(F2) Shpenzimet sipas nenfunk.b'!L34</f>
        <v>0</v>
      </c>
      <c r="H32" s="618">
        <f>'(F2) Shpenzimet sipas nenfunk.b'!P34</f>
        <v>0</v>
      </c>
    </row>
    <row r="33" spans="1:8" x14ac:dyDescent="0.25">
      <c r="A33" s="586" t="str">
        <f>'(B3) Struktura Funksionale'!B54</f>
        <v>04740</v>
      </c>
      <c r="B33" s="100" t="str">
        <f>'(B3) Struktura Funksionale'!C54</f>
        <v>Projekte Zhvillimi</v>
      </c>
      <c r="C33" s="407">
        <f>'(C1b)Shpenzimet vitet e kaluar '!D62</f>
        <v>0</v>
      </c>
      <c r="D33" s="407">
        <f>'(C1b)Shpenzimet vitet e kaluar '!E62</f>
        <v>0</v>
      </c>
      <c r="E33" s="407">
        <f>'(C1b)Shpenzimet vitet e kaluar '!F62</f>
        <v>0</v>
      </c>
      <c r="F33" s="77">
        <f>'(F2) Shpenzimet sipas nenfunk.b'!H35</f>
        <v>0</v>
      </c>
      <c r="G33" s="399">
        <f>'(F2) Shpenzimet sipas nenfunk.b'!L35</f>
        <v>0</v>
      </c>
      <c r="H33" s="399">
        <f>'(F2) Shpenzimet sipas nenfunk.b'!P35</f>
        <v>0</v>
      </c>
    </row>
    <row r="34" spans="1:8" x14ac:dyDescent="0.25">
      <c r="A34" s="586" t="str">
        <f>'(B3) Struktura Funksionale'!B55</f>
        <v>04760</v>
      </c>
      <c r="B34" s="100" t="str">
        <f>'(B3) Struktura Funksionale'!C55</f>
        <v>Zhvillimi i turizmit</v>
      </c>
      <c r="C34" s="407">
        <f>'(C1b)Shpenzimet vitet e kaluar '!D63</f>
        <v>0</v>
      </c>
      <c r="D34" s="407">
        <f>'(C1b)Shpenzimet vitet e kaluar '!E63</f>
        <v>0</v>
      </c>
      <c r="E34" s="407">
        <f>'(C1b)Shpenzimet vitet e kaluar '!F63</f>
        <v>0</v>
      </c>
      <c r="F34" s="77">
        <f>'(F2) Shpenzimet sipas nenfunk.b'!H36</f>
        <v>0</v>
      </c>
      <c r="G34" s="399">
        <f>'(F2) Shpenzimet sipas nenfunk.b'!L36</f>
        <v>0</v>
      </c>
      <c r="H34" s="399">
        <f>'(F2) Shpenzimet sipas nenfunk.b'!P36</f>
        <v>0</v>
      </c>
    </row>
    <row r="35" spans="1:8" x14ac:dyDescent="0.25">
      <c r="A35" s="614" t="str">
        <f>'(F2) Shpenzimet sipas nenfunk.b'!A37</f>
        <v>Nënfunksioni 10</v>
      </c>
      <c r="B35" s="615" t="str">
        <f>' (F4)Shpenzimet sipas nenf.neto'!B37</f>
        <v>062 Menaxhimi i i mbetjeve</v>
      </c>
      <c r="C35" s="616">
        <f>'(C1b)Shpenzimet vitet e kaluar '!D72</f>
        <v>0</v>
      </c>
      <c r="D35" s="616">
        <f>'(C1b)Shpenzimet vitet e kaluar '!E72</f>
        <v>0</v>
      </c>
      <c r="E35" s="616">
        <f>'(C1b)Shpenzimet vitet e kaluar '!F72</f>
        <v>0</v>
      </c>
      <c r="F35" s="617">
        <f>'(F2) Shpenzimet sipas nenfunk.b'!H37</f>
        <v>0</v>
      </c>
      <c r="G35" s="618">
        <f>'(F2) Shpenzimet sipas nenfunk.b'!L37</f>
        <v>0</v>
      </c>
      <c r="H35" s="618">
        <f>'(F2) Shpenzimet sipas nenfunk.b'!P37</f>
        <v>0</v>
      </c>
    </row>
    <row r="36" spans="1:8" x14ac:dyDescent="0.25">
      <c r="A36" s="586" t="str">
        <f>'(B3) Struktura Funksionale'!B60</f>
        <v>06260</v>
      </c>
      <c r="B36" s="100" t="str">
        <f>'(B3) Struktura Funksionale'!C60</f>
        <v>Menaxhimi i mbetjeve</v>
      </c>
      <c r="C36" s="407">
        <f>'(C1b)Shpenzimet vitet e kaluar '!D69</f>
        <v>0</v>
      </c>
      <c r="D36" s="407">
        <f>'(C1b)Shpenzimet vitet e kaluar '!E69</f>
        <v>0</v>
      </c>
      <c r="E36" s="407">
        <f>'(C1b)Shpenzimet vitet e kaluar '!F69</f>
        <v>0</v>
      </c>
      <c r="F36" s="77">
        <f>'(F2) Shpenzimet sipas nenfunk.b'!H38</f>
        <v>0</v>
      </c>
      <c r="G36" s="399">
        <f>'(F2) Shpenzimet sipas nenfunk.b'!L38</f>
        <v>0</v>
      </c>
      <c r="H36" s="399">
        <f>'(F2) Shpenzimet sipas nenfunk.b'!P38</f>
        <v>0</v>
      </c>
    </row>
    <row r="37" spans="1:8" x14ac:dyDescent="0.25">
      <c r="A37" s="614" t="str">
        <f>'(F2) Shpenzimet sipas nenfunk.b'!A39</f>
        <v>Nënfunksioni 11</v>
      </c>
      <c r="B37" s="615" t="str">
        <f>' (F4)Shpenzimet sipas nenf.neto'!B39</f>
        <v>052 Menaxhimi i ujrave të zeza</v>
      </c>
      <c r="C37" s="616">
        <f>'(C1b)Shpenzimet vitet e kaluar '!D77</f>
        <v>0</v>
      </c>
      <c r="D37" s="616">
        <f>'(C1b)Shpenzimet vitet e kaluar '!E77</f>
        <v>0</v>
      </c>
      <c r="E37" s="616">
        <f>'(C1b)Shpenzimet vitet e kaluar '!F77</f>
        <v>0</v>
      </c>
      <c r="F37" s="617">
        <f>'(F2) Shpenzimet sipas nenfunk.b'!H39</f>
        <v>0</v>
      </c>
      <c r="G37" s="618">
        <f>'(F2) Shpenzimet sipas nenfunk.b'!L39</f>
        <v>0</v>
      </c>
      <c r="H37" s="618">
        <f>'(F2) Shpenzimet sipas nenfunk.b'!P39</f>
        <v>0</v>
      </c>
    </row>
    <row r="38" spans="1:8" x14ac:dyDescent="0.25">
      <c r="A38" s="586" t="str">
        <f>'(B3) Struktura Funksionale'!B64</f>
        <v>05200</v>
      </c>
      <c r="B38" s="100" t="str">
        <f>'(B3) Struktura Funksionale'!C64</f>
        <v>Menaxhimi i ujrave të zeza dhe kanalizimeve</v>
      </c>
      <c r="C38" s="407">
        <f>'(C1b)Shpenzimet vitet e kaluar '!D74</f>
        <v>0</v>
      </c>
      <c r="D38" s="407">
        <f>'(C1b)Shpenzimet vitet e kaluar '!E74</f>
        <v>0</v>
      </c>
      <c r="E38" s="407">
        <f>'(C1b)Shpenzimet vitet e kaluar '!F74</f>
        <v>0</v>
      </c>
      <c r="F38" s="77">
        <f>'(F2) Shpenzimet sipas nenfunk.b'!H40</f>
        <v>0</v>
      </c>
      <c r="G38" s="399">
        <f>'(F2) Shpenzimet sipas nenfunk.b'!L40</f>
        <v>0</v>
      </c>
      <c r="H38" s="399">
        <f>'(F2) Shpenzimet sipas nenfunk.b'!P40</f>
        <v>0</v>
      </c>
    </row>
    <row r="39" spans="1:8" x14ac:dyDescent="0.25">
      <c r="A39" s="614" t="str">
        <f>'(F2) Shpenzimet sipas nenfunk.b'!A41</f>
        <v>Nënfunksioni 12</v>
      </c>
      <c r="B39" s="615" t="str">
        <f>' (F4)Shpenzimet sipas nenf.neto'!B41</f>
        <v>053 Reduktimi i ndotjes</v>
      </c>
      <c r="C39" s="616">
        <f>'(C1b)Shpenzimet vitet e kaluar '!D82</f>
        <v>0</v>
      </c>
      <c r="D39" s="616">
        <f>'(C1b)Shpenzimet vitet e kaluar '!E82</f>
        <v>0</v>
      </c>
      <c r="E39" s="616">
        <f>'(C1b)Shpenzimet vitet e kaluar '!F82</f>
        <v>0</v>
      </c>
      <c r="F39" s="617">
        <f>'(F2) Shpenzimet sipas nenfunk.b'!H41</f>
        <v>0</v>
      </c>
      <c r="G39" s="618">
        <f>'(F2) Shpenzimet sipas nenfunk.b'!L41</f>
        <v>0</v>
      </c>
      <c r="H39" s="618">
        <f>'(F2) Shpenzimet sipas nenfunk.b'!P41</f>
        <v>0</v>
      </c>
    </row>
    <row r="40" spans="1:8" x14ac:dyDescent="0.25">
      <c r="A40" s="586" t="str">
        <f>'(B3) Struktura Funksionale'!B68</f>
        <v>05320</v>
      </c>
      <c r="B40" s="100" t="str">
        <f>'(B3) Struktura Funksionale'!C68</f>
        <v>Programet e mbrojtjes së mjedisit</v>
      </c>
      <c r="C40" s="407">
        <f>'(C1b)Shpenzimet vitet e kaluar '!D79</f>
        <v>0</v>
      </c>
      <c r="D40" s="407">
        <f>'(C1b)Shpenzimet vitet e kaluar '!E79</f>
        <v>0</v>
      </c>
      <c r="E40" s="407">
        <f>'(C1b)Shpenzimet vitet e kaluar '!F79</f>
        <v>0</v>
      </c>
      <c r="F40" s="77">
        <f>'(F2) Shpenzimet sipas nenfunk.b'!H42</f>
        <v>0</v>
      </c>
      <c r="G40" s="399">
        <f>'(F2) Shpenzimet sipas nenfunk.b'!L42</f>
        <v>0</v>
      </c>
      <c r="H40" s="399">
        <f>'(F2) Shpenzimet sipas nenfunk.b'!P42</f>
        <v>0</v>
      </c>
    </row>
    <row r="41" spans="1:8" x14ac:dyDescent="0.25">
      <c r="A41" s="614" t="str">
        <f>'(F2) Shpenzimet sipas nenfunk.b'!A43</f>
        <v>Nënfunksioni 13</v>
      </c>
      <c r="B41" s="615" t="str">
        <f>' (F4)Shpenzimet sipas nenf.neto'!B43</f>
        <v>056 Mbrojtja e mjedisit</v>
      </c>
      <c r="C41" s="616">
        <f>'(C1b)Shpenzimet vitet e kaluar '!D87</f>
        <v>0</v>
      </c>
      <c r="D41" s="616">
        <f>'(C1b)Shpenzimet vitet e kaluar '!E87</f>
        <v>0</v>
      </c>
      <c r="E41" s="616">
        <f>'(C1b)Shpenzimet vitet e kaluar '!F87</f>
        <v>0</v>
      </c>
      <c r="F41" s="617">
        <f>'(F2) Shpenzimet sipas nenfunk.b'!H43</f>
        <v>0</v>
      </c>
      <c r="G41" s="618">
        <f>'(F2) Shpenzimet sipas nenfunk.b'!L43</f>
        <v>0</v>
      </c>
      <c r="H41" s="618">
        <f>'(F2) Shpenzimet sipas nenfunk.b'!P43</f>
        <v>0</v>
      </c>
    </row>
    <row r="42" spans="1:8" x14ac:dyDescent="0.25">
      <c r="A42" s="586" t="str">
        <f>'(B3) Struktura Funksionale'!B72</f>
        <v>05630</v>
      </c>
      <c r="B42" s="100" t="str">
        <f>'(B3) Struktura Funksionale'!C72</f>
        <v>Ndërgjegjësimi mjedisor</v>
      </c>
      <c r="C42" s="407">
        <f>'(C1b)Shpenzimet vitet e kaluar '!D84</f>
        <v>0</v>
      </c>
      <c r="D42" s="407">
        <f>'(C1b)Shpenzimet vitet e kaluar '!E84</f>
        <v>0</v>
      </c>
      <c r="E42" s="407">
        <f>'(C1b)Shpenzimet vitet e kaluar '!F84</f>
        <v>0</v>
      </c>
      <c r="F42" s="77">
        <f>'(F2) Shpenzimet sipas nenfunk.b'!H44</f>
        <v>0</v>
      </c>
      <c r="G42" s="399">
        <f>'(F2) Shpenzimet sipas nenfunk.b'!L44</f>
        <v>0</v>
      </c>
      <c r="H42" s="399">
        <f>'(F2) Shpenzimet sipas nenfunk.b'!P44</f>
        <v>0</v>
      </c>
    </row>
    <row r="43" spans="1:8" hidden="1" x14ac:dyDescent="0.25">
      <c r="A43" s="586" t="str">
        <f>'(B3) Struktura Funksionale'!B73</f>
        <v>05640</v>
      </c>
      <c r="B43" s="100" t="str">
        <f>'(B3) Struktura Funksionale'!C73</f>
        <v>Administrimi i resurseve ujore</v>
      </c>
      <c r="C43" s="407">
        <f>'(C1b)Shpenzimet vitet e kaluar '!D85</f>
        <v>0</v>
      </c>
      <c r="D43" s="407">
        <f>'(C1b)Shpenzimet vitet e kaluar '!E85</f>
        <v>0</v>
      </c>
      <c r="E43" s="407">
        <f>'(C1b)Shpenzimet vitet e kaluar '!F85</f>
        <v>0</v>
      </c>
      <c r="F43" s="77">
        <f>'(F2) Shpenzimet sipas nenfunk.b'!H45</f>
        <v>0</v>
      </c>
      <c r="G43" s="399">
        <f>'(F2) Shpenzimet sipas nenfunk.b'!L45</f>
        <v>0</v>
      </c>
      <c r="H43" s="399">
        <f>'(F2) Shpenzimet sipas nenfunk.b'!P45</f>
        <v>0</v>
      </c>
    </row>
    <row r="44" spans="1:8" x14ac:dyDescent="0.25">
      <c r="A44" s="614" t="str">
        <f>'(F2) Shpenzimet sipas nenfunk.b'!A46</f>
        <v>Nënfunksioni 14</v>
      </c>
      <c r="B44" s="615" t="str">
        <f>' (F4)Shpenzimet sipas nenf.neto'!B46</f>
        <v>061 Urbanistika</v>
      </c>
      <c r="C44" s="616">
        <f>'(C1b)Shpenzimet vitet e kaluar '!D93</f>
        <v>311473</v>
      </c>
      <c r="D44" s="616">
        <f>'(C1b)Shpenzimet vitet e kaluar '!E93</f>
        <v>1379258</v>
      </c>
      <c r="E44" s="616">
        <f>'(C1b)Shpenzimet vitet e kaluar '!F93</f>
        <v>5376704</v>
      </c>
      <c r="F44" s="617">
        <f>'(F2) Shpenzimet sipas nenfunk.b'!H46</f>
        <v>0</v>
      </c>
      <c r="G44" s="618">
        <f>'(F2) Shpenzimet sipas nenfunk.b'!L46</f>
        <v>0</v>
      </c>
      <c r="H44" s="618">
        <f>'(F2) Shpenzimet sipas nenfunk.b'!P46</f>
        <v>0</v>
      </c>
    </row>
    <row r="45" spans="1:8" x14ac:dyDescent="0.25">
      <c r="A45" s="586" t="str">
        <f>'(B3) Struktura Funksionale'!B77</f>
        <v>06140</v>
      </c>
      <c r="B45" s="100" t="str">
        <f>'(B3) Struktura Funksionale'!C77</f>
        <v>Planifikimi Urban Vendor</v>
      </c>
      <c r="C45" s="407">
        <f>'(C1b)Shpenzimet vitet e kaluar '!D90</f>
        <v>311473</v>
      </c>
      <c r="D45" s="407">
        <f>'(C1b)Shpenzimet vitet e kaluar '!E90</f>
        <v>0</v>
      </c>
      <c r="E45" s="407">
        <f>'(C1b)Shpenzimet vitet e kaluar '!F90</f>
        <v>180116</v>
      </c>
      <c r="F45" s="77">
        <f>'(F2) Shpenzimet sipas nenfunk.b'!H47</f>
        <v>0</v>
      </c>
      <c r="G45" s="399">
        <f>'(F2) Shpenzimet sipas nenfunk.b'!L47</f>
        <v>0</v>
      </c>
      <c r="H45" s="399">
        <f>'(F2) Shpenzimet sipas nenfunk.b'!P47</f>
        <v>0</v>
      </c>
    </row>
    <row r="46" spans="1:8" hidden="1" x14ac:dyDescent="0.25">
      <c r="A46" s="586" t="str">
        <f>'(B3) Struktura Funksionale'!B78</f>
        <v>06180</v>
      </c>
      <c r="B46" s="100" t="str">
        <f>'(B3) Struktura Funksionale'!C78</f>
        <v>Planifikimi urban dhe strehimi</v>
      </c>
      <c r="C46" s="407">
        <f>'(C1b)Shpenzimet vitet e kaluar '!D91</f>
        <v>0</v>
      </c>
      <c r="D46" s="407">
        <f>'(C1b)Shpenzimet vitet e kaluar '!E91</f>
        <v>1379258</v>
      </c>
      <c r="E46" s="407">
        <f>'(C1b)Shpenzimet vitet e kaluar '!F91</f>
        <v>5196588</v>
      </c>
      <c r="F46" s="77">
        <f>'(F2) Shpenzimet sipas nenfunk.b'!H48</f>
        <v>0</v>
      </c>
      <c r="G46" s="399">
        <f>'(F2) Shpenzimet sipas nenfunk.b'!L48</f>
        <v>0</v>
      </c>
      <c r="H46" s="399">
        <f>'(F2) Shpenzimet sipas nenfunk.b'!P48</f>
        <v>0</v>
      </c>
    </row>
    <row r="47" spans="1:8" x14ac:dyDescent="0.25">
      <c r="A47" s="614" t="str">
        <f>'(F2) Shpenzimet sipas nenfunk.b'!A49</f>
        <v>Nënfunksioni 15</v>
      </c>
      <c r="B47" s="615" t="str">
        <f>' (F4)Shpenzimet sipas nenf.neto'!B49</f>
        <v>062 Zhvillimi i komunitetit</v>
      </c>
      <c r="C47" s="616">
        <f>'(C1b)Shpenzimet vitet e kaluar '!D98</f>
        <v>18175161</v>
      </c>
      <c r="D47" s="616">
        <f>'(C1b)Shpenzimet vitet e kaluar '!E98</f>
        <v>0</v>
      </c>
      <c r="E47" s="616">
        <f>'(C1b)Shpenzimet vitet e kaluar '!F98</f>
        <v>48226803</v>
      </c>
      <c r="F47" s="617">
        <f>'(F2) Shpenzimet sipas nenfunk.b'!H49</f>
        <v>2929000</v>
      </c>
      <c r="G47" s="618">
        <f>'(F2) Shpenzimet sipas nenfunk.b'!L49</f>
        <v>3002000</v>
      </c>
      <c r="H47" s="618">
        <f>'(F2) Shpenzimet sipas nenfunk.b'!P49</f>
        <v>3126000</v>
      </c>
    </row>
    <row r="48" spans="1:8" x14ac:dyDescent="0.25">
      <c r="A48" s="586" t="str">
        <f>'(B3) Struktura Funksionale'!B81</f>
        <v>06210</v>
      </c>
      <c r="B48" s="100" t="str">
        <f>'(B3) Struktura Funksionale'!C81</f>
        <v>Programet e zhvillimit</v>
      </c>
      <c r="C48" s="407">
        <f>'(C1b)Shpenzimet vitet e kaluar '!D95</f>
        <v>0</v>
      </c>
      <c r="D48" s="407">
        <f>'(C1b)Shpenzimet vitet e kaluar '!E95</f>
        <v>0</v>
      </c>
      <c r="E48" s="407">
        <f>'(C1b)Shpenzimet vitet e kaluar '!F95</f>
        <v>0</v>
      </c>
      <c r="F48" s="77">
        <f>'(F2) Shpenzimet sipas nenfunk.b'!H50</f>
        <v>0</v>
      </c>
      <c r="G48" s="399">
        <f>'(F2) Shpenzimet sipas nenfunk.b'!L50</f>
        <v>0</v>
      </c>
      <c r="H48" s="399">
        <f>'(F2) Shpenzimet sipas nenfunk.b'!P50</f>
        <v>0</v>
      </c>
    </row>
    <row r="49" spans="1:8" x14ac:dyDescent="0.25">
      <c r="A49" s="586" t="str">
        <f>'(B3) Struktura Funksionale'!B82</f>
        <v>06260</v>
      </c>
      <c r="B49" s="100" t="str">
        <f>'(B3) Struktura Funksionale'!C82</f>
        <v>Sherbime publike vendore</v>
      </c>
      <c r="C49" s="407">
        <f>'(C1b)Shpenzimet vitet e kaluar '!D96</f>
        <v>18175161</v>
      </c>
      <c r="D49" s="407">
        <f>'(C1b)Shpenzimet vitet e kaluar '!E96</f>
        <v>0</v>
      </c>
      <c r="E49" s="407">
        <f>'(C1b)Shpenzimet vitet e kaluar '!F96</f>
        <v>48226803</v>
      </c>
      <c r="F49" s="77">
        <f>'(F2) Shpenzimet sipas nenfunk.b'!H51</f>
        <v>2929000</v>
      </c>
      <c r="G49" s="399">
        <f>'(F2) Shpenzimet sipas nenfunk.b'!L51</f>
        <v>3002000</v>
      </c>
      <c r="H49" s="399">
        <f>'(F2) Shpenzimet sipas nenfunk.b'!P51</f>
        <v>3126000</v>
      </c>
    </row>
    <row r="50" spans="1:8" x14ac:dyDescent="0.25">
      <c r="A50" s="614" t="str">
        <f>'(F2) Shpenzimet sipas nenfunk.b'!A52</f>
        <v>Nënfunksioni 16</v>
      </c>
      <c r="B50" s="615" t="str">
        <f>' (F4)Shpenzimet sipas nenf.neto'!B52</f>
        <v>063 Furnizimi me ujë</v>
      </c>
      <c r="C50" s="616">
        <f>'(C1b)Shpenzimet vitet e kaluar '!D103</f>
        <v>11999999</v>
      </c>
      <c r="D50" s="616">
        <f>'(C1b)Shpenzimet vitet e kaluar '!E103</f>
        <v>272714</v>
      </c>
      <c r="E50" s="616">
        <f>'(C1b)Shpenzimet vitet e kaluar '!F103</f>
        <v>26984</v>
      </c>
      <c r="F50" s="617">
        <f>'(F2) Shpenzimet sipas nenfunk.b'!H52</f>
        <v>0</v>
      </c>
      <c r="G50" s="618">
        <f>'(F2) Shpenzimet sipas nenfunk.b'!L52</f>
        <v>0</v>
      </c>
      <c r="H50" s="618">
        <f>'(F2) Shpenzimet sipas nenfunk.b'!P52</f>
        <v>0</v>
      </c>
    </row>
    <row r="51" spans="1:8" x14ac:dyDescent="0.25">
      <c r="A51" s="586" t="str">
        <f>'(B3) Struktura Funksionale'!B85</f>
        <v>06330</v>
      </c>
      <c r="B51" s="100" t="str">
        <f>'(B3) Struktura Funksionale'!C85</f>
        <v xml:space="preserve">Furnizimi me ujë </v>
      </c>
      <c r="C51" s="407">
        <f>'(C1b)Shpenzimet vitet e kaluar '!D100</f>
        <v>11999999</v>
      </c>
      <c r="D51" s="407">
        <f>'(C1b)Shpenzimet vitet e kaluar '!E100</f>
        <v>272714</v>
      </c>
      <c r="E51" s="407">
        <f>'(C1b)Shpenzimet vitet e kaluar '!F100</f>
        <v>26984</v>
      </c>
      <c r="F51" s="77">
        <f>'(F2) Shpenzimet sipas nenfunk.b'!H53</f>
        <v>0</v>
      </c>
      <c r="G51" s="399">
        <f>'(F2) Shpenzimet sipas nenfunk.b'!L53</f>
        <v>0</v>
      </c>
      <c r="H51" s="399">
        <f>'(F2) Shpenzimet sipas nenfunk.b'!P53</f>
        <v>0</v>
      </c>
    </row>
    <row r="52" spans="1:8" x14ac:dyDescent="0.25">
      <c r="A52" s="614" t="str">
        <f>'(F2) Shpenzimet sipas nenfunk.b'!A54</f>
        <v>Nënfunksioni 17</v>
      </c>
      <c r="B52" s="615" t="str">
        <f>' (F4)Shpenzimet sipas nenf.neto'!B54</f>
        <v>064 Ndriçimi i rrugëve</v>
      </c>
      <c r="C52" s="616">
        <f>'(C1b)Shpenzimet vitet e kaluar '!D108</f>
        <v>0</v>
      </c>
      <c r="D52" s="616">
        <f>'(C1b)Shpenzimet vitet e kaluar '!E108</f>
        <v>0</v>
      </c>
      <c r="E52" s="616">
        <f>'(C1b)Shpenzimet vitet e kaluar '!F108</f>
        <v>0</v>
      </c>
      <c r="F52" s="617">
        <f>'(F2) Shpenzimet sipas nenfunk.b'!H54</f>
        <v>0</v>
      </c>
      <c r="G52" s="618">
        <f>'(F2) Shpenzimet sipas nenfunk.b'!L54</f>
        <v>0</v>
      </c>
      <c r="H52" s="618">
        <f>'(F2) Shpenzimet sipas nenfunk.b'!P54</f>
        <v>0</v>
      </c>
    </row>
    <row r="53" spans="1:8" x14ac:dyDescent="0.25">
      <c r="A53" s="586" t="str">
        <f>'(B3) Struktura Funksionale'!B89</f>
        <v>06440</v>
      </c>
      <c r="B53" s="100" t="str">
        <f>'(B3) Struktura Funksionale'!C89</f>
        <v>Ndriçim rrugësh</v>
      </c>
      <c r="C53" s="407">
        <f>'(C1b)Shpenzimet vitet e kaluar '!D105</f>
        <v>0</v>
      </c>
      <c r="D53" s="407">
        <f>'(C1b)Shpenzimet vitet e kaluar '!E105</f>
        <v>0</v>
      </c>
      <c r="E53" s="407">
        <f>'(C1b)Shpenzimet vitet e kaluar '!F105</f>
        <v>0</v>
      </c>
      <c r="F53" s="77">
        <f>'(F2) Shpenzimet sipas nenfunk.b'!H55</f>
        <v>0</v>
      </c>
      <c r="G53" s="399">
        <f>'(F2) Shpenzimet sipas nenfunk.b'!L55</f>
        <v>0</v>
      </c>
      <c r="H53" s="399">
        <f>'(F2) Shpenzimet sipas nenfunk.b'!P55</f>
        <v>0</v>
      </c>
    </row>
    <row r="54" spans="1:8" x14ac:dyDescent="0.25">
      <c r="A54" s="614" t="str">
        <f>'(F2) Shpenzimet sipas nenfunk.b'!A56</f>
        <v>Nënfunksioni 18</v>
      </c>
      <c r="B54" s="615" t="str">
        <f>' (F4)Shpenzimet sipas nenf.neto'!B56</f>
        <v xml:space="preserve">072 Shërbimet e kujdesit parësor </v>
      </c>
      <c r="C54" s="616">
        <f>'(C1b)Shpenzimet vitet e kaluar '!D114</f>
        <v>0</v>
      </c>
      <c r="D54" s="616">
        <f>'(C1b)Shpenzimet vitet e kaluar '!E114</f>
        <v>0</v>
      </c>
      <c r="E54" s="616">
        <f>'(C1b)Shpenzimet vitet e kaluar '!F114</f>
        <v>0</v>
      </c>
      <c r="F54" s="617">
        <f>'(F2) Shpenzimet sipas nenfunk.b'!H56</f>
        <v>0</v>
      </c>
      <c r="G54" s="618">
        <f>'(F2) Shpenzimet sipas nenfunk.b'!L56</f>
        <v>0</v>
      </c>
      <c r="H54" s="618">
        <f>'(F2) Shpenzimet sipas nenfunk.b'!P56</f>
        <v>0</v>
      </c>
    </row>
    <row r="55" spans="1:8" x14ac:dyDescent="0.25">
      <c r="A55" s="586" t="str">
        <f>'(B3) Struktura Funksionale'!B94</f>
        <v>07220</v>
      </c>
      <c r="B55" s="100" t="str">
        <f>'(B3) Struktura Funksionale'!C94</f>
        <v>Shërbimet e kujdesit parësor</v>
      </c>
      <c r="C55" s="407">
        <f>'(C1b)Shpenzimet vitet e kaluar '!D111</f>
        <v>0</v>
      </c>
      <c r="D55" s="407">
        <f>'(C1b)Shpenzimet vitet e kaluar '!E111</f>
        <v>0</v>
      </c>
      <c r="E55" s="407">
        <f>'(C1b)Shpenzimet vitet e kaluar '!F111</f>
        <v>0</v>
      </c>
      <c r="F55" s="77">
        <f>'(F2) Shpenzimet sipas nenfunk.b'!H57</f>
        <v>0</v>
      </c>
      <c r="G55" s="399">
        <f>'(F2) Shpenzimet sipas nenfunk.b'!L57</f>
        <v>0</v>
      </c>
      <c r="H55" s="399">
        <f>'(F2) Shpenzimet sipas nenfunk.b'!P57</f>
        <v>0</v>
      </c>
    </row>
    <row r="56" spans="1:8" x14ac:dyDescent="0.25">
      <c r="A56" s="614" t="str">
        <f>'(F2) Shpenzimet sipas nenfunk.b'!A58</f>
        <v>Nënfunksioni 19</v>
      </c>
      <c r="B56" s="615" t="str">
        <f>' (F4)Shpenzimet sipas nenf.neto'!B58</f>
        <v>081 Shërbimet rekreative dhe sportive</v>
      </c>
      <c r="C56" s="616">
        <f>'(C1b)Shpenzimet vitet e kaluar '!D120</f>
        <v>0</v>
      </c>
      <c r="D56" s="616">
        <f>'(C1b)Shpenzimet vitet e kaluar '!E120</f>
        <v>1245300</v>
      </c>
      <c r="E56" s="616">
        <f>'(C1b)Shpenzimet vitet e kaluar '!F120</f>
        <v>2954400</v>
      </c>
      <c r="F56" s="617">
        <f>'(F2) Shpenzimet sipas nenfunk.b'!H58</f>
        <v>50000</v>
      </c>
      <c r="G56" s="618">
        <f>'(F2) Shpenzimet sipas nenfunk.b'!L58</f>
        <v>50000</v>
      </c>
      <c r="H56" s="618">
        <f>'(F2) Shpenzimet sipas nenfunk.b'!P58</f>
        <v>100000</v>
      </c>
    </row>
    <row r="57" spans="1:8" hidden="1" x14ac:dyDescent="0.25">
      <c r="A57" s="586" t="str">
        <f>'(B3) Struktura Funksionale'!B99</f>
        <v>08120</v>
      </c>
      <c r="B57" s="100" t="str">
        <f>'(B3) Struktura Funksionale'!C99</f>
        <v>Parqet</v>
      </c>
      <c r="C57" s="407">
        <f>'(C1b)Shpenzimet vitet e kaluar '!D117</f>
        <v>0</v>
      </c>
      <c r="D57" s="407">
        <f>'(C1b)Shpenzimet vitet e kaluar '!E117</f>
        <v>0</v>
      </c>
      <c r="E57" s="407">
        <f>'(C1b)Shpenzimet vitet e kaluar '!F117</f>
        <v>0</v>
      </c>
      <c r="F57" s="77">
        <f>'(F2) Shpenzimet sipas nenfunk.b'!H59</f>
        <v>0</v>
      </c>
      <c r="G57" s="399">
        <f>'(F2) Shpenzimet sipas nenfunk.b'!L59</f>
        <v>0</v>
      </c>
      <c r="H57" s="399">
        <f>'(F2) Shpenzimet sipas nenfunk.b'!P59</f>
        <v>0</v>
      </c>
    </row>
    <row r="58" spans="1:8" x14ac:dyDescent="0.25">
      <c r="A58" s="586" t="str">
        <f>'(B3) Struktura Funksionale'!B100</f>
        <v>08130</v>
      </c>
      <c r="B58" s="100" t="str">
        <f>'(B3) Struktura Funksionale'!C100</f>
        <v>Sport dhe argëtim</v>
      </c>
      <c r="C58" s="407">
        <f>'(C1b)Shpenzimet vitet e kaluar '!D118</f>
        <v>0</v>
      </c>
      <c r="D58" s="407">
        <f>'(C1b)Shpenzimet vitet e kaluar '!E118</f>
        <v>1245300</v>
      </c>
      <c r="E58" s="407">
        <f>'(C1b)Shpenzimet vitet e kaluar '!F118</f>
        <v>2954400</v>
      </c>
      <c r="F58" s="77">
        <f>'(F2) Shpenzimet sipas nenfunk.b'!H60</f>
        <v>50000</v>
      </c>
      <c r="G58" s="399">
        <f>'(F2) Shpenzimet sipas nenfunk.b'!L60</f>
        <v>50000</v>
      </c>
      <c r="H58" s="399">
        <f>'(F2) Shpenzimet sipas nenfunk.b'!P60</f>
        <v>100000</v>
      </c>
    </row>
    <row r="59" spans="1:8" x14ac:dyDescent="0.25">
      <c r="A59" s="614" t="str">
        <f>'(F2) Shpenzimet sipas nenfunk.b'!A61</f>
        <v>Nënfunksioni 20</v>
      </c>
      <c r="B59" s="615" t="str">
        <f>' (F4)Shpenzimet sipas nenf.neto'!B61</f>
        <v>082 Shërbimet kulturore</v>
      </c>
      <c r="C59" s="616">
        <f>'(C1b)Shpenzimet vitet e kaluar '!D126</f>
        <v>0</v>
      </c>
      <c r="D59" s="616">
        <f>'(C1b)Shpenzimet vitet e kaluar '!E126</f>
        <v>0</v>
      </c>
      <c r="E59" s="616">
        <f>'(C1b)Shpenzimet vitet e kaluar '!F126</f>
        <v>2120399</v>
      </c>
      <c r="F59" s="617">
        <f>'(F2) Shpenzimet sipas nenfunk.b'!H61</f>
        <v>6983300</v>
      </c>
      <c r="G59" s="618">
        <f>'(F2) Shpenzimet sipas nenfunk.b'!L61</f>
        <v>6198800</v>
      </c>
      <c r="H59" s="618">
        <f>'(F2) Shpenzimet sipas nenfunk.b'!P61</f>
        <v>5368500</v>
      </c>
    </row>
    <row r="60" spans="1:8" x14ac:dyDescent="0.25">
      <c r="A60" s="586" t="str">
        <f>'(B3) Struktura Funksionale'!B103</f>
        <v>08220</v>
      </c>
      <c r="B60" s="100" t="str">
        <f>'(B3) Struktura Funksionale'!C103</f>
        <v>Trashëgimia kulturore, eventet artistike dhe kulturore</v>
      </c>
      <c r="C60" s="407">
        <f>'(C1b)Shpenzimet vitet e kaluar '!D122</f>
        <v>0</v>
      </c>
      <c r="D60" s="407">
        <f>'(C1b)Shpenzimet vitet e kaluar '!E122</f>
        <v>0</v>
      </c>
      <c r="E60" s="407">
        <f>'(C1b)Shpenzimet vitet e kaluar '!F122</f>
        <v>2120399</v>
      </c>
      <c r="F60" s="77">
        <f>'(F2) Shpenzimet sipas nenfunk.b'!H62</f>
        <v>6983300</v>
      </c>
      <c r="G60" s="399">
        <f>'(F2) Shpenzimet sipas nenfunk.b'!L62</f>
        <v>6198800</v>
      </c>
      <c r="H60" s="399">
        <f>'(F2) Shpenzimet sipas nenfunk.b'!P62</f>
        <v>5368500</v>
      </c>
    </row>
    <row r="61" spans="1:8" hidden="1" x14ac:dyDescent="0.25">
      <c r="A61" s="586" t="str">
        <f>'(B3) Struktura Funksionale'!B104</f>
        <v>08230</v>
      </c>
      <c r="B61" s="100" t="str">
        <f>'(B3) Struktura Funksionale'!C104</f>
        <v>Arti dhe kultura</v>
      </c>
      <c r="C61" s="407">
        <f>'(C1b)Shpenzimet vitet e kaluar '!D123</f>
        <v>0</v>
      </c>
      <c r="D61" s="407">
        <f>'(C1b)Shpenzimet vitet e kaluar '!E123</f>
        <v>0</v>
      </c>
      <c r="E61" s="407">
        <f>'(C1b)Shpenzimet vitet e kaluar '!F123</f>
        <v>0</v>
      </c>
      <c r="F61" s="77">
        <f>'(F2) Shpenzimet sipas nenfunk.b'!H63</f>
        <v>0</v>
      </c>
      <c r="G61" s="399">
        <f>'(F2) Shpenzimet sipas nenfunk.b'!L63</f>
        <v>0</v>
      </c>
      <c r="H61" s="399">
        <f>'(F2) Shpenzimet sipas nenfunk.b'!P63</f>
        <v>0</v>
      </c>
    </row>
    <row r="62" spans="1:8" hidden="1" x14ac:dyDescent="0.25">
      <c r="A62" s="586" t="str">
        <f>'(B3) Struktura Funksionale'!B105</f>
        <v>08280</v>
      </c>
      <c r="B62" s="100" t="str">
        <f>'(B3) Struktura Funksionale'!C105</f>
        <v xml:space="preserve">Muzetë, teatrot dhe eventet kulturore </v>
      </c>
      <c r="C62" s="407">
        <f>'(C1b)Shpenzimet vitet e kaluar '!D124</f>
        <v>0</v>
      </c>
      <c r="D62" s="407">
        <f>'(C1b)Shpenzimet vitet e kaluar '!E124</f>
        <v>0</v>
      </c>
      <c r="E62" s="407">
        <f>'(C1b)Shpenzimet vitet e kaluar '!F124</f>
        <v>0</v>
      </c>
      <c r="F62" s="77">
        <f>'(F2) Shpenzimet sipas nenfunk.b'!H64</f>
        <v>0</v>
      </c>
      <c r="G62" s="399">
        <f>'(F2) Shpenzimet sipas nenfunk.b'!L64</f>
        <v>0</v>
      </c>
      <c r="H62" s="399">
        <f>'(F2) Shpenzimet sipas nenfunk.b'!P64</f>
        <v>0</v>
      </c>
    </row>
    <row r="63" spans="1:8" x14ac:dyDescent="0.25">
      <c r="A63" s="614" t="str">
        <f>'(F2) Shpenzimet sipas nenfunk.b'!A65</f>
        <v>Nënfunksioni 21</v>
      </c>
      <c r="B63" s="615" t="str">
        <f>' (F4)Shpenzimet sipas nenf.neto'!B65</f>
        <v>091 Arsimi bazë dhe parashkollor</v>
      </c>
      <c r="C63" s="616">
        <f>'(C1b)Shpenzimet vitet e kaluar '!D133</f>
        <v>0</v>
      </c>
      <c r="D63" s="616">
        <f>'(C1b)Shpenzimet vitet e kaluar '!E133</f>
        <v>1578116</v>
      </c>
      <c r="E63" s="616">
        <f>'(C1b)Shpenzimet vitet e kaluar '!F133</f>
        <v>9069559</v>
      </c>
      <c r="F63" s="617">
        <f>'(F2) Shpenzimet sipas nenfunk.b'!H65</f>
        <v>1850000</v>
      </c>
      <c r="G63" s="618">
        <f>'(F2) Shpenzimet sipas nenfunk.b'!L65</f>
        <v>1900000</v>
      </c>
      <c r="H63" s="618">
        <f>'(F2) Shpenzimet sipas nenfunk.b'!P65</f>
        <v>2100000</v>
      </c>
    </row>
    <row r="64" spans="1:8" x14ac:dyDescent="0.25">
      <c r="A64" s="586" t="str">
        <f>'(B3) Struktura Funksionale'!B109</f>
        <v>09120</v>
      </c>
      <c r="B64" s="100" t="str">
        <f>'(B3) Struktura Funksionale'!C109</f>
        <v>Arsimi bazë përfshirë arsimin parashkollor.</v>
      </c>
      <c r="C64" s="407">
        <f>'(C1b)Shpenzimet vitet e kaluar '!D129</f>
        <v>0</v>
      </c>
      <c r="D64" s="407">
        <f>'(C1b)Shpenzimet vitet e kaluar '!E129</f>
        <v>1578116</v>
      </c>
      <c r="E64" s="407">
        <f>'(C1b)Shpenzimet vitet e kaluar '!F129</f>
        <v>9069559</v>
      </c>
      <c r="F64" s="77">
        <f>'(F2) Shpenzimet sipas nenfunk.b'!H66</f>
        <v>1850000</v>
      </c>
      <c r="G64" s="399">
        <f>'(F2) Shpenzimet sipas nenfunk.b'!L66</f>
        <v>1900000</v>
      </c>
      <c r="H64" s="399">
        <f>'(F2) Shpenzimet sipas nenfunk.b'!P66</f>
        <v>2100000</v>
      </c>
    </row>
    <row r="65" spans="1:8" x14ac:dyDescent="0.25">
      <c r="A65" s="614" t="str">
        <f>'(F2) Shpenzimet sipas nenfunk.b'!A67</f>
        <v>Nënfunksioni 22</v>
      </c>
      <c r="B65" s="615" t="str">
        <f>' (F4)Shpenzimet sipas nenf.neto'!B67</f>
        <v>092 Arsimi  parauniversitar</v>
      </c>
      <c r="C65" s="616">
        <f>'(C1b)Shpenzimet vitet e kaluar '!D139</f>
        <v>20759478</v>
      </c>
      <c r="D65" s="616">
        <f>'(C1b)Shpenzimet vitet e kaluar '!E139</f>
        <v>33770277</v>
      </c>
      <c r="E65" s="616">
        <f>'(C1b)Shpenzimet vitet e kaluar '!F139</f>
        <v>23269610</v>
      </c>
      <c r="F65" s="617">
        <f>'(F2) Shpenzimet sipas nenfunk.b'!H67</f>
        <v>0</v>
      </c>
      <c r="G65" s="618">
        <f>'(F2) Shpenzimet sipas nenfunk.b'!L67</f>
        <v>0</v>
      </c>
      <c r="H65" s="618">
        <f>'(F2) Shpenzimet sipas nenfunk.b'!P67</f>
        <v>0</v>
      </c>
    </row>
    <row r="66" spans="1:8" x14ac:dyDescent="0.25">
      <c r="A66" s="586" t="str">
        <f>'(B3) Struktura Funksionale'!B114</f>
        <v>09230</v>
      </c>
      <c r="B66" s="100" t="str">
        <f>'(B3) Struktura Funksionale'!C114</f>
        <v>Arsimi i mesëm i përgjithshëm</v>
      </c>
      <c r="C66" s="407">
        <f>'(C1b)Shpenzimet vitet e kaluar '!D135</f>
        <v>20759478</v>
      </c>
      <c r="D66" s="407">
        <f>'(C1b)Shpenzimet vitet e kaluar '!E135</f>
        <v>33770277</v>
      </c>
      <c r="E66" s="407">
        <f>'(C1b)Shpenzimet vitet e kaluar '!F135</f>
        <v>23269610</v>
      </c>
      <c r="F66" s="77">
        <f>'(F2) Shpenzimet sipas nenfunk.b'!H68</f>
        <v>0</v>
      </c>
      <c r="G66" s="399">
        <f>'(F2) Shpenzimet sipas nenfunk.b'!L68</f>
        <v>0</v>
      </c>
      <c r="H66" s="399">
        <f>'(F2) Shpenzimet sipas nenfunk.b'!P68</f>
        <v>0</v>
      </c>
    </row>
    <row r="67" spans="1:8" hidden="1" x14ac:dyDescent="0.25">
      <c r="A67" s="586" t="str">
        <f>'(B3) Struktura Funksionale'!B115</f>
        <v>09232</v>
      </c>
      <c r="B67" s="100" t="str">
        <f>'(B3) Struktura Funksionale'!C115</f>
        <v>Pagat e stafit mbështetës</v>
      </c>
      <c r="C67" s="407">
        <f>'(C1b)Shpenzimet vitet e kaluar '!D136</f>
        <v>0</v>
      </c>
      <c r="D67" s="407">
        <f>'(C1b)Shpenzimet vitet e kaluar '!E136</f>
        <v>0</v>
      </c>
      <c r="E67" s="407">
        <f>'(C1b)Shpenzimet vitet e kaluar '!F136</f>
        <v>0</v>
      </c>
      <c r="F67" s="77">
        <f>'(F2) Shpenzimet sipas nenfunk.b'!H69</f>
        <v>0</v>
      </c>
      <c r="G67" s="399">
        <f>'(F2) Shpenzimet sipas nenfunk.b'!L69</f>
        <v>0</v>
      </c>
      <c r="H67" s="399">
        <f>'(F2) Shpenzimet sipas nenfunk.b'!P69</f>
        <v>0</v>
      </c>
    </row>
    <row r="68" spans="1:8" x14ac:dyDescent="0.25">
      <c r="A68" s="586" t="str">
        <f>'(B3) Struktura Funksionale'!B116</f>
        <v>09240</v>
      </c>
      <c r="B68" s="100" t="str">
        <f>'(B3) Struktura Funksionale'!C116</f>
        <v>Arsimi profesional</v>
      </c>
      <c r="C68" s="407">
        <f>'(C1b)Shpenzimet vitet e kaluar '!D137</f>
        <v>0</v>
      </c>
      <c r="D68" s="407">
        <f>'(C1b)Shpenzimet vitet e kaluar '!E137</f>
        <v>0</v>
      </c>
      <c r="E68" s="407">
        <f>'(C1b)Shpenzimet vitet e kaluar '!F137</f>
        <v>0</v>
      </c>
      <c r="F68" s="77">
        <f>'(F2) Shpenzimet sipas nenfunk.b'!H70</f>
        <v>0</v>
      </c>
      <c r="G68" s="399">
        <f>'(F2) Shpenzimet sipas nenfunk.b'!L70</f>
        <v>0</v>
      </c>
      <c r="H68" s="399">
        <f>'(F2) Shpenzimet sipas nenfunk.b'!P70</f>
        <v>0</v>
      </c>
    </row>
    <row r="69" spans="1:8" x14ac:dyDescent="0.25">
      <c r="A69" s="614" t="str">
        <f>'(F2) Shpenzimet sipas nenfunk.b'!A71</f>
        <v>Nënfunksioni 23</v>
      </c>
      <c r="B69" s="615" t="str">
        <f>' (F4)Shpenzimet sipas nenf.neto'!B71</f>
        <v>101 Sëmundje dhe paaftësi</v>
      </c>
      <c r="C69" s="616">
        <f>'(C1b)Shpenzimet vitet e kaluar '!D150</f>
        <v>0</v>
      </c>
      <c r="D69" s="616">
        <f>'(C1b)Shpenzimet vitet e kaluar '!E150</f>
        <v>0</v>
      </c>
      <c r="E69" s="616">
        <f>'(C1b)Shpenzimet vitet e kaluar '!F150</f>
        <v>0</v>
      </c>
      <c r="F69" s="617">
        <f>'(F2) Shpenzimet sipas nenfunk.b'!H71</f>
        <v>0</v>
      </c>
      <c r="G69" s="618">
        <f>'(F2) Shpenzimet sipas nenfunk.b'!L71</f>
        <v>0</v>
      </c>
      <c r="H69" s="618">
        <f>'(F2) Shpenzimet sipas nenfunk.b'!P71</f>
        <v>0</v>
      </c>
    </row>
    <row r="70" spans="1:8" x14ac:dyDescent="0.25">
      <c r="A70" s="586" t="str">
        <f>'(B3) Struktura Funksionale'!B124</f>
        <v>10140</v>
      </c>
      <c r="B70" s="100" t="str">
        <f>'(B3) Struktura Funksionale'!C124</f>
        <v>Kujdesi social për personat e sëmurë dhe me aftësi të kufizuara</v>
      </c>
      <c r="C70" s="407">
        <f>'(C1b)Shpenzimet vitet e kaluar '!D147</f>
        <v>0</v>
      </c>
      <c r="D70" s="407">
        <f>'(C1b)Shpenzimet vitet e kaluar '!E147</f>
        <v>0</v>
      </c>
      <c r="E70" s="407">
        <f>'(C1b)Shpenzimet vitet e kaluar '!F147</f>
        <v>0</v>
      </c>
      <c r="F70" s="77">
        <f>'(F2) Shpenzimet sipas nenfunk.b'!H72</f>
        <v>0</v>
      </c>
      <c r="G70" s="399">
        <f>'(F2) Shpenzimet sipas nenfunk.b'!L72</f>
        <v>0</v>
      </c>
      <c r="H70" s="399">
        <f>'(F2) Shpenzimet sipas nenfunk.b'!P72</f>
        <v>0</v>
      </c>
    </row>
    <row r="71" spans="1:8" x14ac:dyDescent="0.25">
      <c r="A71" s="614" t="str">
        <f>'(F2) Shpenzimet sipas nenfunk.b'!A73</f>
        <v>Nënfunksioni 24</v>
      </c>
      <c r="B71" s="615" t="str">
        <f>' (F4)Shpenzimet sipas nenf.neto'!B73</f>
        <v>102 Të moshuarit</v>
      </c>
      <c r="C71" s="616">
        <f>'(C1b)Shpenzimet vitet e kaluar '!D155</f>
        <v>0</v>
      </c>
      <c r="D71" s="616">
        <f>'(C1b)Shpenzimet vitet e kaluar '!E155</f>
        <v>0</v>
      </c>
      <c r="E71" s="616">
        <f>'(C1b)Shpenzimet vitet e kaluar '!F155</f>
        <v>0</v>
      </c>
      <c r="F71" s="617">
        <f>'(F2) Shpenzimet sipas nenfunk.b'!H73</f>
        <v>0</v>
      </c>
      <c r="G71" s="618">
        <f>'(F2) Shpenzimet sipas nenfunk.b'!L73</f>
        <v>0</v>
      </c>
      <c r="H71" s="618">
        <f>'(F2) Shpenzimet sipas nenfunk.b'!P73</f>
        <v>0</v>
      </c>
    </row>
    <row r="72" spans="1:8" x14ac:dyDescent="0.25">
      <c r="A72" s="586" t="str">
        <f>'(B3) Struktura Funksionale'!B128</f>
        <v>10220</v>
      </c>
      <c r="B72" s="100" t="str">
        <f>'(B3) Struktura Funksionale'!C128</f>
        <v>Sigurimi shoqëror</v>
      </c>
      <c r="C72" s="407">
        <f>'(C1b)Shpenzimet vitet e kaluar '!D152</f>
        <v>0</v>
      </c>
      <c r="D72" s="407">
        <f>'(C1b)Shpenzimet vitet e kaluar '!E152</f>
        <v>0</v>
      </c>
      <c r="E72" s="407">
        <f>'(C1b)Shpenzimet vitet e kaluar '!F152</f>
        <v>0</v>
      </c>
      <c r="F72" s="77">
        <f>'(F2) Shpenzimet sipas nenfunk.b'!H74</f>
        <v>0</v>
      </c>
      <c r="G72" s="399">
        <f>'(F2) Shpenzimet sipas nenfunk.b'!L74</f>
        <v>0</v>
      </c>
      <c r="H72" s="399">
        <f>'(F2) Shpenzimet sipas nenfunk.b'!P74</f>
        <v>0</v>
      </c>
    </row>
    <row r="73" spans="1:8" x14ac:dyDescent="0.25">
      <c r="A73" s="614" t="str">
        <f>'(F2) Shpenzimet sipas nenfunk.b'!A75</f>
        <v>Nënfunksioni 25</v>
      </c>
      <c r="B73" s="615" t="str">
        <f>' (F4)Shpenzimet sipas nenf.neto'!B75</f>
        <v>104 Familje dhe fëmijë</v>
      </c>
      <c r="C73" s="616">
        <f>'(C1b)Shpenzimet vitet e kaluar '!D160</f>
        <v>0</v>
      </c>
      <c r="D73" s="616">
        <f>'(C1b)Shpenzimet vitet e kaluar '!E160</f>
        <v>0</v>
      </c>
      <c r="E73" s="616">
        <f>'(C1b)Shpenzimet vitet e kaluar '!F160</f>
        <v>0</v>
      </c>
      <c r="F73" s="617">
        <f>'(F2) Shpenzimet sipas nenfunk.b'!H75</f>
        <v>0</v>
      </c>
      <c r="G73" s="618">
        <f>'(F2) Shpenzimet sipas nenfunk.b'!L75</f>
        <v>0</v>
      </c>
      <c r="H73" s="618">
        <f>'(F2) Shpenzimet sipas nenfunk.b'!P75</f>
        <v>0</v>
      </c>
    </row>
    <row r="74" spans="1:8" x14ac:dyDescent="0.25">
      <c r="A74" s="586" t="str">
        <f>'(B3) Struktura Funksionale'!B132</f>
        <v>10430</v>
      </c>
      <c r="B74" s="100" t="str">
        <f>'(B3) Struktura Funksionale'!C132</f>
        <v>Kujdesi social për familjet dhe fëmijët</v>
      </c>
      <c r="C74" s="407">
        <f>'(C1b)Shpenzimet vitet e kaluar '!D157</f>
        <v>0</v>
      </c>
      <c r="D74" s="407">
        <f>'(C1b)Shpenzimet vitet e kaluar '!E157</f>
        <v>0</v>
      </c>
      <c r="E74" s="407">
        <f>'(C1b)Shpenzimet vitet e kaluar '!F157</f>
        <v>0</v>
      </c>
      <c r="F74" s="77">
        <f>'(F2) Shpenzimet sipas nenfunk.b'!H76</f>
        <v>0</v>
      </c>
      <c r="G74" s="399">
        <f>'(F2) Shpenzimet sipas nenfunk.b'!L76</f>
        <v>0</v>
      </c>
      <c r="H74" s="399">
        <f>'(F2) Shpenzimet sipas nenfunk.b'!P76</f>
        <v>0</v>
      </c>
    </row>
    <row r="75" spans="1:8" hidden="1" x14ac:dyDescent="0.25">
      <c r="A75" s="586" t="str">
        <f>'(B3) Struktura Funksionale'!B133</f>
        <v>10460</v>
      </c>
      <c r="B75" s="100" t="str">
        <f>'(B3) Struktura Funksionale'!C133</f>
        <v>Përfshirja sociale</v>
      </c>
      <c r="C75" s="407">
        <f>'(C1b)Shpenzimet vitet e kaluar '!D158</f>
        <v>0</v>
      </c>
      <c r="D75" s="407">
        <f>'(C1b)Shpenzimet vitet e kaluar '!E158</f>
        <v>0</v>
      </c>
      <c r="E75" s="407">
        <f>'(C1b)Shpenzimet vitet e kaluar '!F158</f>
        <v>0</v>
      </c>
      <c r="F75" s="77">
        <f>'(F2) Shpenzimet sipas nenfunk.b'!H77</f>
        <v>0</v>
      </c>
      <c r="G75" s="399">
        <f>'(F2) Shpenzimet sipas nenfunk.b'!L77</f>
        <v>0</v>
      </c>
      <c r="H75" s="399">
        <f>'(F2) Shpenzimet sipas nenfunk.b'!P77</f>
        <v>0</v>
      </c>
    </row>
    <row r="76" spans="1:8" x14ac:dyDescent="0.25">
      <c r="A76" s="614" t="str">
        <f>'(F2) Shpenzimet sipas nenfunk.b'!A78</f>
        <v>Nënfunksioni 26</v>
      </c>
      <c r="B76" s="615" t="str">
        <f>' (F4)Shpenzimet sipas nenf.neto'!B78</f>
        <v>105 Papunësia</v>
      </c>
      <c r="C76" s="616">
        <f>'(C1b)Shpenzimet vitet e kaluar '!D165</f>
        <v>0</v>
      </c>
      <c r="D76" s="616">
        <f>'(C1b)Shpenzimet vitet e kaluar '!E165</f>
        <v>0</v>
      </c>
      <c r="E76" s="616">
        <f>'(C1b)Shpenzimet vitet e kaluar '!F165</f>
        <v>0</v>
      </c>
      <c r="F76" s="617">
        <f>'(F2) Shpenzimet sipas nenfunk.b'!H78</f>
        <v>0</v>
      </c>
      <c r="G76" s="618">
        <f>'(F2) Shpenzimet sipas nenfunk.b'!L78</f>
        <v>0</v>
      </c>
      <c r="H76" s="618">
        <f>'(F2) Shpenzimet sipas nenfunk.b'!P78</f>
        <v>0</v>
      </c>
    </row>
    <row r="77" spans="1:8" x14ac:dyDescent="0.25">
      <c r="A77" s="586" t="str">
        <f>'(B3) Struktura Funksionale'!B136</f>
        <v>10550</v>
      </c>
      <c r="B77" s="100" t="str">
        <f>'(B3) Struktura Funksionale'!C136</f>
        <v>Papunësia, arsim dhe aftësim</v>
      </c>
      <c r="C77" s="407">
        <f>'(C1b)Shpenzimet vitet e kaluar '!D162</f>
        <v>0</v>
      </c>
      <c r="D77" s="407">
        <f>'(C1b)Shpenzimet vitet e kaluar '!E162</f>
        <v>0</v>
      </c>
      <c r="E77" s="407">
        <f>'(C1b)Shpenzimet vitet e kaluar '!F162</f>
        <v>0</v>
      </c>
      <c r="F77" s="77">
        <f>'(F2) Shpenzimet sipas nenfunk.b'!H79</f>
        <v>0</v>
      </c>
      <c r="G77" s="399">
        <f>'(F2) Shpenzimet sipas nenfunk.b'!L79</f>
        <v>0</v>
      </c>
      <c r="H77" s="399">
        <f>'(F2) Shpenzimet sipas nenfunk.b'!P79</f>
        <v>0</v>
      </c>
    </row>
    <row r="78" spans="1:8" x14ac:dyDescent="0.25">
      <c r="A78" s="614" t="str">
        <f>'(F2) Shpenzimet sipas nenfunk.b'!A80</f>
        <v>Nënfunksioni 27</v>
      </c>
      <c r="B78" s="615" t="str">
        <f>' (F4)Shpenzimet sipas nenf.neto'!B80</f>
        <v>106 Strehimi social</v>
      </c>
      <c r="C78" s="616">
        <f>'(C1b)Shpenzimet vitet e kaluar '!D170</f>
        <v>0</v>
      </c>
      <c r="D78" s="616">
        <f>'(C1b)Shpenzimet vitet e kaluar '!E170</f>
        <v>0</v>
      </c>
      <c r="E78" s="616">
        <f>'(C1b)Shpenzimet vitet e kaluar '!F170</f>
        <v>0</v>
      </c>
      <c r="F78" s="617">
        <f>'(F2) Shpenzimet sipas nenfunk.b'!H80</f>
        <v>0</v>
      </c>
      <c r="G78" s="618">
        <f>'(F2) Shpenzimet sipas nenfunk.b'!L80</f>
        <v>0</v>
      </c>
      <c r="H78" s="618">
        <f>'(F2) Shpenzimet sipas nenfunk.b'!P80</f>
        <v>0</v>
      </c>
    </row>
    <row r="79" spans="1:8" x14ac:dyDescent="0.25">
      <c r="A79" s="586" t="str">
        <f>'(B3) Struktura Funksionale'!B140</f>
        <v>10661</v>
      </c>
      <c r="B79" s="100" t="str">
        <f>'(B3) Struktura Funksionale'!C140</f>
        <v>Strehimi social</v>
      </c>
      <c r="C79" s="407">
        <f>'(C1b)Shpenzimet vitet e kaluar '!D167</f>
        <v>0</v>
      </c>
      <c r="D79" s="407">
        <f>'(C1b)Shpenzimet vitet e kaluar '!E167</f>
        <v>0</v>
      </c>
      <c r="E79" s="407">
        <f>'(C1b)Shpenzimet vitet e kaluar '!F167</f>
        <v>0</v>
      </c>
      <c r="F79" s="77">
        <f>'(F2) Shpenzimet sipas nenfunk.b'!H81</f>
        <v>0</v>
      </c>
      <c r="G79" s="399">
        <f>'(F2) Shpenzimet sipas nenfunk.b'!L81</f>
        <v>0</v>
      </c>
      <c r="H79" s="399">
        <f>'(F2) Shpenzimet sipas nenfunk.b'!P81</f>
        <v>0</v>
      </c>
    </row>
    <row r="80" spans="1:8" x14ac:dyDescent="0.25">
      <c r="A80" s="1131" t="str">
        <f>'(G1) Fjalori'!A426:B426</f>
        <v>Totali</v>
      </c>
      <c r="B80" s="1133"/>
      <c r="C80" s="408">
        <f t="shared" ref="C80:H80" si="0">C4+C8+C12+C14+C16+C18+C23+C28+C32+C35+C37+C39+C41+C44+C47+C50+C52+C54+C56+C59+C63+C65+C69+C71+C73+C76+C78</f>
        <v>262865245</v>
      </c>
      <c r="D80" s="408">
        <f t="shared" si="0"/>
        <v>102014136</v>
      </c>
      <c r="E80" s="408">
        <f t="shared" si="0"/>
        <v>336972876</v>
      </c>
      <c r="F80" s="408">
        <f t="shared" si="0"/>
        <v>270280988</v>
      </c>
      <c r="G80" s="408">
        <f t="shared" si="0"/>
        <v>209417260</v>
      </c>
      <c r="H80" s="408">
        <f t="shared" si="0"/>
        <v>209773423</v>
      </c>
    </row>
  </sheetData>
  <sheetProtection selectLockedCells="1"/>
  <mergeCells count="4">
    <mergeCell ref="A1:H1"/>
    <mergeCell ref="A2:B3"/>
    <mergeCell ref="C2:H2"/>
    <mergeCell ref="A80:B80"/>
  </mergeCells>
  <pageMargins left="0.22" right="0.26" top="0.45" bottom="0.32" header="0.3" footer="0.3"/>
  <pageSetup paperSize="9" scale="85" orientation="landscape" r:id="rId1"/>
  <headerFooter>
    <oddHeader>&amp;LPROGRAMI BUXHETOR AFATMESËM&amp;C28 Shkurt 2018</oddHeader>
    <oddFooter>&amp;LCopyright for Albania: Ministry of Finance and Economy / Local Finance Directory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2">
    <tabColor rgb="FF92D050"/>
  </sheetPr>
  <dimension ref="A1:J31"/>
  <sheetViews>
    <sheetView showGridLines="0" topLeftCell="C4" workbookViewId="0">
      <selection sqref="A1:M53"/>
    </sheetView>
  </sheetViews>
  <sheetFormatPr defaultColWidth="4.140625" defaultRowHeight="12.75" x14ac:dyDescent="0.2"/>
  <cols>
    <col min="1" max="1" width="4.140625" style="101"/>
    <col min="2" max="2" width="5.7109375" style="101" bestFit="1" customWidth="1"/>
    <col min="3" max="3" width="66" style="101" customWidth="1"/>
    <col min="4" max="6" width="9.28515625" style="101" customWidth="1"/>
    <col min="7" max="9" width="9.5703125" style="101" bestFit="1" customWidth="1"/>
    <col min="10" max="10" width="8.42578125" style="101" customWidth="1"/>
    <col min="11" max="202" width="11.5703125" style="101" customWidth="1"/>
    <col min="203" max="203" width="3.85546875" style="101" customWidth="1"/>
    <col min="204" max="204" width="22" style="101" customWidth="1"/>
    <col min="205" max="207" width="4.140625" style="101" customWidth="1"/>
    <col min="208" max="208" width="5.85546875" style="101" customWidth="1"/>
    <col min="209" max="209" width="4.140625" style="101" customWidth="1"/>
    <col min="210" max="210" width="0.85546875" style="101" customWidth="1"/>
    <col min="211" max="211" width="5.85546875" style="101" customWidth="1"/>
    <col min="212" max="212" width="4.140625" style="101" customWidth="1"/>
    <col min="213" max="213" width="0.85546875" style="101" customWidth="1"/>
    <col min="214" max="214" width="5.85546875" style="101" customWidth="1"/>
    <col min="215" max="215" width="4.140625" style="101" customWidth="1"/>
    <col min="216" max="216" width="0.85546875" style="101" customWidth="1"/>
    <col min="217" max="217" width="5.85546875" style="101" customWidth="1"/>
    <col min="218" max="16384" width="4.140625" style="101"/>
  </cols>
  <sheetData>
    <row r="1" spans="1:10" s="212" customFormat="1" ht="21" x14ac:dyDescent="0.25">
      <c r="A1" s="1127" t="str">
        <f>'(G1) Fjalori'!A489</f>
        <v>(F15) SHPENZIMET KAPITALE SIPAS PROGRAMEVE</v>
      </c>
      <c r="B1" s="1128"/>
      <c r="C1" s="1128"/>
      <c r="D1" s="1128"/>
      <c r="E1" s="1128"/>
      <c r="F1" s="1128"/>
      <c r="G1" s="1128"/>
      <c r="H1" s="1128"/>
      <c r="I1" s="1128"/>
      <c r="J1" s="1129"/>
    </row>
    <row r="2" spans="1:10" s="95" customFormat="1" ht="12.75" customHeight="1" x14ac:dyDescent="0.2">
      <c r="I2" s="96"/>
    </row>
    <row r="3" spans="1:10" ht="15" customHeight="1" x14ac:dyDescent="0.2">
      <c r="D3" s="396">
        <f>'(C1b)Shpenzimet vitet e kaluar '!D5</f>
        <v>2019</v>
      </c>
      <c r="E3" s="396">
        <f>'(C1b)Shpenzimet vitet e kaluar '!E5</f>
        <v>2020</v>
      </c>
      <c r="F3" s="396">
        <f>'(C1b)Shpenzimet vitet e kaluar '!F5</f>
        <v>2021</v>
      </c>
      <c r="G3" s="400">
        <f>'(A1) Titulli'!B42</f>
        <v>2022</v>
      </c>
      <c r="H3" s="400">
        <f>'(A1) Titulli'!B43</f>
        <v>2023</v>
      </c>
      <c r="I3" s="400">
        <f>'(A1) Titulli'!B44</f>
        <v>2024</v>
      </c>
    </row>
    <row r="4" spans="1:10" ht="15" customHeight="1" x14ac:dyDescent="0.2">
      <c r="B4" s="110" t="s">
        <v>63</v>
      </c>
      <c r="C4" s="110" t="str">
        <f>' (F4)Shpenzimet sipas nenf.neto'!B6</f>
        <v>011 Organet ekzekutive dhe legjislative, për çështjet financiare dhe fiskale, çështjet e brendshme</v>
      </c>
      <c r="D4" s="225">
        <f>'(C1b)Shpenzimet vitet e kaluar '!D15</f>
        <v>4710715</v>
      </c>
      <c r="E4" s="225">
        <f>'(C1b)Shpenzimet vitet e kaluar '!E15</f>
        <v>4310738</v>
      </c>
      <c r="F4" s="225">
        <f>'(C1b)Shpenzimet vitet e kaluar '!F15</f>
        <v>53066794</v>
      </c>
      <c r="G4" s="399">
        <f>'(F6) Shpenzimet sipas funks.bru'!H6</f>
        <v>82418688</v>
      </c>
      <c r="H4" s="399">
        <f>'(F6) Shpenzimet sipas funks.bru'!L6</f>
        <v>21596860</v>
      </c>
      <c r="I4" s="399">
        <f>'(F6) Shpenzimet sipas funks.bru'!P6</f>
        <v>18046223</v>
      </c>
    </row>
    <row r="5" spans="1:10" ht="11.25" customHeight="1" x14ac:dyDescent="0.2">
      <c r="B5" s="110" t="s">
        <v>64</v>
      </c>
      <c r="C5" s="110" t="str">
        <f>' (F4)Shpenzimet sipas nenf.neto'!B10</f>
        <v>017 Shërbime të  huamarrjes vendore</v>
      </c>
      <c r="D5" s="225">
        <f>'(C1b)Shpenzimet vitet e kaluar '!D22</f>
        <v>0</v>
      </c>
      <c r="E5" s="225">
        <f>'(C1b)Shpenzimet vitet e kaluar '!E22</f>
        <v>0</v>
      </c>
      <c r="F5" s="225">
        <f>'(C1b)Shpenzimet vitet e kaluar '!F22</f>
        <v>0</v>
      </c>
      <c r="G5" s="399">
        <f>'(F6) Shpenzimet sipas funks.bru'!H7</f>
        <v>0</v>
      </c>
      <c r="H5" s="399">
        <f>'(F6) Shpenzimet sipas funks.bru'!L7</f>
        <v>0</v>
      </c>
      <c r="I5" s="399">
        <f>'(F6) Shpenzimet sipas funks.bru'!P7</f>
        <v>0</v>
      </c>
    </row>
    <row r="6" spans="1:10" ht="11.25" customHeight="1" x14ac:dyDescent="0.2">
      <c r="B6" s="110" t="s">
        <v>65</v>
      </c>
      <c r="C6" s="110" t="str">
        <f>' (F4)Shpenzimet sipas nenf.neto'!B14</f>
        <v>031 Shërbimet Policore</v>
      </c>
      <c r="D6" s="225">
        <f>'(C1b)Shpenzimet vitet e kaluar '!D28</f>
        <v>0</v>
      </c>
      <c r="E6" s="225">
        <f>'(C1b)Shpenzimet vitet e kaluar '!E28</f>
        <v>0</v>
      </c>
      <c r="F6" s="225">
        <f>'(C1b)Shpenzimet vitet e kaluar '!F28</f>
        <v>0</v>
      </c>
      <c r="G6" s="399">
        <f>'(F6) Shpenzimet sipas funks.bru'!H9</f>
        <v>0</v>
      </c>
      <c r="H6" s="399">
        <f>'(F6) Shpenzimet sipas funks.bru'!L9</f>
        <v>0</v>
      </c>
      <c r="I6" s="399">
        <f>'(F6) Shpenzimet sipas funks.bru'!P9</f>
        <v>0</v>
      </c>
    </row>
    <row r="7" spans="1:10" ht="11.25" customHeight="1" x14ac:dyDescent="0.2">
      <c r="B7" s="110" t="s">
        <v>221</v>
      </c>
      <c r="C7" s="110" t="str">
        <f>' (F4)Shpenzimet sipas nenf.neto'!B16</f>
        <v>032 Shërbimet e mbrojtjes ndaj zjarrit</v>
      </c>
      <c r="D7" s="225">
        <f>'(C1b)Shpenzimet vitet e kaluar '!D33</f>
        <v>0</v>
      </c>
      <c r="E7" s="225">
        <f>'(C1b)Shpenzimet vitet e kaluar '!E33</f>
        <v>0</v>
      </c>
      <c r="F7" s="225">
        <f>'(C1b)Shpenzimet vitet e kaluar '!F33</f>
        <v>0</v>
      </c>
      <c r="G7" s="399">
        <f>'(F6) Shpenzimet sipas funks.bru'!H10</f>
        <v>0</v>
      </c>
      <c r="H7" s="399">
        <f>'(F6) Shpenzimet sipas funks.bru'!L10</f>
        <v>0</v>
      </c>
      <c r="I7" s="399">
        <f>'(F6) Shpenzimet sipas funks.bru'!P10</f>
        <v>0</v>
      </c>
    </row>
    <row r="8" spans="1:10" ht="11.25" customHeight="1" x14ac:dyDescent="0.2">
      <c r="B8" s="110" t="s">
        <v>66</v>
      </c>
      <c r="C8" s="110" t="str">
        <f>' (F4)Shpenzimet sipas nenf.neto'!B18</f>
        <v>036 Marrdheniet me komunitetin</v>
      </c>
      <c r="D8" s="225">
        <f>'(C1b)Shpenzimet vitet e kaluar '!D38</f>
        <v>0</v>
      </c>
      <c r="E8" s="225">
        <f>'(C1b)Shpenzimet vitet e kaluar '!E38</f>
        <v>0</v>
      </c>
      <c r="F8" s="225">
        <f>'(C1b)Shpenzimet vitet e kaluar '!F38</f>
        <v>0</v>
      </c>
      <c r="G8" s="399">
        <f>'(F6) Shpenzimet sipas funks.bru'!H11</f>
        <v>0</v>
      </c>
      <c r="H8" s="399">
        <f>'(F6) Shpenzimet sipas funks.bru'!L11</f>
        <v>0</v>
      </c>
      <c r="I8" s="399">
        <f>'(F6) Shpenzimet sipas funks.bru'!P11</f>
        <v>0</v>
      </c>
    </row>
    <row r="9" spans="1:10" ht="11.25" customHeight="1" x14ac:dyDescent="0.2">
      <c r="B9" s="110" t="s">
        <v>67</v>
      </c>
      <c r="C9" s="110" t="str">
        <f>' (F4)Shpenzimet sipas nenf.neto'!B20</f>
        <v>041 Çështjet e përgjithshme ekonomike, tregtare dhe të punës</v>
      </c>
      <c r="D9" s="225">
        <f>'(C1b)Shpenzimet vitet e kaluar '!D46</f>
        <v>0</v>
      </c>
      <c r="E9" s="225">
        <f>'(C1b)Shpenzimet vitet e kaluar '!E46</f>
        <v>0</v>
      </c>
      <c r="F9" s="225">
        <f>'(C1b)Shpenzimet vitet e kaluar '!F46</f>
        <v>0</v>
      </c>
      <c r="G9" s="399">
        <f>'(F6) Shpenzimet sipas funks.bru'!H13</f>
        <v>0</v>
      </c>
      <c r="H9" s="399">
        <f>'(F6) Shpenzimet sipas funks.bru'!L13</f>
        <v>0</v>
      </c>
      <c r="I9" s="399">
        <f>'(F6) Shpenzimet sipas funks.bru'!P13</f>
        <v>0</v>
      </c>
    </row>
    <row r="10" spans="1:10" ht="11.25" customHeight="1" x14ac:dyDescent="0.2">
      <c r="B10" s="110" t="s">
        <v>68</v>
      </c>
      <c r="C10" s="110" t="str">
        <f>' (F4)Shpenzimet sipas nenf.neto'!B25</f>
        <v>042 Bujqësia, pyjet, peshkimi dhe gjuetia</v>
      </c>
      <c r="D10" s="225">
        <f>'(C1b)Shpenzimet vitet e kaluar '!D54</f>
        <v>274780</v>
      </c>
      <c r="E10" s="225">
        <f>'(C1b)Shpenzimet vitet e kaluar '!E54</f>
        <v>4283169</v>
      </c>
      <c r="F10" s="225">
        <f>'(C1b)Shpenzimet vitet e kaluar '!F54</f>
        <v>8028800</v>
      </c>
      <c r="G10" s="399">
        <f>'(F6) Shpenzimet sipas funks.bru'!H14</f>
        <v>8350000</v>
      </c>
      <c r="H10" s="399">
        <f>'(F6) Shpenzimet sipas funks.bru'!L14</f>
        <v>8569600</v>
      </c>
      <c r="I10" s="399">
        <f>'(F6) Shpenzimet sipas funks.bru'!P14</f>
        <v>8830700</v>
      </c>
    </row>
    <row r="11" spans="1:10" ht="11.25" customHeight="1" x14ac:dyDescent="0.2">
      <c r="B11" s="110" t="s">
        <v>69</v>
      </c>
      <c r="C11" s="110" t="str">
        <f>' (F4)Shpenzimet sipas nenf.neto'!B30</f>
        <v>045 Trasporti</v>
      </c>
      <c r="D11" s="225">
        <f>'(C1b)Shpenzimet vitet e kaluar '!D60</f>
        <v>206633639</v>
      </c>
      <c r="E11" s="225">
        <f>'(C1b)Shpenzimet vitet e kaluar '!E60</f>
        <v>55174564</v>
      </c>
      <c r="F11" s="225">
        <f>'(C1b)Shpenzimet vitet e kaluar '!F60</f>
        <v>184832823</v>
      </c>
      <c r="G11" s="399">
        <f>'(F6) Shpenzimet sipas funks.bru'!H15</f>
        <v>167700000</v>
      </c>
      <c r="H11" s="399">
        <f>'(F6) Shpenzimet sipas funks.bru'!L15</f>
        <v>168100000</v>
      </c>
      <c r="I11" s="399">
        <f>'(F6) Shpenzimet sipas funks.bru'!P15</f>
        <v>172202000</v>
      </c>
    </row>
    <row r="12" spans="1:10" ht="11.25" customHeight="1" x14ac:dyDescent="0.2">
      <c r="B12" s="110" t="s">
        <v>70</v>
      </c>
      <c r="C12" s="110" t="str">
        <f>' (F4)Shpenzimet sipas nenf.neto'!B34</f>
        <v>047 Industri të tjera</v>
      </c>
      <c r="D12" s="225">
        <f>'(C1b)Shpenzimet vitet e kaluar '!D66</f>
        <v>0</v>
      </c>
      <c r="E12" s="225">
        <f>'(C1b)Shpenzimet vitet e kaluar '!E66</f>
        <v>0</v>
      </c>
      <c r="F12" s="225">
        <f>'(C1b)Shpenzimet vitet e kaluar '!F66</f>
        <v>0</v>
      </c>
      <c r="G12" s="399">
        <f>'(F6) Shpenzimet sipas funks.bru'!H16</f>
        <v>0</v>
      </c>
      <c r="H12" s="399">
        <f>'(F6) Shpenzimet sipas funks.bru'!L16</f>
        <v>0</v>
      </c>
      <c r="I12" s="399">
        <f>'(F6) Shpenzimet sipas funks.bru'!P16</f>
        <v>0</v>
      </c>
    </row>
    <row r="13" spans="1:10" ht="11.25" customHeight="1" x14ac:dyDescent="0.2">
      <c r="B13" s="110" t="s">
        <v>71</v>
      </c>
      <c r="C13" s="110" t="str">
        <f>' (F4)Shpenzimet sipas nenf.neto'!B37</f>
        <v>062 Menaxhimi i i mbetjeve</v>
      </c>
      <c r="D13" s="225">
        <f>'(C1b)Shpenzimet vitet e kaluar '!D72</f>
        <v>0</v>
      </c>
      <c r="E13" s="225">
        <f>'(C1b)Shpenzimet vitet e kaluar '!E72</f>
        <v>0</v>
      </c>
      <c r="F13" s="225">
        <f>'(C1b)Shpenzimet vitet e kaluar '!F72</f>
        <v>0</v>
      </c>
      <c r="G13" s="399">
        <f>'(F6) Shpenzimet sipas funks.bru'!H18</f>
        <v>0</v>
      </c>
      <c r="H13" s="399">
        <f>'(F6) Shpenzimet sipas funks.bru'!L18</f>
        <v>0</v>
      </c>
      <c r="I13" s="399">
        <f>'(F6) Shpenzimet sipas funks.bru'!P18</f>
        <v>0</v>
      </c>
    </row>
    <row r="14" spans="1:10" ht="11.25" customHeight="1" x14ac:dyDescent="0.2">
      <c r="B14" s="110" t="s">
        <v>72</v>
      </c>
      <c r="C14" s="110" t="str">
        <f>' (F4)Shpenzimet sipas nenf.neto'!B39</f>
        <v>052 Menaxhimi i ujrave të zeza</v>
      </c>
      <c r="D14" s="225">
        <f>'(C1b)Shpenzimet vitet e kaluar '!D77</f>
        <v>0</v>
      </c>
      <c r="E14" s="225">
        <f>'(C1b)Shpenzimet vitet e kaluar '!E77</f>
        <v>0</v>
      </c>
      <c r="F14" s="225">
        <f>'(C1b)Shpenzimet vitet e kaluar '!F77</f>
        <v>0</v>
      </c>
      <c r="G14" s="399">
        <f>'(F6) Shpenzimet sipas funks.bru'!H19</f>
        <v>0</v>
      </c>
      <c r="H14" s="399">
        <f>'(F6) Shpenzimet sipas funks.bru'!L19</f>
        <v>0</v>
      </c>
      <c r="I14" s="399">
        <f>'(F6) Shpenzimet sipas funks.bru'!P19</f>
        <v>0</v>
      </c>
    </row>
    <row r="15" spans="1:10" ht="11.25" customHeight="1" x14ac:dyDescent="0.2">
      <c r="B15" s="110" t="s">
        <v>73</v>
      </c>
      <c r="C15" s="110" t="str">
        <f>' (F4)Shpenzimet sipas nenf.neto'!B41</f>
        <v>053 Reduktimi i ndotjes</v>
      </c>
      <c r="D15" s="225">
        <f>'(C1b)Shpenzimet vitet e kaluar '!D82</f>
        <v>0</v>
      </c>
      <c r="E15" s="225">
        <f>'(C1b)Shpenzimet vitet e kaluar '!E82</f>
        <v>0</v>
      </c>
      <c r="F15" s="225">
        <f>'(C1b)Shpenzimet vitet e kaluar '!F82</f>
        <v>0</v>
      </c>
      <c r="G15" s="399">
        <f>'(F6) Shpenzimet sipas funks.bru'!H20</f>
        <v>0</v>
      </c>
      <c r="H15" s="399">
        <f>'(F6) Shpenzimet sipas funks.bru'!L20</f>
        <v>0</v>
      </c>
      <c r="I15" s="399">
        <f>'(F6) Shpenzimet sipas funks.bru'!P20</f>
        <v>0</v>
      </c>
    </row>
    <row r="16" spans="1:10" ht="11.25" customHeight="1" x14ac:dyDescent="0.2">
      <c r="B16" s="110" t="s">
        <v>74</v>
      </c>
      <c r="C16" s="110" t="str">
        <f>' (F4)Shpenzimet sipas nenf.neto'!B43</f>
        <v>056 Mbrojtja e mjedisit</v>
      </c>
      <c r="D16" s="225">
        <f>'(C1b)Shpenzimet vitet e kaluar '!D87</f>
        <v>0</v>
      </c>
      <c r="E16" s="225">
        <f>'(C1b)Shpenzimet vitet e kaluar '!E87</f>
        <v>0</v>
      </c>
      <c r="F16" s="225">
        <f>'(C1b)Shpenzimet vitet e kaluar '!F87</f>
        <v>0</v>
      </c>
      <c r="G16" s="399">
        <f>'(F6) Shpenzimet sipas funks.bru'!H21</f>
        <v>0</v>
      </c>
      <c r="H16" s="399">
        <f>'(F6) Shpenzimet sipas funks.bru'!L21</f>
        <v>0</v>
      </c>
      <c r="I16" s="399">
        <f>'(F6) Shpenzimet sipas funks.bru'!P21</f>
        <v>0</v>
      </c>
    </row>
    <row r="17" spans="2:9" ht="15" customHeight="1" x14ac:dyDescent="0.2">
      <c r="B17" s="110" t="s">
        <v>75</v>
      </c>
      <c r="C17" s="110" t="str">
        <f>' (F4)Shpenzimet sipas nenf.neto'!B46</f>
        <v>061 Urbanistika</v>
      </c>
      <c r="D17" s="225">
        <f>'(C1b)Shpenzimet vitet e kaluar '!D93</f>
        <v>311473</v>
      </c>
      <c r="E17" s="225">
        <f>'(C1b)Shpenzimet vitet e kaluar '!E93</f>
        <v>1379258</v>
      </c>
      <c r="F17" s="225">
        <f>'(C1b)Shpenzimet vitet e kaluar '!F93</f>
        <v>5376704</v>
      </c>
      <c r="G17" s="399">
        <f>'(F6) Shpenzimet sipas funks.bru'!H23</f>
        <v>0</v>
      </c>
      <c r="H17" s="399">
        <f>'(F6) Shpenzimet sipas funks.bru'!L23</f>
        <v>0</v>
      </c>
      <c r="I17" s="399">
        <f>'(F6) Shpenzimet sipas funks.bru'!P23</f>
        <v>0</v>
      </c>
    </row>
    <row r="18" spans="2:9" ht="15" customHeight="1" x14ac:dyDescent="0.2">
      <c r="B18" s="110" t="s">
        <v>76</v>
      </c>
      <c r="C18" s="110" t="str">
        <f>' (F4)Shpenzimet sipas nenf.neto'!B49</f>
        <v>062 Zhvillimi i komunitetit</v>
      </c>
      <c r="D18" s="225">
        <f>'(C1b)Shpenzimet vitet e kaluar '!D98</f>
        <v>18175161</v>
      </c>
      <c r="E18" s="225">
        <f>'(C1b)Shpenzimet vitet e kaluar '!E98</f>
        <v>0</v>
      </c>
      <c r="F18" s="225">
        <f>'(C1b)Shpenzimet vitet e kaluar '!F98</f>
        <v>48226803</v>
      </c>
      <c r="G18" s="399">
        <f>'(F6) Shpenzimet sipas funks.bru'!H24</f>
        <v>2929000</v>
      </c>
      <c r="H18" s="399">
        <f>'(F6) Shpenzimet sipas funks.bru'!L24</f>
        <v>3002000</v>
      </c>
      <c r="I18" s="399">
        <f>'(F6) Shpenzimet sipas funks.bru'!P24</f>
        <v>3126000</v>
      </c>
    </row>
    <row r="19" spans="2:9" ht="15" customHeight="1" x14ac:dyDescent="0.2">
      <c r="B19" s="110" t="s">
        <v>222</v>
      </c>
      <c r="C19" s="110" t="str">
        <f>' (F4)Shpenzimet sipas nenf.neto'!B52</f>
        <v>063 Furnizimi me ujë</v>
      </c>
      <c r="D19" s="225">
        <f>'(C1b)Shpenzimet vitet e kaluar '!D103</f>
        <v>11999999</v>
      </c>
      <c r="E19" s="225">
        <f>'(C1b)Shpenzimet vitet e kaluar '!E103</f>
        <v>272714</v>
      </c>
      <c r="F19" s="225">
        <f>'(C1b)Shpenzimet vitet e kaluar '!F103</f>
        <v>26984</v>
      </c>
      <c r="G19" s="399">
        <f>'(F6) Shpenzimet sipas funks.bru'!H25</f>
        <v>0</v>
      </c>
      <c r="H19" s="399">
        <f>'(F6) Shpenzimet sipas funks.bru'!L25</f>
        <v>0</v>
      </c>
      <c r="I19" s="399">
        <f>'(F6) Shpenzimet sipas funks.bru'!P25</f>
        <v>0</v>
      </c>
    </row>
    <row r="20" spans="2:9" ht="15" customHeight="1" x14ac:dyDescent="0.2">
      <c r="B20" s="110" t="s">
        <v>345</v>
      </c>
      <c r="C20" s="110" t="str">
        <f>' (F4)Shpenzimet sipas nenf.neto'!B54</f>
        <v>064 Ndriçimi i rrugëve</v>
      </c>
      <c r="D20" s="225">
        <f>'(C1b)Shpenzimet vitet e kaluar '!D108</f>
        <v>0</v>
      </c>
      <c r="E20" s="225">
        <f>'(C1b)Shpenzimet vitet e kaluar '!E108</f>
        <v>0</v>
      </c>
      <c r="F20" s="225">
        <f>'(C1b)Shpenzimet vitet e kaluar '!F108</f>
        <v>0</v>
      </c>
      <c r="G20" s="399">
        <f>'(F6) Shpenzimet sipas funks.bru'!H26</f>
        <v>0</v>
      </c>
      <c r="H20" s="399">
        <f>'(F6) Shpenzimet sipas funks.bru'!L26</f>
        <v>0</v>
      </c>
      <c r="I20" s="399">
        <f>'(F6) Shpenzimet sipas funks.bru'!P26</f>
        <v>0</v>
      </c>
    </row>
    <row r="21" spans="2:9" ht="15" customHeight="1" x14ac:dyDescent="0.2">
      <c r="B21" s="110" t="s">
        <v>346</v>
      </c>
      <c r="C21" s="110" t="str">
        <f>' (F4)Shpenzimet sipas nenf.neto'!B56</f>
        <v xml:space="preserve">072 Shërbimet e kujdesit parësor </v>
      </c>
      <c r="D21" s="225">
        <f>'(C1b)Shpenzimet vitet e kaluar '!D114</f>
        <v>0</v>
      </c>
      <c r="E21" s="225">
        <f>'(C1b)Shpenzimet vitet e kaluar '!E114</f>
        <v>0</v>
      </c>
      <c r="F21" s="225">
        <f>'(C1b)Shpenzimet vitet e kaluar '!F114</f>
        <v>0</v>
      </c>
      <c r="G21" s="399">
        <f>'(F6) Shpenzimet sipas funks.bru'!H28</f>
        <v>0</v>
      </c>
      <c r="H21" s="399">
        <f>'(F6) Shpenzimet sipas funks.bru'!L28</f>
        <v>0</v>
      </c>
      <c r="I21" s="399">
        <f>'(F6) Shpenzimet sipas funks.bru'!P28</f>
        <v>0</v>
      </c>
    </row>
    <row r="22" spans="2:9" ht="15" customHeight="1" x14ac:dyDescent="0.2">
      <c r="B22" s="110" t="s">
        <v>347</v>
      </c>
      <c r="C22" s="110" t="str">
        <f>' (F4)Shpenzimet sipas nenf.neto'!B58</f>
        <v>081 Shërbimet rekreative dhe sportive</v>
      </c>
      <c r="D22" s="225">
        <f>'(C1b)Shpenzimet vitet e kaluar '!D120</f>
        <v>0</v>
      </c>
      <c r="E22" s="225">
        <f>'(C1b)Shpenzimet vitet e kaluar '!E120</f>
        <v>1245300</v>
      </c>
      <c r="F22" s="225">
        <f>'(C1b)Shpenzimet vitet e kaluar '!F120</f>
        <v>2954400</v>
      </c>
      <c r="G22" s="399">
        <f>'(F6) Shpenzimet sipas funks.bru'!H30</f>
        <v>50000</v>
      </c>
      <c r="H22" s="399">
        <f>'(F6) Shpenzimet sipas funks.bru'!L30</f>
        <v>50000</v>
      </c>
      <c r="I22" s="399">
        <f>'(F6) Shpenzimet sipas funks.bru'!P30</f>
        <v>100000</v>
      </c>
    </row>
    <row r="23" spans="2:9" ht="15" customHeight="1" x14ac:dyDescent="0.2">
      <c r="B23" s="110" t="s">
        <v>348</v>
      </c>
      <c r="C23" s="110" t="str">
        <f>' (F4)Shpenzimet sipas nenf.neto'!B61</f>
        <v>082 Shërbimet kulturore</v>
      </c>
      <c r="D23" s="225">
        <f>'(C1b)Shpenzimet vitet e kaluar '!D126</f>
        <v>0</v>
      </c>
      <c r="E23" s="225">
        <f>'(C1b)Shpenzimet vitet e kaluar '!E126</f>
        <v>0</v>
      </c>
      <c r="F23" s="225">
        <f>'(C1b)Shpenzimet vitet e kaluar '!F126</f>
        <v>2120399</v>
      </c>
      <c r="G23" s="399">
        <f>'(F6) Shpenzimet sipas funks.bru'!H31</f>
        <v>6983300</v>
      </c>
      <c r="H23" s="399">
        <f>'(F6) Shpenzimet sipas funks.bru'!L31</f>
        <v>6198800</v>
      </c>
      <c r="I23" s="399">
        <f>'(F6) Shpenzimet sipas funks.bru'!P31</f>
        <v>5368500</v>
      </c>
    </row>
    <row r="24" spans="2:9" ht="15" customHeight="1" x14ac:dyDescent="0.2">
      <c r="B24" s="110" t="s">
        <v>349</v>
      </c>
      <c r="C24" s="110" t="str">
        <f>' (F4)Shpenzimet sipas nenf.neto'!B65</f>
        <v>091 Arsimi bazë dhe parashkollor</v>
      </c>
      <c r="D24" s="225">
        <f>'(C1b)Shpenzimet vitet e kaluar '!D133</f>
        <v>0</v>
      </c>
      <c r="E24" s="225">
        <f>'(C1b)Shpenzimet vitet e kaluar '!E133</f>
        <v>1578116</v>
      </c>
      <c r="F24" s="225">
        <f>'(C1b)Shpenzimet vitet e kaluar '!F133</f>
        <v>9069559</v>
      </c>
      <c r="G24" s="399">
        <f>'(F6) Shpenzimet sipas funks.bru'!H33</f>
        <v>1850000</v>
      </c>
      <c r="H24" s="399">
        <f>'(F6) Shpenzimet sipas funks.bru'!L33</f>
        <v>1900000</v>
      </c>
      <c r="I24" s="399">
        <f>'(F6) Shpenzimet sipas funks.bru'!P33</f>
        <v>2100000</v>
      </c>
    </row>
    <row r="25" spans="2:9" ht="15" customHeight="1" x14ac:dyDescent="0.2">
      <c r="B25" s="110" t="s">
        <v>350</v>
      </c>
      <c r="C25" s="110" t="str">
        <f>' (F4)Shpenzimet sipas nenf.neto'!B67</f>
        <v>092 Arsimi  parauniversitar</v>
      </c>
      <c r="D25" s="225">
        <f>'(C1b)Shpenzimet vitet e kaluar '!D139</f>
        <v>20759478</v>
      </c>
      <c r="E25" s="225">
        <f>'(C1b)Shpenzimet vitet e kaluar '!E139</f>
        <v>33770277</v>
      </c>
      <c r="F25" s="225">
        <f>'(C1b)Shpenzimet vitet e kaluar '!F139</f>
        <v>23269610</v>
      </c>
      <c r="G25" s="399">
        <f>'(F6) Shpenzimet sipas funks.bru'!H34</f>
        <v>0</v>
      </c>
      <c r="H25" s="399">
        <f>'(F6) Shpenzimet sipas funks.bru'!L34</f>
        <v>0</v>
      </c>
      <c r="I25" s="399">
        <f>'(F6) Shpenzimet sipas funks.bru'!P34</f>
        <v>0</v>
      </c>
    </row>
    <row r="26" spans="2:9" ht="15" customHeight="1" x14ac:dyDescent="0.2">
      <c r="B26" s="110" t="s">
        <v>351</v>
      </c>
      <c r="C26" s="110" t="str">
        <f>' (F4)Shpenzimet sipas nenf.neto'!B71</f>
        <v>101 Sëmundje dhe paaftësi</v>
      </c>
      <c r="D26" s="225">
        <f>'(C1b)Shpenzimet vitet e kaluar '!D150</f>
        <v>0</v>
      </c>
      <c r="E26" s="225">
        <f>'(C1b)Shpenzimet vitet e kaluar '!E150</f>
        <v>0</v>
      </c>
      <c r="F26" s="225">
        <f>'(C1b)Shpenzimet vitet e kaluar '!F150</f>
        <v>0</v>
      </c>
      <c r="G26" s="399">
        <f>'(F6) Shpenzimet sipas funks.bru'!H36</f>
        <v>0</v>
      </c>
      <c r="H26" s="399">
        <f>'(F6) Shpenzimet sipas funks.bru'!L36</f>
        <v>0</v>
      </c>
      <c r="I26" s="399">
        <f>'(F6) Shpenzimet sipas funks.bru'!P36</f>
        <v>0</v>
      </c>
    </row>
    <row r="27" spans="2:9" ht="15" customHeight="1" x14ac:dyDescent="0.2">
      <c r="B27" s="110" t="s">
        <v>352</v>
      </c>
      <c r="C27" s="110" t="str">
        <f>' (F4)Shpenzimet sipas nenf.neto'!B73</f>
        <v>102 Të moshuarit</v>
      </c>
      <c r="D27" s="225">
        <f>'(C1b)Shpenzimet vitet e kaluar '!D155</f>
        <v>0</v>
      </c>
      <c r="E27" s="225">
        <f>'(C1b)Shpenzimet vitet e kaluar '!E155</f>
        <v>0</v>
      </c>
      <c r="F27" s="225">
        <f>'(C1b)Shpenzimet vitet e kaluar '!F155</f>
        <v>0</v>
      </c>
      <c r="G27" s="399">
        <f>'(F6) Shpenzimet sipas funks.bru'!H37</f>
        <v>0</v>
      </c>
      <c r="H27" s="399">
        <f>'(F6) Shpenzimet sipas funks.bru'!L37</f>
        <v>0</v>
      </c>
      <c r="I27" s="399">
        <f>'(F6) Shpenzimet sipas funks.bru'!P37</f>
        <v>0</v>
      </c>
    </row>
    <row r="28" spans="2:9" ht="15" customHeight="1" x14ac:dyDescent="0.2">
      <c r="B28" s="110" t="s">
        <v>353</v>
      </c>
      <c r="C28" s="110" t="str">
        <f>' (F4)Shpenzimet sipas nenf.neto'!B75</f>
        <v>104 Familje dhe fëmijë</v>
      </c>
      <c r="D28" s="225">
        <f>'(C1b)Shpenzimet vitet e kaluar '!D160</f>
        <v>0</v>
      </c>
      <c r="E28" s="225">
        <f>'(C1b)Shpenzimet vitet e kaluar '!E160</f>
        <v>0</v>
      </c>
      <c r="F28" s="225">
        <f>'(C1b)Shpenzimet vitet e kaluar '!F160</f>
        <v>0</v>
      </c>
      <c r="G28" s="399">
        <f>'(F6) Shpenzimet sipas funks.bru'!H38</f>
        <v>0</v>
      </c>
      <c r="H28" s="399">
        <f>'(F6) Shpenzimet sipas funks.bru'!L38</f>
        <v>0</v>
      </c>
      <c r="I28" s="399">
        <f>'(F6) Shpenzimet sipas funks.bru'!P38</f>
        <v>0</v>
      </c>
    </row>
    <row r="29" spans="2:9" ht="15" customHeight="1" x14ac:dyDescent="0.2">
      <c r="B29" s="110" t="s">
        <v>354</v>
      </c>
      <c r="C29" s="110" t="str">
        <f>' (F4)Shpenzimet sipas nenf.neto'!B78</f>
        <v>105 Papunësia</v>
      </c>
      <c r="D29" s="225">
        <f>'(C1b)Shpenzimet vitet e kaluar '!D165</f>
        <v>0</v>
      </c>
      <c r="E29" s="225">
        <f>'(C1b)Shpenzimet vitet e kaluar '!E165</f>
        <v>0</v>
      </c>
      <c r="F29" s="225">
        <f>'(C1b)Shpenzimet vitet e kaluar '!F165</f>
        <v>0</v>
      </c>
      <c r="G29" s="399">
        <f>'(F6) Shpenzimet sipas funks.bru'!H39</f>
        <v>0</v>
      </c>
      <c r="H29" s="399">
        <f>'(F6) Shpenzimet sipas funks.bru'!L39</f>
        <v>0</v>
      </c>
      <c r="I29" s="399">
        <f>'(F6) Shpenzimet sipas funks.bru'!P39</f>
        <v>0</v>
      </c>
    </row>
    <row r="30" spans="2:9" ht="15" customHeight="1" x14ac:dyDescent="0.2">
      <c r="B30" s="110" t="s">
        <v>355</v>
      </c>
      <c r="C30" s="110" t="str">
        <f>' (F4)Shpenzimet sipas nenf.neto'!B80</f>
        <v>106 Strehimi social</v>
      </c>
      <c r="D30" s="225">
        <f>'(C1b)Shpenzimet vitet e kaluar '!D170</f>
        <v>0</v>
      </c>
      <c r="E30" s="225">
        <f>'(C1b)Shpenzimet vitet e kaluar '!E170</f>
        <v>0</v>
      </c>
      <c r="F30" s="225">
        <f>'(C1b)Shpenzimet vitet e kaluar '!F170</f>
        <v>0</v>
      </c>
      <c r="G30" s="399">
        <f>'(F6) Shpenzimet sipas funks.bru'!H40</f>
        <v>0</v>
      </c>
      <c r="H30" s="399">
        <f>'(F6) Shpenzimet sipas funks.bru'!L40</f>
        <v>0</v>
      </c>
      <c r="I30" s="399">
        <f>'(F6) Shpenzimet sipas funks.bru'!P40</f>
        <v>0</v>
      </c>
    </row>
    <row r="31" spans="2:9" ht="15" customHeight="1" x14ac:dyDescent="0.2">
      <c r="B31" s="1514" t="str">
        <f>'(G1) Fjalori'!A426:B426</f>
        <v>Total</v>
      </c>
      <c r="C31" s="1514"/>
      <c r="D31" s="402">
        <f t="shared" ref="D31:I31" si="0">SUM(D4:D30)</f>
        <v>262865245</v>
      </c>
      <c r="E31" s="402">
        <f t="shared" si="0"/>
        <v>102014136</v>
      </c>
      <c r="F31" s="402">
        <f t="shared" si="0"/>
        <v>336972876</v>
      </c>
      <c r="G31" s="401">
        <f t="shared" si="0"/>
        <v>270280988</v>
      </c>
      <c r="H31" s="401">
        <f t="shared" si="0"/>
        <v>209417260</v>
      </c>
      <c r="I31" s="401">
        <f t="shared" si="0"/>
        <v>209773423</v>
      </c>
    </row>
  </sheetData>
  <sheetProtection selectLockedCells="1"/>
  <mergeCells count="2">
    <mergeCell ref="A1:J1"/>
    <mergeCell ref="B31:C31"/>
  </mergeCells>
  <pageMargins left="0.34" right="0.32" top="0.98425196850393704" bottom="0.59" header="0.34" footer="0.31496062992126"/>
  <pageSetup paperSize="9" scale="75" fitToWidth="0" fitToHeight="0" orientation="landscape" r:id="rId1"/>
  <headerFooter>
    <oddHeader>&amp;LPROGRAMI BUXHETOR AFATMESËM&amp;C&amp;8 28 Shkurt 2018&amp;R&amp;A</oddHeader>
    <oddFooter>&amp;L&amp;8Copyright for Albania: Ministry of Finance and Economy / Local Finance Directory&amp;R1</oddFooter>
  </headerFooter>
  <rowBreaks count="1" manualBreakCount="1">
    <brk id="108" max="16383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>
    <tabColor rgb="FFFFCC00"/>
  </sheetPr>
  <dimension ref="A1:M1292"/>
  <sheetViews>
    <sheetView showGridLines="0" topLeftCell="A339" zoomScale="90" zoomScaleNormal="90" workbookViewId="0">
      <selection activeCell="A347" sqref="A347"/>
    </sheetView>
  </sheetViews>
  <sheetFormatPr defaultColWidth="4.140625" defaultRowHeight="20.25" customHeight="1" x14ac:dyDescent="0.35"/>
  <cols>
    <col min="1" max="1" width="51.5703125" style="180" customWidth="1"/>
    <col min="2" max="2" width="89.140625" style="180" customWidth="1"/>
    <col min="3" max="3" width="15.140625" style="180" bestFit="1" customWidth="1"/>
    <col min="4" max="4" width="16.28515625" style="185" customWidth="1"/>
    <col min="5" max="165" width="11.5703125" style="180" customWidth="1"/>
    <col min="166" max="166" width="3.85546875" style="180" customWidth="1"/>
    <col min="167" max="167" width="22" style="180" customWidth="1"/>
    <col min="168" max="170" width="4.140625" style="180" customWidth="1"/>
    <col min="171" max="171" width="5.85546875" style="180" customWidth="1"/>
    <col min="172" max="172" width="4.140625" style="180" customWidth="1"/>
    <col min="173" max="173" width="0.85546875" style="180" customWidth="1"/>
    <col min="174" max="174" width="5.85546875" style="180" customWidth="1"/>
    <col min="175" max="175" width="4.140625" style="180" customWidth="1"/>
    <col min="176" max="176" width="0.85546875" style="180" customWidth="1"/>
    <col min="177" max="177" width="5.85546875" style="180" customWidth="1"/>
    <col min="178" max="178" width="4.140625" style="180" customWidth="1"/>
    <col min="179" max="179" width="0.85546875" style="180" customWidth="1"/>
    <col min="180" max="180" width="5.85546875" style="180" customWidth="1"/>
    <col min="181" max="16384" width="4.140625" style="180"/>
  </cols>
  <sheetData>
    <row r="1" spans="1:4" s="177" customFormat="1" ht="33.75" x14ac:dyDescent="0.5">
      <c r="A1" s="183" t="s">
        <v>1615</v>
      </c>
      <c r="B1" s="183" t="s">
        <v>210</v>
      </c>
      <c r="D1" s="186"/>
    </row>
    <row r="2" spans="1:4" s="181" customFormat="1" ht="21" x14ac:dyDescent="0.35">
      <c r="A2" s="179" t="s">
        <v>720</v>
      </c>
      <c r="B2" s="179"/>
      <c r="D2" s="187"/>
    </row>
    <row r="3" spans="1:4" ht="21" x14ac:dyDescent="0.35">
      <c r="A3" s="61" t="s">
        <v>1045</v>
      </c>
      <c r="B3" s="178" t="s">
        <v>705</v>
      </c>
    </row>
    <row r="4" spans="1:4" ht="21" x14ac:dyDescent="0.35">
      <c r="A4" s="61" t="s">
        <v>1038</v>
      </c>
      <c r="B4" s="178" t="s">
        <v>79</v>
      </c>
    </row>
    <row r="5" spans="1:4" ht="42" x14ac:dyDescent="0.35">
      <c r="A5" s="565" t="s">
        <v>1039</v>
      </c>
      <c r="B5" s="432" t="s">
        <v>943</v>
      </c>
    </row>
    <row r="6" spans="1:4" ht="42" x14ac:dyDescent="0.35">
      <c r="A6" s="565" t="s">
        <v>1040</v>
      </c>
      <c r="B6" s="432" t="s">
        <v>942</v>
      </c>
    </row>
    <row r="7" spans="1:4" ht="42" x14ac:dyDescent="0.35">
      <c r="A7" s="565" t="s">
        <v>1041</v>
      </c>
      <c r="B7" s="432" t="s">
        <v>941</v>
      </c>
    </row>
    <row r="8" spans="1:4" ht="21" x14ac:dyDescent="0.35">
      <c r="A8" s="61" t="s">
        <v>1042</v>
      </c>
      <c r="B8" s="178" t="s">
        <v>945</v>
      </c>
    </row>
    <row r="9" spans="1:4" ht="21" x14ac:dyDescent="0.35">
      <c r="A9" s="61" t="s">
        <v>1043</v>
      </c>
      <c r="B9" s="178" t="s">
        <v>946</v>
      </c>
    </row>
    <row r="10" spans="1:4" ht="21" x14ac:dyDescent="0.35">
      <c r="A10" s="61" t="s">
        <v>1044</v>
      </c>
      <c r="B10" s="178" t="s">
        <v>947</v>
      </c>
    </row>
    <row r="11" spans="1:4" ht="21" x14ac:dyDescent="0.35">
      <c r="A11" s="61" t="s">
        <v>37</v>
      </c>
      <c r="B11" s="178" t="s">
        <v>37</v>
      </c>
    </row>
    <row r="12" spans="1:4" s="181" customFormat="1" ht="21" x14ac:dyDescent="0.35">
      <c r="A12" s="179" t="s">
        <v>719</v>
      </c>
      <c r="B12" s="179"/>
      <c r="D12" s="187"/>
    </row>
    <row r="13" spans="1:4" ht="21" x14ac:dyDescent="0.35">
      <c r="A13" s="61" t="s">
        <v>1046</v>
      </c>
      <c r="B13" s="178" t="s">
        <v>88</v>
      </c>
    </row>
    <row r="14" spans="1:4" ht="21" x14ac:dyDescent="0.35">
      <c r="A14" s="61" t="s">
        <v>1047</v>
      </c>
      <c r="B14" s="178" t="s">
        <v>981</v>
      </c>
    </row>
    <row r="15" spans="1:4" ht="21" x14ac:dyDescent="0.35">
      <c r="A15" s="61" t="s">
        <v>1048</v>
      </c>
      <c r="B15" s="178" t="s">
        <v>80</v>
      </c>
    </row>
    <row r="16" spans="1:4" ht="21" x14ac:dyDescent="0.35">
      <c r="A16" s="61" t="s">
        <v>1049</v>
      </c>
      <c r="B16" s="178" t="s">
        <v>81</v>
      </c>
    </row>
    <row r="17" spans="1:4" ht="21" x14ac:dyDescent="0.35">
      <c r="A17" s="61" t="s">
        <v>1050</v>
      </c>
      <c r="B17" s="178" t="s">
        <v>82</v>
      </c>
    </row>
    <row r="18" spans="1:4" ht="21" x14ac:dyDescent="0.35">
      <c r="A18" s="61" t="s">
        <v>1051</v>
      </c>
      <c r="B18" s="178" t="s">
        <v>83</v>
      </c>
    </row>
    <row r="19" spans="1:4" ht="21" x14ac:dyDescent="0.35">
      <c r="A19" s="61" t="s">
        <v>1052</v>
      </c>
      <c r="B19" s="178" t="s">
        <v>84</v>
      </c>
    </row>
    <row r="20" spans="1:4" ht="21" x14ac:dyDescent="0.35">
      <c r="A20" s="61" t="s">
        <v>1053</v>
      </c>
      <c r="B20" s="178" t="s">
        <v>85</v>
      </c>
    </row>
    <row r="21" spans="1:4" ht="21" x14ac:dyDescent="0.35">
      <c r="A21" s="61" t="s">
        <v>1054</v>
      </c>
      <c r="B21" s="178" t="s">
        <v>336</v>
      </c>
    </row>
    <row r="22" spans="1:4" ht="21" x14ac:dyDescent="0.35">
      <c r="A22" s="61" t="s">
        <v>1055</v>
      </c>
      <c r="B22" s="178" t="s">
        <v>229</v>
      </c>
    </row>
    <row r="23" spans="1:4" ht="21" x14ac:dyDescent="0.35">
      <c r="A23" s="61" t="s">
        <v>1056</v>
      </c>
      <c r="B23" s="178" t="s">
        <v>746</v>
      </c>
    </row>
    <row r="24" spans="1:4" ht="21" x14ac:dyDescent="0.35">
      <c r="A24" s="61" t="s">
        <v>1057</v>
      </c>
      <c r="B24" s="178" t="s">
        <v>747</v>
      </c>
    </row>
    <row r="25" spans="1:4" ht="21" x14ac:dyDescent="0.35">
      <c r="A25" s="394" t="s">
        <v>1058</v>
      </c>
      <c r="B25" s="354" t="s">
        <v>928</v>
      </c>
    </row>
    <row r="26" spans="1:4" s="181" customFormat="1" ht="21" x14ac:dyDescent="0.35">
      <c r="A26" s="179" t="s">
        <v>718</v>
      </c>
      <c r="B26" s="179"/>
      <c r="D26" s="187"/>
    </row>
    <row r="27" spans="1:4" ht="21" x14ac:dyDescent="0.35">
      <c r="A27" s="61" t="s">
        <v>1059</v>
      </c>
      <c r="B27" s="178" t="s">
        <v>546</v>
      </c>
    </row>
    <row r="28" spans="1:4" ht="21" x14ac:dyDescent="0.35">
      <c r="A28" s="61" t="s">
        <v>1060</v>
      </c>
      <c r="B28" s="178" t="s">
        <v>86</v>
      </c>
    </row>
    <row r="29" spans="1:4" ht="21" x14ac:dyDescent="0.35">
      <c r="A29" s="61" t="s">
        <v>1748</v>
      </c>
      <c r="B29" s="178" t="s">
        <v>96</v>
      </c>
    </row>
    <row r="30" spans="1:4" ht="21" x14ac:dyDescent="0.35">
      <c r="A30" s="61" t="s">
        <v>1061</v>
      </c>
      <c r="B30" s="178" t="s">
        <v>753</v>
      </c>
    </row>
    <row r="31" spans="1:4" ht="21" x14ac:dyDescent="0.35">
      <c r="A31" s="61" t="s">
        <v>1062</v>
      </c>
      <c r="B31" s="178" t="s">
        <v>95</v>
      </c>
    </row>
    <row r="32" spans="1:4" ht="21" x14ac:dyDescent="0.35">
      <c r="A32" s="61" t="s">
        <v>1063</v>
      </c>
      <c r="B32" s="178" t="s">
        <v>94</v>
      </c>
    </row>
    <row r="33" spans="1:2" ht="21" x14ac:dyDescent="0.35">
      <c r="A33" s="61" t="s">
        <v>1064</v>
      </c>
      <c r="B33" s="178" t="s">
        <v>96</v>
      </c>
    </row>
    <row r="34" spans="1:2" ht="21" x14ac:dyDescent="0.35">
      <c r="A34" s="61" t="s">
        <v>1065</v>
      </c>
      <c r="B34" s="178" t="s">
        <v>748</v>
      </c>
    </row>
    <row r="35" spans="1:2" ht="21" x14ac:dyDescent="0.35">
      <c r="A35" s="61" t="s">
        <v>1922</v>
      </c>
      <c r="B35" s="178" t="s">
        <v>584</v>
      </c>
    </row>
    <row r="36" spans="1:2" ht="21" x14ac:dyDescent="0.35">
      <c r="A36" s="61" t="s">
        <v>1912</v>
      </c>
      <c r="B36" s="178" t="s">
        <v>1913</v>
      </c>
    </row>
    <row r="37" spans="1:2" ht="21" x14ac:dyDescent="0.35">
      <c r="A37" s="61" t="s">
        <v>1914</v>
      </c>
      <c r="B37" s="178" t="s">
        <v>242</v>
      </c>
    </row>
    <row r="38" spans="1:2" ht="21" x14ac:dyDescent="0.35">
      <c r="A38" s="61" t="s">
        <v>1915</v>
      </c>
      <c r="B38" s="178" t="s">
        <v>243</v>
      </c>
    </row>
    <row r="39" spans="1:2" ht="21" x14ac:dyDescent="0.35">
      <c r="A39" s="61" t="s">
        <v>1918</v>
      </c>
      <c r="B39" s="110" t="s">
        <v>1919</v>
      </c>
    </row>
    <row r="40" spans="1:2" ht="21" x14ac:dyDescent="0.35">
      <c r="A40" s="61" t="s">
        <v>1066</v>
      </c>
      <c r="B40" s="178" t="s">
        <v>244</v>
      </c>
    </row>
    <row r="41" spans="1:2" ht="21" x14ac:dyDescent="0.35">
      <c r="A41" s="61" t="s">
        <v>1067</v>
      </c>
      <c r="B41" s="178" t="s">
        <v>245</v>
      </c>
    </row>
    <row r="42" spans="1:2" ht="21" x14ac:dyDescent="0.35">
      <c r="A42" s="61" t="s">
        <v>1068</v>
      </c>
      <c r="B42" s="178" t="s">
        <v>246</v>
      </c>
    </row>
    <row r="43" spans="1:2" ht="21" x14ac:dyDescent="0.35">
      <c r="A43" s="61" t="s">
        <v>1069</v>
      </c>
      <c r="B43" s="178" t="s">
        <v>247</v>
      </c>
    </row>
    <row r="44" spans="1:2" ht="21" x14ac:dyDescent="0.35">
      <c r="A44" s="61" t="s">
        <v>2027</v>
      </c>
      <c r="B44" s="178" t="s">
        <v>248</v>
      </c>
    </row>
    <row r="45" spans="1:2" ht="21" x14ac:dyDescent="0.35">
      <c r="A45" s="61" t="s">
        <v>1070</v>
      </c>
      <c r="B45" s="178" t="s">
        <v>249</v>
      </c>
    </row>
    <row r="46" spans="1:2" ht="21" x14ac:dyDescent="0.35">
      <c r="A46" s="61" t="s">
        <v>1858</v>
      </c>
      <c r="B46" s="178" t="s">
        <v>250</v>
      </c>
    </row>
    <row r="47" spans="1:2" ht="21" x14ac:dyDescent="0.35">
      <c r="A47" s="61" t="s">
        <v>1716</v>
      </c>
      <c r="B47" s="178" t="s">
        <v>251</v>
      </c>
    </row>
    <row r="48" spans="1:2" ht="21" x14ac:dyDescent="0.35">
      <c r="A48" s="61" t="s">
        <v>1924</v>
      </c>
      <c r="B48" s="178" t="s">
        <v>252</v>
      </c>
    </row>
    <row r="49" spans="1:2" ht="21" x14ac:dyDescent="0.35">
      <c r="A49" s="61" t="s">
        <v>1071</v>
      </c>
      <c r="B49" s="178" t="s">
        <v>253</v>
      </c>
    </row>
    <row r="50" spans="1:2" ht="21" x14ac:dyDescent="0.35">
      <c r="A50" s="61" t="s">
        <v>1072</v>
      </c>
      <c r="B50" s="178" t="s">
        <v>254</v>
      </c>
    </row>
    <row r="51" spans="1:2" ht="21" x14ac:dyDescent="0.35">
      <c r="A51" s="61" t="s">
        <v>1073</v>
      </c>
      <c r="B51" s="178" t="s">
        <v>255</v>
      </c>
    </row>
    <row r="52" spans="1:2" ht="21" x14ac:dyDescent="0.35">
      <c r="A52" s="61" t="s">
        <v>1923</v>
      </c>
      <c r="B52" s="178" t="s">
        <v>1920</v>
      </c>
    </row>
    <row r="53" spans="1:2" ht="21" x14ac:dyDescent="0.35">
      <c r="A53" s="61" t="s">
        <v>1074</v>
      </c>
      <c r="B53" s="178" t="s">
        <v>256</v>
      </c>
    </row>
    <row r="54" spans="1:2" ht="21" x14ac:dyDescent="0.35">
      <c r="A54" s="61" t="s">
        <v>1075</v>
      </c>
      <c r="B54" s="178" t="s">
        <v>257</v>
      </c>
    </row>
    <row r="55" spans="1:2" ht="21" x14ac:dyDescent="0.35">
      <c r="A55" s="61" t="s">
        <v>1076</v>
      </c>
      <c r="B55" s="178" t="s">
        <v>259</v>
      </c>
    </row>
    <row r="56" spans="1:2" ht="21" x14ac:dyDescent="0.35">
      <c r="A56" s="61" t="s">
        <v>1925</v>
      </c>
      <c r="B56" s="178" t="s">
        <v>258</v>
      </c>
    </row>
    <row r="57" spans="1:2" ht="21" x14ac:dyDescent="0.35">
      <c r="A57" s="568" t="s">
        <v>1077</v>
      </c>
      <c r="B57" s="637" t="s">
        <v>260</v>
      </c>
    </row>
    <row r="58" spans="1:2" ht="21" x14ac:dyDescent="0.35">
      <c r="A58" s="61" t="s">
        <v>1078</v>
      </c>
      <c r="B58" s="178" t="s">
        <v>261</v>
      </c>
    </row>
    <row r="59" spans="1:2" ht="21" x14ac:dyDescent="0.35">
      <c r="A59" s="61" t="s">
        <v>1079</v>
      </c>
      <c r="B59" s="178" t="s">
        <v>262</v>
      </c>
    </row>
    <row r="60" spans="1:2" ht="21" x14ac:dyDescent="0.35">
      <c r="A60" s="61" t="s">
        <v>1080</v>
      </c>
      <c r="B60" s="178" t="s">
        <v>263</v>
      </c>
    </row>
    <row r="61" spans="1:2" ht="21" x14ac:dyDescent="0.35">
      <c r="A61" s="61" t="s">
        <v>1081</v>
      </c>
      <c r="B61" s="178" t="s">
        <v>264</v>
      </c>
    </row>
    <row r="62" spans="1:2" ht="21" x14ac:dyDescent="0.35">
      <c r="A62" s="61" t="s">
        <v>1917</v>
      </c>
      <c r="B62" s="178" t="s">
        <v>265</v>
      </c>
    </row>
    <row r="63" spans="1:2" ht="21" x14ac:dyDescent="0.35">
      <c r="A63" s="568" t="s">
        <v>1082</v>
      </c>
      <c r="B63" s="637" t="s">
        <v>266</v>
      </c>
    </row>
    <row r="64" spans="1:2" ht="21" x14ac:dyDescent="0.35">
      <c r="A64" s="61" t="s">
        <v>1720</v>
      </c>
      <c r="B64" s="178" t="s">
        <v>46</v>
      </c>
    </row>
    <row r="65" spans="1:2" ht="21" x14ac:dyDescent="0.35">
      <c r="A65" s="61" t="s">
        <v>1721</v>
      </c>
      <c r="B65" s="178" t="s">
        <v>47</v>
      </c>
    </row>
    <row r="66" spans="1:2" ht="21" x14ac:dyDescent="0.35">
      <c r="A66" s="61" t="s">
        <v>1722</v>
      </c>
      <c r="B66" s="178" t="s">
        <v>48</v>
      </c>
    </row>
    <row r="67" spans="1:2" ht="21" x14ac:dyDescent="0.35">
      <c r="A67" s="61" t="s">
        <v>1723</v>
      </c>
      <c r="B67" s="178" t="s">
        <v>49</v>
      </c>
    </row>
    <row r="68" spans="1:2" ht="21" x14ac:dyDescent="0.35">
      <c r="A68" s="61" t="s">
        <v>1724</v>
      </c>
      <c r="B68" s="178" t="s">
        <v>50</v>
      </c>
    </row>
    <row r="69" spans="1:2" ht="21" x14ac:dyDescent="0.35">
      <c r="A69" s="61" t="s">
        <v>1725</v>
      </c>
      <c r="B69" s="178" t="s">
        <v>51</v>
      </c>
    </row>
    <row r="70" spans="1:2" ht="21" x14ac:dyDescent="0.35">
      <c r="A70" s="61" t="s">
        <v>1726</v>
      </c>
      <c r="B70" s="178" t="s">
        <v>52</v>
      </c>
    </row>
    <row r="71" spans="1:2" ht="21" x14ac:dyDescent="0.35">
      <c r="A71" s="61" t="s">
        <v>1727</v>
      </c>
      <c r="B71" s="178" t="s">
        <v>53</v>
      </c>
    </row>
    <row r="72" spans="1:2" ht="21" x14ac:dyDescent="0.35">
      <c r="A72" s="61" t="s">
        <v>1728</v>
      </c>
      <c r="B72" s="178" t="s">
        <v>54</v>
      </c>
    </row>
    <row r="73" spans="1:2" ht="21" x14ac:dyDescent="0.35">
      <c r="A73" s="61" t="s">
        <v>1729</v>
      </c>
      <c r="B73" s="178" t="s">
        <v>55</v>
      </c>
    </row>
    <row r="74" spans="1:2" ht="21" x14ac:dyDescent="0.35">
      <c r="A74" s="61" t="s">
        <v>1730</v>
      </c>
      <c r="B74" s="178" t="s">
        <v>56</v>
      </c>
    </row>
    <row r="75" spans="1:2" ht="21" x14ac:dyDescent="0.35">
      <c r="A75" s="61" t="s">
        <v>1731</v>
      </c>
      <c r="B75" s="178" t="s">
        <v>57</v>
      </c>
    </row>
    <row r="76" spans="1:2" ht="21" x14ac:dyDescent="0.35">
      <c r="A76" s="61" t="s">
        <v>1732</v>
      </c>
      <c r="B76" s="178" t="s">
        <v>58</v>
      </c>
    </row>
    <row r="77" spans="1:2" ht="21" x14ac:dyDescent="0.35">
      <c r="A77" s="61" t="s">
        <v>1733</v>
      </c>
      <c r="B77" s="178" t="s">
        <v>59</v>
      </c>
    </row>
    <row r="78" spans="1:2" ht="21" x14ac:dyDescent="0.35">
      <c r="A78" s="61" t="s">
        <v>1734</v>
      </c>
      <c r="B78" s="178" t="s">
        <v>60</v>
      </c>
    </row>
    <row r="79" spans="1:2" ht="21" x14ac:dyDescent="0.35">
      <c r="A79" s="61" t="s">
        <v>1735</v>
      </c>
      <c r="B79" s="178" t="s">
        <v>77</v>
      </c>
    </row>
    <row r="80" spans="1:2" ht="21" x14ac:dyDescent="0.35">
      <c r="A80" s="61" t="s">
        <v>1736</v>
      </c>
      <c r="B80" s="178" t="s">
        <v>230</v>
      </c>
    </row>
    <row r="81" spans="1:4" ht="21" x14ac:dyDescent="0.35">
      <c r="A81" s="61" t="s">
        <v>1737</v>
      </c>
      <c r="B81" s="178" t="s">
        <v>231</v>
      </c>
    </row>
    <row r="82" spans="1:4" ht="21" x14ac:dyDescent="0.35">
      <c r="A82" s="61" t="s">
        <v>1738</v>
      </c>
      <c r="B82" s="178" t="s">
        <v>232</v>
      </c>
    </row>
    <row r="83" spans="1:4" ht="21" x14ac:dyDescent="0.35">
      <c r="A83" s="61" t="s">
        <v>1740</v>
      </c>
      <c r="B83" s="178" t="s">
        <v>233</v>
      </c>
    </row>
    <row r="84" spans="1:4" ht="21" x14ac:dyDescent="0.35">
      <c r="A84" s="61" t="s">
        <v>1739</v>
      </c>
      <c r="B84" s="178" t="s">
        <v>234</v>
      </c>
    </row>
    <row r="85" spans="1:4" ht="21" x14ac:dyDescent="0.35">
      <c r="A85" s="61" t="s">
        <v>1741</v>
      </c>
      <c r="B85" s="178" t="s">
        <v>235</v>
      </c>
    </row>
    <row r="86" spans="1:4" ht="21" x14ac:dyDescent="0.35">
      <c r="A86" s="568" t="s">
        <v>1742</v>
      </c>
      <c r="B86" s="637" t="s">
        <v>236</v>
      </c>
    </row>
    <row r="87" spans="1:4" ht="21" x14ac:dyDescent="0.35">
      <c r="A87" s="61" t="s">
        <v>1742</v>
      </c>
      <c r="B87" s="178" t="s">
        <v>236</v>
      </c>
    </row>
    <row r="88" spans="1:4" ht="21" x14ac:dyDescent="0.35">
      <c r="A88" s="61" t="s">
        <v>1743</v>
      </c>
      <c r="B88" s="178" t="s">
        <v>237</v>
      </c>
    </row>
    <row r="89" spans="1:4" ht="21" x14ac:dyDescent="0.35">
      <c r="A89" s="61" t="s">
        <v>1744</v>
      </c>
      <c r="B89" s="178" t="s">
        <v>238</v>
      </c>
    </row>
    <row r="90" spans="1:4" ht="21" x14ac:dyDescent="0.35">
      <c r="A90" s="61" t="s">
        <v>1745</v>
      </c>
      <c r="B90" s="178" t="s">
        <v>239</v>
      </c>
    </row>
    <row r="91" spans="1:4" ht="21" x14ac:dyDescent="0.35">
      <c r="A91" s="61" t="s">
        <v>1746</v>
      </c>
      <c r="B91" s="178" t="s">
        <v>240</v>
      </c>
    </row>
    <row r="92" spans="1:4" ht="21" x14ac:dyDescent="0.35">
      <c r="A92" s="568" t="s">
        <v>1747</v>
      </c>
      <c r="B92" s="637" t="s">
        <v>241</v>
      </c>
    </row>
    <row r="93" spans="1:4" s="181" customFormat="1" ht="21" x14ac:dyDescent="0.35">
      <c r="A93" s="179" t="s">
        <v>717</v>
      </c>
      <c r="B93" s="179"/>
      <c r="D93" s="187"/>
    </row>
    <row r="94" spans="1:4" ht="21" x14ac:dyDescent="0.35">
      <c r="A94" s="61" t="s">
        <v>1854</v>
      </c>
      <c r="B94" s="178" t="s">
        <v>716</v>
      </c>
    </row>
    <row r="95" spans="1:4" ht="21" x14ac:dyDescent="0.35">
      <c r="A95" s="207" t="s">
        <v>1064</v>
      </c>
      <c r="B95" s="178" t="s">
        <v>585</v>
      </c>
    </row>
    <row r="96" spans="1:4" ht="21" x14ac:dyDescent="0.35">
      <c r="A96" s="207" t="s">
        <v>1852</v>
      </c>
      <c r="B96" s="178" t="s">
        <v>691</v>
      </c>
    </row>
    <row r="97" spans="1:2" ht="21" x14ac:dyDescent="0.35">
      <c r="A97" s="207" t="s">
        <v>1853</v>
      </c>
      <c r="B97" s="178" t="s">
        <v>1018</v>
      </c>
    </row>
    <row r="98" spans="1:2" ht="21" x14ac:dyDescent="0.35">
      <c r="A98" s="207" t="s">
        <v>1099</v>
      </c>
      <c r="B98" s="178" t="s">
        <v>710</v>
      </c>
    </row>
    <row r="99" spans="1:2" ht="21" x14ac:dyDescent="0.35">
      <c r="A99" s="207" t="s">
        <v>1100</v>
      </c>
      <c r="B99" s="178" t="s">
        <v>711</v>
      </c>
    </row>
    <row r="100" spans="1:2" ht="21" x14ac:dyDescent="0.35">
      <c r="A100" s="207" t="s">
        <v>1101</v>
      </c>
      <c r="B100" s="178" t="s">
        <v>940</v>
      </c>
    </row>
    <row r="101" spans="1:2" ht="21" x14ac:dyDescent="0.35">
      <c r="A101" s="61" t="s">
        <v>1749</v>
      </c>
      <c r="B101" s="178" t="s">
        <v>360</v>
      </c>
    </row>
    <row r="102" spans="1:2" ht="21" x14ac:dyDescent="0.35">
      <c r="A102" s="61" t="s">
        <v>1750</v>
      </c>
      <c r="B102" s="178" t="s">
        <v>361</v>
      </c>
    </row>
    <row r="103" spans="1:2" ht="21" x14ac:dyDescent="0.35">
      <c r="A103" s="61" t="s">
        <v>1751</v>
      </c>
      <c r="B103" s="178" t="s">
        <v>362</v>
      </c>
    </row>
    <row r="104" spans="1:2" ht="21" x14ac:dyDescent="0.35">
      <c r="A104" s="61" t="s">
        <v>1752</v>
      </c>
      <c r="B104" s="178" t="s">
        <v>363</v>
      </c>
    </row>
    <row r="105" spans="1:2" ht="21" x14ac:dyDescent="0.35">
      <c r="A105" s="61" t="s">
        <v>1753</v>
      </c>
      <c r="B105" s="178" t="s">
        <v>677</v>
      </c>
    </row>
    <row r="106" spans="1:2" ht="21" x14ac:dyDescent="0.35">
      <c r="A106" s="61" t="s">
        <v>1754</v>
      </c>
      <c r="B106" s="178" t="s">
        <v>1016</v>
      </c>
    </row>
    <row r="107" spans="1:2" ht="21" x14ac:dyDescent="0.35">
      <c r="A107" s="61" t="s">
        <v>1755</v>
      </c>
      <c r="B107" s="178" t="s">
        <v>364</v>
      </c>
    </row>
    <row r="108" spans="1:2" ht="21" x14ac:dyDescent="0.35">
      <c r="A108" s="61" t="s">
        <v>1756</v>
      </c>
      <c r="B108" s="178" t="s">
        <v>365</v>
      </c>
    </row>
    <row r="109" spans="1:2" ht="21" x14ac:dyDescent="0.35">
      <c r="A109" s="61" t="s">
        <v>1757</v>
      </c>
      <c r="B109" s="178" t="s">
        <v>452</v>
      </c>
    </row>
    <row r="110" spans="1:2" ht="21" x14ac:dyDescent="0.35">
      <c r="A110" s="61" t="s">
        <v>1758</v>
      </c>
      <c r="B110" s="178" t="s">
        <v>366</v>
      </c>
    </row>
    <row r="111" spans="1:2" ht="21" x14ac:dyDescent="0.35">
      <c r="A111" s="61" t="s">
        <v>1759</v>
      </c>
      <c r="B111" s="178" t="s">
        <v>982</v>
      </c>
    </row>
    <row r="112" spans="1:2" ht="21" x14ac:dyDescent="0.35">
      <c r="A112" s="61" t="s">
        <v>1760</v>
      </c>
      <c r="B112" s="178" t="s">
        <v>367</v>
      </c>
    </row>
    <row r="113" spans="1:2" ht="21" x14ac:dyDescent="0.35">
      <c r="A113" s="61" t="s">
        <v>1761</v>
      </c>
      <c r="B113" s="178" t="s">
        <v>370</v>
      </c>
    </row>
    <row r="114" spans="1:2" ht="21" x14ac:dyDescent="0.35">
      <c r="A114" s="61" t="s">
        <v>1762</v>
      </c>
      <c r="B114" s="178" t="s">
        <v>371</v>
      </c>
    </row>
    <row r="115" spans="1:2" ht="21" x14ac:dyDescent="0.35">
      <c r="A115" s="61" t="s">
        <v>1763</v>
      </c>
      <c r="B115" s="178" t="s">
        <v>379</v>
      </c>
    </row>
    <row r="116" spans="1:2" ht="21" x14ac:dyDescent="0.35">
      <c r="A116" s="61" t="s">
        <v>1764</v>
      </c>
      <c r="B116" s="178" t="s">
        <v>368</v>
      </c>
    </row>
    <row r="117" spans="1:2" ht="21" x14ac:dyDescent="0.35">
      <c r="A117" s="61" t="s">
        <v>1765</v>
      </c>
      <c r="B117" s="178" t="s">
        <v>453</v>
      </c>
    </row>
    <row r="118" spans="1:2" ht="21" x14ac:dyDescent="0.35">
      <c r="A118" s="61" t="s">
        <v>1766</v>
      </c>
      <c r="B118" s="178" t="s">
        <v>372</v>
      </c>
    </row>
    <row r="119" spans="1:2" ht="21" x14ac:dyDescent="0.35">
      <c r="A119" s="61" t="s">
        <v>1767</v>
      </c>
      <c r="B119" s="178" t="s">
        <v>373</v>
      </c>
    </row>
    <row r="120" spans="1:2" ht="21" x14ac:dyDescent="0.35">
      <c r="A120" s="61" t="s">
        <v>1768</v>
      </c>
      <c r="B120" s="178" t="s">
        <v>369</v>
      </c>
    </row>
    <row r="121" spans="1:2" ht="21" x14ac:dyDescent="0.35">
      <c r="A121" s="61" t="s">
        <v>1769</v>
      </c>
      <c r="B121" s="178" t="s">
        <v>374</v>
      </c>
    </row>
    <row r="122" spans="1:2" ht="21" x14ac:dyDescent="0.35">
      <c r="A122" s="61" t="s">
        <v>1770</v>
      </c>
      <c r="B122" s="178" t="s">
        <v>375</v>
      </c>
    </row>
    <row r="123" spans="1:2" ht="21" x14ac:dyDescent="0.35">
      <c r="A123" s="61" t="s">
        <v>1771</v>
      </c>
      <c r="B123" s="178" t="s">
        <v>376</v>
      </c>
    </row>
    <row r="124" spans="1:2" ht="21" x14ac:dyDescent="0.35">
      <c r="A124" s="61" t="s">
        <v>1772</v>
      </c>
      <c r="B124" s="178" t="s">
        <v>377</v>
      </c>
    </row>
    <row r="125" spans="1:2" ht="21" x14ac:dyDescent="0.35">
      <c r="A125" s="61" t="s">
        <v>1773</v>
      </c>
      <c r="B125" s="178" t="s">
        <v>456</v>
      </c>
    </row>
    <row r="126" spans="1:2" ht="21" x14ac:dyDescent="0.35">
      <c r="A126" s="61" t="s">
        <v>1774</v>
      </c>
      <c r="B126" s="178" t="s">
        <v>1015</v>
      </c>
    </row>
    <row r="127" spans="1:2" ht="21" x14ac:dyDescent="0.35">
      <c r="A127" s="61" t="s">
        <v>1775</v>
      </c>
      <c r="B127" s="178" t="s">
        <v>378</v>
      </c>
    </row>
    <row r="128" spans="1:2" ht="21" x14ac:dyDescent="0.35">
      <c r="A128" s="61" t="s">
        <v>1776</v>
      </c>
      <c r="B128" s="178" t="s">
        <v>380</v>
      </c>
    </row>
    <row r="129" spans="1:2" ht="21" x14ac:dyDescent="0.35">
      <c r="A129" s="61" t="s">
        <v>1777</v>
      </c>
      <c r="B129" s="178" t="s">
        <v>381</v>
      </c>
    </row>
    <row r="130" spans="1:2" ht="21" x14ac:dyDescent="0.35">
      <c r="A130" s="61" t="s">
        <v>1778</v>
      </c>
      <c r="B130" s="178" t="s">
        <v>382</v>
      </c>
    </row>
    <row r="131" spans="1:2" ht="21" x14ac:dyDescent="0.35">
      <c r="A131" s="61" t="s">
        <v>1779</v>
      </c>
      <c r="B131" s="178" t="s">
        <v>457</v>
      </c>
    </row>
    <row r="132" spans="1:2" ht="21" x14ac:dyDescent="0.35">
      <c r="A132" s="61" t="s">
        <v>1780</v>
      </c>
      <c r="B132" s="178" t="s">
        <v>458</v>
      </c>
    </row>
    <row r="133" spans="1:2" ht="21" x14ac:dyDescent="0.35">
      <c r="A133" s="61" t="s">
        <v>1781</v>
      </c>
      <c r="B133" s="178" t="s">
        <v>383</v>
      </c>
    </row>
    <row r="134" spans="1:2" ht="21" x14ac:dyDescent="0.35">
      <c r="A134" s="61" t="s">
        <v>1782</v>
      </c>
      <c r="B134" s="178" t="s">
        <v>384</v>
      </c>
    </row>
    <row r="135" spans="1:2" ht="21" x14ac:dyDescent="0.35">
      <c r="A135" s="61" t="s">
        <v>1783</v>
      </c>
      <c r="B135" s="178" t="s">
        <v>385</v>
      </c>
    </row>
    <row r="136" spans="1:2" ht="21" x14ac:dyDescent="0.35">
      <c r="A136" s="61" t="s">
        <v>1784</v>
      </c>
      <c r="B136" s="178" t="s">
        <v>386</v>
      </c>
    </row>
    <row r="137" spans="1:2" ht="21" x14ac:dyDescent="0.35">
      <c r="A137" s="61" t="s">
        <v>1785</v>
      </c>
      <c r="B137" s="178" t="s">
        <v>387</v>
      </c>
    </row>
    <row r="138" spans="1:2" ht="21" x14ac:dyDescent="0.35">
      <c r="A138" s="61" t="s">
        <v>1786</v>
      </c>
      <c r="B138" s="178" t="s">
        <v>454</v>
      </c>
    </row>
    <row r="139" spans="1:2" ht="21" x14ac:dyDescent="0.35">
      <c r="A139" s="61" t="s">
        <v>1787</v>
      </c>
      <c r="B139" s="178" t="s">
        <v>455</v>
      </c>
    </row>
    <row r="140" spans="1:2" ht="21" x14ac:dyDescent="0.35">
      <c r="A140" s="61" t="s">
        <v>1788</v>
      </c>
      <c r="B140" s="178" t="s">
        <v>388</v>
      </c>
    </row>
    <row r="141" spans="1:2" ht="21" x14ac:dyDescent="0.35">
      <c r="A141" s="61" t="s">
        <v>1789</v>
      </c>
      <c r="B141" s="178" t="s">
        <v>389</v>
      </c>
    </row>
    <row r="142" spans="1:2" ht="21" x14ac:dyDescent="0.35">
      <c r="A142" s="61" t="s">
        <v>1790</v>
      </c>
      <c r="B142" s="178" t="s">
        <v>390</v>
      </c>
    </row>
    <row r="143" spans="1:2" ht="21" x14ac:dyDescent="0.35">
      <c r="A143" s="61" t="s">
        <v>1791</v>
      </c>
      <c r="B143" s="178" t="s">
        <v>391</v>
      </c>
    </row>
    <row r="144" spans="1:2" ht="21" x14ac:dyDescent="0.35">
      <c r="A144" s="61" t="s">
        <v>1792</v>
      </c>
      <c r="B144" s="178" t="s">
        <v>392</v>
      </c>
    </row>
    <row r="145" spans="1:2" ht="21" x14ac:dyDescent="0.35">
      <c r="A145" s="61" t="s">
        <v>1793</v>
      </c>
      <c r="B145" s="178" t="s">
        <v>393</v>
      </c>
    </row>
    <row r="146" spans="1:2" ht="21" x14ac:dyDescent="0.35">
      <c r="A146" s="61" t="s">
        <v>1794</v>
      </c>
      <c r="B146" s="178" t="s">
        <v>394</v>
      </c>
    </row>
    <row r="147" spans="1:2" ht="21" x14ac:dyDescent="0.35">
      <c r="A147" s="61" t="s">
        <v>1795</v>
      </c>
      <c r="B147" s="178" t="s">
        <v>395</v>
      </c>
    </row>
    <row r="148" spans="1:2" ht="21" x14ac:dyDescent="0.35">
      <c r="A148" s="61" t="s">
        <v>1796</v>
      </c>
      <c r="B148" s="178" t="s">
        <v>396</v>
      </c>
    </row>
    <row r="149" spans="1:2" ht="21" x14ac:dyDescent="0.35">
      <c r="A149" s="61" t="s">
        <v>1797</v>
      </c>
      <c r="B149" s="178" t="s">
        <v>397</v>
      </c>
    </row>
    <row r="150" spans="1:2" ht="21" x14ac:dyDescent="0.35">
      <c r="A150" s="61" t="s">
        <v>1798</v>
      </c>
      <c r="B150" s="178" t="s">
        <v>398</v>
      </c>
    </row>
    <row r="151" spans="1:2" ht="21" x14ac:dyDescent="0.35">
      <c r="A151" s="61" t="s">
        <v>1799</v>
      </c>
      <c r="B151" s="178" t="s">
        <v>399</v>
      </c>
    </row>
    <row r="152" spans="1:2" ht="21" x14ac:dyDescent="0.35">
      <c r="A152" s="61" t="s">
        <v>1800</v>
      </c>
      <c r="B152" s="178" t="s">
        <v>400</v>
      </c>
    </row>
    <row r="153" spans="1:2" ht="21" x14ac:dyDescent="0.35">
      <c r="A153" s="61" t="s">
        <v>1801</v>
      </c>
      <c r="B153" s="178" t="s">
        <v>401</v>
      </c>
    </row>
    <row r="154" spans="1:2" ht="21" x14ac:dyDescent="0.35">
      <c r="A154" s="61" t="s">
        <v>1802</v>
      </c>
      <c r="B154" s="178" t="s">
        <v>402</v>
      </c>
    </row>
    <row r="155" spans="1:2" ht="21" x14ac:dyDescent="0.35">
      <c r="A155" s="61" t="s">
        <v>1803</v>
      </c>
      <c r="B155" s="178" t="s">
        <v>403</v>
      </c>
    </row>
    <row r="156" spans="1:2" ht="21" x14ac:dyDescent="0.35">
      <c r="A156" s="61" t="s">
        <v>1804</v>
      </c>
      <c r="B156" s="178" t="s">
        <v>404</v>
      </c>
    </row>
    <row r="157" spans="1:2" ht="21" x14ac:dyDescent="0.35">
      <c r="A157" s="61" t="s">
        <v>1805</v>
      </c>
      <c r="B157" s="178" t="s">
        <v>405</v>
      </c>
    </row>
    <row r="158" spans="1:2" ht="21" x14ac:dyDescent="0.35">
      <c r="A158" s="61" t="s">
        <v>1806</v>
      </c>
      <c r="B158" s="178" t="s">
        <v>406</v>
      </c>
    </row>
    <row r="159" spans="1:2" ht="21" x14ac:dyDescent="0.35">
      <c r="A159" s="61" t="s">
        <v>1807</v>
      </c>
      <c r="B159" s="178" t="s">
        <v>407</v>
      </c>
    </row>
    <row r="160" spans="1:2" ht="21" x14ac:dyDescent="0.35">
      <c r="A160" s="61" t="s">
        <v>1808</v>
      </c>
      <c r="B160" s="178" t="s">
        <v>408</v>
      </c>
    </row>
    <row r="161" spans="1:2" ht="21" x14ac:dyDescent="0.35">
      <c r="A161" s="61" t="s">
        <v>1809</v>
      </c>
      <c r="B161" s="178" t="s">
        <v>409</v>
      </c>
    </row>
    <row r="162" spans="1:2" ht="21" x14ac:dyDescent="0.35">
      <c r="A162" s="61" t="s">
        <v>1810</v>
      </c>
      <c r="B162" s="178" t="s">
        <v>410</v>
      </c>
    </row>
    <row r="163" spans="1:2" ht="21" x14ac:dyDescent="0.35">
      <c r="A163" s="61" t="s">
        <v>1811</v>
      </c>
      <c r="B163" s="178" t="s">
        <v>411</v>
      </c>
    </row>
    <row r="164" spans="1:2" ht="21" x14ac:dyDescent="0.35">
      <c r="A164" s="61" t="s">
        <v>1812</v>
      </c>
      <c r="B164" s="178" t="s">
        <v>412</v>
      </c>
    </row>
    <row r="165" spans="1:2" ht="21" x14ac:dyDescent="0.35">
      <c r="A165" s="61" t="s">
        <v>1813</v>
      </c>
      <c r="B165" s="178" t="s">
        <v>413</v>
      </c>
    </row>
    <row r="166" spans="1:2" ht="21" x14ac:dyDescent="0.35">
      <c r="A166" s="61" t="s">
        <v>1814</v>
      </c>
      <c r="B166" s="178" t="s">
        <v>414</v>
      </c>
    </row>
    <row r="167" spans="1:2" ht="21" x14ac:dyDescent="0.35">
      <c r="A167" s="61" t="s">
        <v>1815</v>
      </c>
      <c r="B167" s="178" t="s">
        <v>415</v>
      </c>
    </row>
    <row r="168" spans="1:2" ht="21" x14ac:dyDescent="0.35">
      <c r="A168" s="61" t="s">
        <v>1816</v>
      </c>
      <c r="B168" s="178" t="s">
        <v>416</v>
      </c>
    </row>
    <row r="169" spans="1:2" ht="21" x14ac:dyDescent="0.35">
      <c r="A169" s="61" t="s">
        <v>1817</v>
      </c>
      <c r="B169" s="178" t="s">
        <v>417</v>
      </c>
    </row>
    <row r="170" spans="1:2" ht="21" x14ac:dyDescent="0.35">
      <c r="A170" s="61" t="s">
        <v>1818</v>
      </c>
      <c r="B170" s="178" t="s">
        <v>418</v>
      </c>
    </row>
    <row r="171" spans="1:2" ht="21" x14ac:dyDescent="0.35">
      <c r="A171" s="61" t="s">
        <v>1819</v>
      </c>
      <c r="B171" s="178" t="s">
        <v>419</v>
      </c>
    </row>
    <row r="172" spans="1:2" ht="21" x14ac:dyDescent="0.35">
      <c r="A172" s="61" t="s">
        <v>1820</v>
      </c>
      <c r="B172" s="178" t="s">
        <v>420</v>
      </c>
    </row>
    <row r="173" spans="1:2" ht="21" x14ac:dyDescent="0.35">
      <c r="A173" s="61" t="s">
        <v>1821</v>
      </c>
      <c r="B173" s="178" t="s">
        <v>421</v>
      </c>
    </row>
    <row r="174" spans="1:2" ht="21" x14ac:dyDescent="0.35">
      <c r="A174" s="61" t="s">
        <v>1822</v>
      </c>
      <c r="B174" s="178" t="s">
        <v>422</v>
      </c>
    </row>
    <row r="175" spans="1:2" ht="21" x14ac:dyDescent="0.35">
      <c r="A175" s="61" t="s">
        <v>1823</v>
      </c>
      <c r="B175" s="178" t="s">
        <v>423</v>
      </c>
    </row>
    <row r="176" spans="1:2" ht="21" x14ac:dyDescent="0.35">
      <c r="A176" s="61" t="s">
        <v>1824</v>
      </c>
      <c r="B176" s="178" t="s">
        <v>424</v>
      </c>
    </row>
    <row r="177" spans="1:2" ht="21" x14ac:dyDescent="0.35">
      <c r="A177" s="61" t="s">
        <v>1825</v>
      </c>
      <c r="B177" s="178" t="s">
        <v>425</v>
      </c>
    </row>
    <row r="178" spans="1:2" ht="21" x14ac:dyDescent="0.35">
      <c r="A178" s="61" t="s">
        <v>1826</v>
      </c>
      <c r="B178" s="178" t="s">
        <v>426</v>
      </c>
    </row>
    <row r="179" spans="1:2" ht="21" x14ac:dyDescent="0.35">
      <c r="A179" s="61" t="s">
        <v>1827</v>
      </c>
      <c r="B179" s="178" t="s">
        <v>427</v>
      </c>
    </row>
    <row r="180" spans="1:2" ht="21" x14ac:dyDescent="0.35">
      <c r="A180" s="61" t="s">
        <v>1828</v>
      </c>
      <c r="B180" s="178" t="s">
        <v>428</v>
      </c>
    </row>
    <row r="181" spans="1:2" ht="21" x14ac:dyDescent="0.35">
      <c r="A181" s="61" t="s">
        <v>1829</v>
      </c>
      <c r="B181" s="178" t="s">
        <v>429</v>
      </c>
    </row>
    <row r="182" spans="1:2" ht="21" x14ac:dyDescent="0.35">
      <c r="A182" s="61" t="s">
        <v>1830</v>
      </c>
      <c r="B182" s="178" t="s">
        <v>430</v>
      </c>
    </row>
    <row r="183" spans="1:2" ht="21" x14ac:dyDescent="0.35">
      <c r="A183" s="61" t="s">
        <v>1831</v>
      </c>
      <c r="B183" s="178" t="s">
        <v>431</v>
      </c>
    </row>
    <row r="184" spans="1:2" ht="21" x14ac:dyDescent="0.35">
      <c r="A184" s="61" t="s">
        <v>1832</v>
      </c>
      <c r="B184" s="178" t="s">
        <v>432</v>
      </c>
    </row>
    <row r="185" spans="1:2" ht="21" x14ac:dyDescent="0.35">
      <c r="A185" s="61" t="s">
        <v>1833</v>
      </c>
      <c r="B185" s="178" t="s">
        <v>433</v>
      </c>
    </row>
    <row r="186" spans="1:2" ht="21" x14ac:dyDescent="0.35">
      <c r="A186" s="61" t="s">
        <v>1834</v>
      </c>
      <c r="B186" s="178" t="s">
        <v>434</v>
      </c>
    </row>
    <row r="187" spans="1:2" ht="21" x14ac:dyDescent="0.35">
      <c r="A187" s="61" t="s">
        <v>1835</v>
      </c>
      <c r="B187" s="178" t="s">
        <v>435</v>
      </c>
    </row>
    <row r="188" spans="1:2" ht="21" x14ac:dyDescent="0.35">
      <c r="A188" s="61" t="s">
        <v>1836</v>
      </c>
      <c r="B188" s="178" t="s">
        <v>436</v>
      </c>
    </row>
    <row r="189" spans="1:2" ht="21" x14ac:dyDescent="0.35">
      <c r="A189" s="61" t="s">
        <v>1837</v>
      </c>
      <c r="B189" s="178" t="s">
        <v>437</v>
      </c>
    </row>
    <row r="190" spans="1:2" ht="21" x14ac:dyDescent="0.35">
      <c r="A190" s="61" t="s">
        <v>1838</v>
      </c>
      <c r="B190" s="178" t="s">
        <v>438</v>
      </c>
    </row>
    <row r="191" spans="1:2" ht="21" x14ac:dyDescent="0.35">
      <c r="A191" s="61" t="s">
        <v>1839</v>
      </c>
      <c r="B191" s="178" t="s">
        <v>439</v>
      </c>
    </row>
    <row r="192" spans="1:2" ht="21" x14ac:dyDescent="0.35">
      <c r="A192" s="61" t="s">
        <v>1840</v>
      </c>
      <c r="B192" s="178" t="s">
        <v>440</v>
      </c>
    </row>
    <row r="193" spans="1:4" ht="21" x14ac:dyDescent="0.35">
      <c r="A193" s="61" t="s">
        <v>1841</v>
      </c>
      <c r="B193" s="178" t="s">
        <v>441</v>
      </c>
    </row>
    <row r="194" spans="1:4" ht="21" x14ac:dyDescent="0.35">
      <c r="A194" s="61" t="s">
        <v>1842</v>
      </c>
      <c r="B194" s="178" t="s">
        <v>442</v>
      </c>
    </row>
    <row r="195" spans="1:4" ht="21" x14ac:dyDescent="0.35">
      <c r="A195" s="61" t="s">
        <v>1843</v>
      </c>
      <c r="B195" s="178" t="s">
        <v>443</v>
      </c>
    </row>
    <row r="196" spans="1:4" ht="21" x14ac:dyDescent="0.35">
      <c r="A196" s="61" t="s">
        <v>1844</v>
      </c>
      <c r="B196" s="178" t="s">
        <v>444</v>
      </c>
    </row>
    <row r="197" spans="1:4" ht="21" x14ac:dyDescent="0.35">
      <c r="A197" s="61" t="s">
        <v>1845</v>
      </c>
      <c r="B197" s="178" t="s">
        <v>445</v>
      </c>
    </row>
    <row r="198" spans="1:4" ht="21" x14ac:dyDescent="0.35">
      <c r="A198" s="61" t="s">
        <v>1846</v>
      </c>
      <c r="B198" s="178" t="s">
        <v>446</v>
      </c>
    </row>
    <row r="199" spans="1:4" ht="21" x14ac:dyDescent="0.35">
      <c r="A199" s="61" t="s">
        <v>1847</v>
      </c>
      <c r="B199" s="178" t="s">
        <v>447</v>
      </c>
    </row>
    <row r="200" spans="1:4" ht="21" x14ac:dyDescent="0.35">
      <c r="A200" s="61" t="s">
        <v>1848</v>
      </c>
      <c r="B200" s="178" t="s">
        <v>448</v>
      </c>
    </row>
    <row r="201" spans="1:4" ht="21" x14ac:dyDescent="0.35">
      <c r="A201" s="61" t="s">
        <v>1849</v>
      </c>
      <c r="B201" s="178" t="s">
        <v>449</v>
      </c>
    </row>
    <row r="202" spans="1:4" ht="21" x14ac:dyDescent="0.35">
      <c r="A202" s="61" t="s">
        <v>1850</v>
      </c>
      <c r="B202" s="178" t="s">
        <v>450</v>
      </c>
    </row>
    <row r="203" spans="1:4" ht="21" x14ac:dyDescent="0.35">
      <c r="A203" s="61" t="s">
        <v>1851</v>
      </c>
      <c r="B203" s="178" t="s">
        <v>451</v>
      </c>
    </row>
    <row r="204" spans="1:4" s="181" customFormat="1" ht="21" x14ac:dyDescent="0.35">
      <c r="A204" s="179" t="s">
        <v>722</v>
      </c>
      <c r="B204" s="179"/>
      <c r="D204" s="187"/>
    </row>
    <row r="205" spans="1:4" ht="21" x14ac:dyDescent="0.35">
      <c r="A205" s="61" t="s">
        <v>1102</v>
      </c>
      <c r="B205" s="178" t="s">
        <v>321</v>
      </c>
    </row>
    <row r="206" spans="1:4" ht="21" x14ac:dyDescent="0.35">
      <c r="A206" s="61" t="s">
        <v>1105</v>
      </c>
      <c r="B206" s="178" t="s">
        <v>0</v>
      </c>
    </row>
    <row r="207" spans="1:4" ht="21" x14ac:dyDescent="0.35">
      <c r="A207" s="61" t="s">
        <v>1863</v>
      </c>
      <c r="B207" s="178" t="s">
        <v>1027</v>
      </c>
    </row>
    <row r="208" spans="1:4" ht="21" x14ac:dyDescent="0.35">
      <c r="A208" s="61" t="s">
        <v>1103</v>
      </c>
      <c r="B208" s="178" t="s">
        <v>937</v>
      </c>
    </row>
    <row r="209" spans="1:4" ht="21" x14ac:dyDescent="0.35">
      <c r="A209" s="61" t="s">
        <v>1104</v>
      </c>
      <c r="B209" s="178" t="s">
        <v>97</v>
      </c>
    </row>
    <row r="210" spans="1:4" ht="21" x14ac:dyDescent="0.35">
      <c r="A210" s="54" t="s">
        <v>1862</v>
      </c>
      <c r="B210" s="178" t="s">
        <v>337</v>
      </c>
    </row>
    <row r="211" spans="1:4" s="181" customFormat="1" ht="21" x14ac:dyDescent="0.35">
      <c r="A211" s="179" t="s">
        <v>934</v>
      </c>
      <c r="B211" s="179"/>
      <c r="D211" s="187"/>
    </row>
    <row r="212" spans="1:4" ht="21" x14ac:dyDescent="0.35">
      <c r="A212" s="398" t="s">
        <v>1106</v>
      </c>
      <c r="B212" s="354" t="s">
        <v>935</v>
      </c>
    </row>
    <row r="213" spans="1:4" ht="21" x14ac:dyDescent="0.35">
      <c r="A213" s="398" t="s">
        <v>1107</v>
      </c>
      <c r="B213" s="354" t="s">
        <v>936</v>
      </c>
    </row>
    <row r="214" spans="1:4" s="181" customFormat="1" ht="21" x14ac:dyDescent="0.35">
      <c r="A214" s="179" t="s">
        <v>721</v>
      </c>
      <c r="B214" s="179"/>
      <c r="D214" s="187"/>
    </row>
    <row r="215" spans="1:4" ht="21" x14ac:dyDescent="0.35">
      <c r="A215" s="61" t="s">
        <v>1108</v>
      </c>
      <c r="B215" s="178" t="s">
        <v>963</v>
      </c>
    </row>
    <row r="216" spans="1:4" ht="21" x14ac:dyDescent="0.35">
      <c r="A216" s="61" t="s">
        <v>1109</v>
      </c>
      <c r="B216" s="178" t="s">
        <v>703</v>
      </c>
    </row>
    <row r="217" spans="1:4" ht="21" x14ac:dyDescent="0.35">
      <c r="A217" s="61" t="s">
        <v>1110</v>
      </c>
      <c r="B217" s="178" t="s">
        <v>548</v>
      </c>
    </row>
    <row r="218" spans="1:4" ht="21" x14ac:dyDescent="0.35">
      <c r="A218" s="61" t="s">
        <v>1111</v>
      </c>
      <c r="B218" s="110" t="s">
        <v>754</v>
      </c>
    </row>
    <row r="219" spans="1:4" ht="21" x14ac:dyDescent="0.35">
      <c r="A219" s="61" t="s">
        <v>1112</v>
      </c>
      <c r="B219" s="110" t="s">
        <v>755</v>
      </c>
    </row>
    <row r="220" spans="1:4" ht="21" x14ac:dyDescent="0.35">
      <c r="A220" s="61" t="s">
        <v>1113</v>
      </c>
      <c r="B220" s="110" t="s">
        <v>756</v>
      </c>
    </row>
    <row r="221" spans="1:4" ht="21" x14ac:dyDescent="0.35">
      <c r="A221" s="61" t="s">
        <v>1114</v>
      </c>
      <c r="B221" s="110" t="s">
        <v>757</v>
      </c>
    </row>
    <row r="222" spans="1:4" ht="21" x14ac:dyDescent="0.35">
      <c r="A222" s="61" t="s">
        <v>1115</v>
      </c>
      <c r="B222" s="110" t="s">
        <v>758</v>
      </c>
    </row>
    <row r="223" spans="1:4" ht="21" x14ac:dyDescent="0.35">
      <c r="A223" s="61" t="s">
        <v>1116</v>
      </c>
      <c r="B223" s="110" t="s">
        <v>759</v>
      </c>
    </row>
    <row r="224" spans="1:4" ht="21" x14ac:dyDescent="0.35">
      <c r="A224" s="61" t="s">
        <v>1117</v>
      </c>
      <c r="B224" s="110" t="s">
        <v>760</v>
      </c>
    </row>
    <row r="225" spans="1:4" ht="21" x14ac:dyDescent="0.35">
      <c r="A225" s="61" t="s">
        <v>1118</v>
      </c>
      <c r="B225" s="110" t="s">
        <v>761</v>
      </c>
    </row>
    <row r="226" spans="1:4" ht="21" x14ac:dyDescent="0.35">
      <c r="A226" s="61" t="s">
        <v>1119</v>
      </c>
      <c r="B226" s="110" t="s">
        <v>762</v>
      </c>
    </row>
    <row r="227" spans="1:4" ht="21" x14ac:dyDescent="0.35">
      <c r="A227" s="61" t="s">
        <v>1120</v>
      </c>
      <c r="B227" s="110" t="s">
        <v>562</v>
      </c>
      <c r="D227" s="180"/>
    </row>
    <row r="228" spans="1:4" ht="21" x14ac:dyDescent="0.35">
      <c r="A228" s="61" t="s">
        <v>1121</v>
      </c>
      <c r="B228" s="110" t="s">
        <v>763</v>
      </c>
      <c r="D228" s="180"/>
    </row>
    <row r="229" spans="1:4" ht="21" x14ac:dyDescent="0.35">
      <c r="A229" s="61" t="s">
        <v>1122</v>
      </c>
      <c r="B229" s="110" t="s">
        <v>764</v>
      </c>
      <c r="D229" s="180"/>
    </row>
    <row r="230" spans="1:4" ht="21" x14ac:dyDescent="0.35">
      <c r="A230" s="61" t="s">
        <v>1123</v>
      </c>
      <c r="B230" s="110" t="s">
        <v>765</v>
      </c>
      <c r="D230" s="180"/>
    </row>
    <row r="231" spans="1:4" ht="21" x14ac:dyDescent="0.35">
      <c r="A231" s="61" t="s">
        <v>1124</v>
      </c>
      <c r="B231" s="110" t="s">
        <v>766</v>
      </c>
      <c r="D231" s="180"/>
    </row>
    <row r="232" spans="1:4" ht="21" x14ac:dyDescent="0.35">
      <c r="A232" s="61" t="s">
        <v>1125</v>
      </c>
      <c r="B232" s="110" t="s">
        <v>767</v>
      </c>
      <c r="D232" s="180"/>
    </row>
    <row r="233" spans="1:4" ht="21" x14ac:dyDescent="0.35">
      <c r="A233" s="61" t="s">
        <v>1126</v>
      </c>
      <c r="B233" s="110" t="s">
        <v>826</v>
      </c>
      <c r="D233" s="180"/>
    </row>
    <row r="234" spans="1:4" ht="21" x14ac:dyDescent="0.35">
      <c r="A234" s="61" t="s">
        <v>1127</v>
      </c>
      <c r="B234" s="110" t="s">
        <v>768</v>
      </c>
      <c r="D234" s="180"/>
    </row>
    <row r="235" spans="1:4" ht="21" x14ac:dyDescent="0.35">
      <c r="A235" s="61" t="s">
        <v>1128</v>
      </c>
      <c r="B235" s="110" t="s">
        <v>769</v>
      </c>
      <c r="D235" s="180"/>
    </row>
    <row r="236" spans="1:4" ht="21" x14ac:dyDescent="0.35">
      <c r="A236" s="61" t="s">
        <v>1129</v>
      </c>
      <c r="B236" s="110" t="s">
        <v>770</v>
      </c>
      <c r="D236" s="180"/>
    </row>
    <row r="237" spans="1:4" ht="21" x14ac:dyDescent="0.35">
      <c r="A237" s="61" t="s">
        <v>1130</v>
      </c>
      <c r="B237" s="110" t="s">
        <v>771</v>
      </c>
      <c r="D237" s="180"/>
    </row>
    <row r="238" spans="1:4" ht="21" x14ac:dyDescent="0.35">
      <c r="A238" s="61" t="s">
        <v>1131</v>
      </c>
      <c r="B238" s="110" t="s">
        <v>772</v>
      </c>
      <c r="D238" s="180"/>
    </row>
    <row r="239" spans="1:4" ht="21" x14ac:dyDescent="0.35">
      <c r="A239" s="61" t="s">
        <v>1132</v>
      </c>
      <c r="B239" s="110" t="s">
        <v>949</v>
      </c>
      <c r="D239" s="180"/>
    </row>
    <row r="240" spans="1:4" ht="21" x14ac:dyDescent="0.35">
      <c r="A240" s="61" t="s">
        <v>1133</v>
      </c>
      <c r="B240" s="110" t="s">
        <v>773</v>
      </c>
      <c r="D240" s="180"/>
    </row>
    <row r="241" spans="1:4" ht="21" x14ac:dyDescent="0.35">
      <c r="A241" s="61" t="s">
        <v>1134</v>
      </c>
      <c r="B241" s="110" t="s">
        <v>774</v>
      </c>
      <c r="D241" s="180"/>
    </row>
    <row r="242" spans="1:4" ht="21" x14ac:dyDescent="0.35">
      <c r="A242" s="61" t="s">
        <v>1135</v>
      </c>
      <c r="B242" s="110" t="s">
        <v>775</v>
      </c>
      <c r="D242" s="180"/>
    </row>
    <row r="243" spans="1:4" ht="21" x14ac:dyDescent="0.35">
      <c r="A243" s="61" t="s">
        <v>1136</v>
      </c>
      <c r="B243" s="110" t="s">
        <v>776</v>
      </c>
      <c r="D243" s="180"/>
    </row>
    <row r="244" spans="1:4" ht="21" x14ac:dyDescent="0.35">
      <c r="A244" s="61" t="s">
        <v>1137</v>
      </c>
      <c r="B244" s="110" t="s">
        <v>569</v>
      </c>
      <c r="D244" s="180"/>
    </row>
    <row r="245" spans="1:4" ht="21" x14ac:dyDescent="0.35">
      <c r="A245" s="61" t="s">
        <v>1138</v>
      </c>
      <c r="B245" s="110" t="s">
        <v>777</v>
      </c>
      <c r="D245" s="180"/>
    </row>
    <row r="246" spans="1:4" ht="21" x14ac:dyDescent="0.35">
      <c r="A246" s="61" t="s">
        <v>1139</v>
      </c>
      <c r="B246" s="110" t="s">
        <v>778</v>
      </c>
      <c r="D246" s="180"/>
    </row>
    <row r="247" spans="1:4" ht="21" x14ac:dyDescent="0.35">
      <c r="A247" s="61" t="s">
        <v>1140</v>
      </c>
      <c r="B247" s="110" t="s">
        <v>779</v>
      </c>
      <c r="D247" s="180"/>
    </row>
    <row r="248" spans="1:4" ht="21" x14ac:dyDescent="0.35">
      <c r="A248" s="61" t="s">
        <v>1141</v>
      </c>
      <c r="B248" s="110" t="s">
        <v>780</v>
      </c>
      <c r="D248" s="180"/>
    </row>
    <row r="249" spans="1:4" ht="21" x14ac:dyDescent="0.35">
      <c r="A249" s="61" t="s">
        <v>1142</v>
      </c>
      <c r="B249" s="110" t="s">
        <v>781</v>
      </c>
      <c r="D249" s="180"/>
    </row>
    <row r="250" spans="1:4" ht="21" x14ac:dyDescent="0.35">
      <c r="A250" s="61" t="s">
        <v>1143</v>
      </c>
      <c r="B250" s="110" t="s">
        <v>782</v>
      </c>
      <c r="D250" s="180"/>
    </row>
    <row r="251" spans="1:4" ht="21" x14ac:dyDescent="0.35">
      <c r="A251" s="61" t="s">
        <v>1144</v>
      </c>
      <c r="B251" s="110" t="s">
        <v>783</v>
      </c>
      <c r="D251" s="180"/>
    </row>
    <row r="252" spans="1:4" ht="21" x14ac:dyDescent="0.35">
      <c r="A252" s="61" t="s">
        <v>1145</v>
      </c>
      <c r="B252" s="110" t="s">
        <v>784</v>
      </c>
      <c r="D252" s="180"/>
    </row>
    <row r="253" spans="1:4" ht="21" x14ac:dyDescent="0.35">
      <c r="A253" s="61" t="s">
        <v>1146</v>
      </c>
      <c r="B253" s="110" t="s">
        <v>785</v>
      </c>
      <c r="D253" s="180"/>
    </row>
    <row r="254" spans="1:4" ht="21" x14ac:dyDescent="0.35">
      <c r="A254" s="61" t="s">
        <v>1146</v>
      </c>
      <c r="B254" s="110" t="s">
        <v>786</v>
      </c>
      <c r="D254" s="180"/>
    </row>
    <row r="255" spans="1:4" ht="21" x14ac:dyDescent="0.35">
      <c r="A255" s="61" t="s">
        <v>1147</v>
      </c>
      <c r="B255" s="110" t="s">
        <v>787</v>
      </c>
      <c r="D255" s="180"/>
    </row>
    <row r="256" spans="1:4" ht="21" x14ac:dyDescent="0.35">
      <c r="A256" s="61" t="s">
        <v>1148</v>
      </c>
      <c r="B256" s="110" t="s">
        <v>788</v>
      </c>
      <c r="D256" s="180"/>
    </row>
    <row r="257" spans="1:4" ht="21" x14ac:dyDescent="0.35">
      <c r="A257" s="61" t="s">
        <v>1149</v>
      </c>
      <c r="B257" s="110" t="s">
        <v>789</v>
      </c>
      <c r="D257" s="180"/>
    </row>
    <row r="258" spans="1:4" ht="21" x14ac:dyDescent="0.35">
      <c r="A258" s="61" t="s">
        <v>1150</v>
      </c>
      <c r="B258" s="110" t="s">
        <v>790</v>
      </c>
      <c r="D258" s="180"/>
    </row>
    <row r="259" spans="1:4" ht="21" x14ac:dyDescent="0.35">
      <c r="A259" s="61" t="s">
        <v>1151</v>
      </c>
      <c r="B259" s="110" t="s">
        <v>791</v>
      </c>
      <c r="D259" s="180"/>
    </row>
    <row r="260" spans="1:4" ht="21" x14ac:dyDescent="0.35">
      <c r="A260" s="61" t="s">
        <v>1152</v>
      </c>
      <c r="B260" s="110" t="s">
        <v>792</v>
      </c>
      <c r="D260" s="180"/>
    </row>
    <row r="261" spans="1:4" ht="21" x14ac:dyDescent="0.35">
      <c r="A261" s="61" t="s">
        <v>1153</v>
      </c>
      <c r="B261" s="110" t="s">
        <v>793</v>
      </c>
      <c r="D261" s="180"/>
    </row>
    <row r="262" spans="1:4" ht="21" x14ac:dyDescent="0.35">
      <c r="A262" s="61" t="s">
        <v>1154</v>
      </c>
      <c r="B262" s="110" t="s">
        <v>794</v>
      </c>
      <c r="D262" s="180"/>
    </row>
    <row r="263" spans="1:4" ht="21" x14ac:dyDescent="0.35">
      <c r="A263" s="61" t="s">
        <v>1155</v>
      </c>
      <c r="B263" s="110" t="s">
        <v>795</v>
      </c>
      <c r="D263" s="180"/>
    </row>
    <row r="264" spans="1:4" ht="21" x14ac:dyDescent="0.35">
      <c r="A264" s="61" t="s">
        <v>1156</v>
      </c>
      <c r="B264" s="110" t="s">
        <v>796</v>
      </c>
      <c r="D264" s="180"/>
    </row>
    <row r="265" spans="1:4" ht="21" x14ac:dyDescent="0.35">
      <c r="A265" s="61" t="s">
        <v>1157</v>
      </c>
      <c r="B265" s="110" t="s">
        <v>797</v>
      </c>
      <c r="D265" s="180"/>
    </row>
    <row r="266" spans="1:4" ht="21" x14ac:dyDescent="0.35">
      <c r="A266" s="61" t="s">
        <v>1158</v>
      </c>
      <c r="B266" s="110" t="s">
        <v>798</v>
      </c>
      <c r="D266" s="180"/>
    </row>
    <row r="267" spans="1:4" ht="21" x14ac:dyDescent="0.35">
      <c r="A267" s="61" t="s">
        <v>1159</v>
      </c>
      <c r="B267" s="110" t="s">
        <v>799</v>
      </c>
      <c r="D267" s="180"/>
    </row>
    <row r="268" spans="1:4" ht="21" x14ac:dyDescent="0.35">
      <c r="A268" s="61" t="s">
        <v>1160</v>
      </c>
      <c r="B268" s="110" t="s">
        <v>800</v>
      </c>
      <c r="D268" s="180"/>
    </row>
    <row r="269" spans="1:4" ht="21" x14ac:dyDescent="0.35">
      <c r="A269" s="61" t="s">
        <v>1161</v>
      </c>
      <c r="B269" s="110" t="s">
        <v>801</v>
      </c>
      <c r="D269" s="180"/>
    </row>
    <row r="270" spans="1:4" ht="21" x14ac:dyDescent="0.35">
      <c r="A270" s="61" t="s">
        <v>1162</v>
      </c>
      <c r="B270" s="110" t="s">
        <v>802</v>
      </c>
      <c r="D270" s="180"/>
    </row>
    <row r="271" spans="1:4" ht="21" x14ac:dyDescent="0.35">
      <c r="A271" s="61" t="s">
        <v>1163</v>
      </c>
      <c r="B271" s="110" t="s">
        <v>803</v>
      </c>
      <c r="D271" s="180"/>
    </row>
    <row r="272" spans="1:4" ht="21" x14ac:dyDescent="0.35">
      <c r="A272" s="61" t="s">
        <v>1164</v>
      </c>
      <c r="B272" s="110" t="s">
        <v>804</v>
      </c>
      <c r="D272" s="180"/>
    </row>
    <row r="273" spans="1:4" ht="21" x14ac:dyDescent="0.35">
      <c r="A273" s="61" t="s">
        <v>1165</v>
      </c>
      <c r="B273" s="110" t="s">
        <v>805</v>
      </c>
      <c r="D273" s="180"/>
    </row>
    <row r="274" spans="1:4" ht="21" x14ac:dyDescent="0.35">
      <c r="A274" s="61" t="s">
        <v>1166</v>
      </c>
      <c r="B274" s="110" t="s">
        <v>806</v>
      </c>
      <c r="D274" s="180"/>
    </row>
    <row r="275" spans="1:4" ht="21" x14ac:dyDescent="0.35">
      <c r="A275" s="61" t="s">
        <v>1167</v>
      </c>
      <c r="B275" s="110" t="s">
        <v>807</v>
      </c>
      <c r="D275" s="180"/>
    </row>
    <row r="276" spans="1:4" ht="21" x14ac:dyDescent="0.35">
      <c r="A276" s="61" t="s">
        <v>1168</v>
      </c>
      <c r="B276" s="110" t="s">
        <v>927</v>
      </c>
      <c r="D276" s="180"/>
    </row>
    <row r="277" spans="1:4" ht="21" x14ac:dyDescent="0.35">
      <c r="A277" s="61" t="s">
        <v>1169</v>
      </c>
      <c r="B277" s="110" t="s">
        <v>808</v>
      </c>
      <c r="D277" s="180"/>
    </row>
    <row r="278" spans="1:4" ht="21" x14ac:dyDescent="0.35">
      <c r="A278" s="61" t="s">
        <v>1170</v>
      </c>
      <c r="B278" s="110" t="s">
        <v>809</v>
      </c>
      <c r="D278" s="180"/>
    </row>
    <row r="279" spans="1:4" ht="21" x14ac:dyDescent="0.35">
      <c r="A279" s="61" t="s">
        <v>1171</v>
      </c>
      <c r="B279" s="110" t="s">
        <v>810</v>
      </c>
      <c r="D279" s="180"/>
    </row>
    <row r="280" spans="1:4" ht="21" x14ac:dyDescent="0.35">
      <c r="A280" s="61" t="s">
        <v>1172</v>
      </c>
      <c r="B280" s="110" t="s">
        <v>811</v>
      </c>
      <c r="D280" s="180"/>
    </row>
    <row r="281" spans="1:4" ht="21" x14ac:dyDescent="0.35">
      <c r="A281" s="61" t="s">
        <v>1173</v>
      </c>
      <c r="B281" s="110" t="s">
        <v>951</v>
      </c>
      <c r="D281" s="180"/>
    </row>
    <row r="282" spans="1:4" ht="21" x14ac:dyDescent="0.35">
      <c r="A282" s="61" t="s">
        <v>1174</v>
      </c>
      <c r="B282" s="110" t="s">
        <v>812</v>
      </c>
      <c r="D282" s="180"/>
    </row>
    <row r="283" spans="1:4" ht="21" x14ac:dyDescent="0.35">
      <c r="A283" s="61" t="s">
        <v>1175</v>
      </c>
      <c r="B283" s="110" t="s">
        <v>952</v>
      </c>
      <c r="D283" s="180"/>
    </row>
    <row r="284" spans="1:4" ht="21" x14ac:dyDescent="0.35">
      <c r="A284" s="61" t="s">
        <v>1176</v>
      </c>
      <c r="B284" s="110" t="s">
        <v>813</v>
      </c>
      <c r="D284" s="180"/>
    </row>
    <row r="285" spans="1:4" ht="21" x14ac:dyDescent="0.35">
      <c r="A285" s="61" t="s">
        <v>1177</v>
      </c>
      <c r="B285" s="110" t="s">
        <v>953</v>
      </c>
      <c r="D285" s="180"/>
    </row>
    <row r="286" spans="1:4" ht="21" x14ac:dyDescent="0.35">
      <c r="A286" s="61" t="s">
        <v>1178</v>
      </c>
      <c r="B286" s="110" t="s">
        <v>969</v>
      </c>
      <c r="D286" s="180"/>
    </row>
    <row r="287" spans="1:4" ht="21" x14ac:dyDescent="0.35">
      <c r="A287" s="61" t="s">
        <v>1179</v>
      </c>
      <c r="B287" s="110" t="s">
        <v>954</v>
      </c>
      <c r="D287" s="180"/>
    </row>
    <row r="288" spans="1:4" ht="21" x14ac:dyDescent="0.35">
      <c r="A288" s="61" t="s">
        <v>1180</v>
      </c>
      <c r="B288" s="110" t="s">
        <v>955</v>
      </c>
      <c r="D288" s="180"/>
    </row>
    <row r="289" spans="1:4" ht="21" x14ac:dyDescent="0.35">
      <c r="A289" s="61" t="s">
        <v>1181</v>
      </c>
      <c r="B289" s="110" t="s">
        <v>956</v>
      </c>
      <c r="D289" s="180"/>
    </row>
    <row r="290" spans="1:4" ht="21" x14ac:dyDescent="0.35">
      <c r="A290" s="61" t="s">
        <v>1182</v>
      </c>
      <c r="B290" s="110" t="s">
        <v>957</v>
      </c>
      <c r="D290" s="180"/>
    </row>
    <row r="291" spans="1:4" ht="21" x14ac:dyDescent="0.35">
      <c r="A291" s="61" t="s">
        <v>1183</v>
      </c>
      <c r="B291" s="110" t="s">
        <v>961</v>
      </c>
      <c r="D291" s="180"/>
    </row>
    <row r="292" spans="1:4" ht="21" x14ac:dyDescent="0.35">
      <c r="A292" s="61" t="s">
        <v>1184</v>
      </c>
      <c r="B292" s="110" t="s">
        <v>958</v>
      </c>
      <c r="D292" s="180"/>
    </row>
    <row r="293" spans="1:4" ht="21" x14ac:dyDescent="0.35">
      <c r="A293" s="61" t="s">
        <v>1185</v>
      </c>
      <c r="B293" s="110" t="s">
        <v>959</v>
      </c>
      <c r="D293" s="180"/>
    </row>
    <row r="294" spans="1:4" ht="21" x14ac:dyDescent="0.35">
      <c r="A294" s="61" t="s">
        <v>1186</v>
      </c>
      <c r="B294" s="110" t="s">
        <v>960</v>
      </c>
      <c r="D294" s="180"/>
    </row>
    <row r="295" spans="1:4" ht="21" x14ac:dyDescent="0.35">
      <c r="A295" s="61" t="s">
        <v>1187</v>
      </c>
      <c r="B295" s="110" t="s">
        <v>161</v>
      </c>
      <c r="D295" s="180"/>
    </row>
    <row r="296" spans="1:4" ht="21" x14ac:dyDescent="0.35">
      <c r="A296" s="61" t="s">
        <v>1188</v>
      </c>
      <c r="B296" s="110" t="s">
        <v>814</v>
      </c>
      <c r="D296" s="180"/>
    </row>
    <row r="297" spans="1:4" ht="21" x14ac:dyDescent="0.35">
      <c r="A297" s="61" t="s">
        <v>1189</v>
      </c>
      <c r="B297" s="110" t="s">
        <v>815</v>
      </c>
      <c r="D297" s="180"/>
    </row>
    <row r="298" spans="1:4" ht="21" x14ac:dyDescent="0.35">
      <c r="A298" s="61" t="s">
        <v>1190</v>
      </c>
      <c r="B298" s="110" t="s">
        <v>816</v>
      </c>
      <c r="D298" s="180"/>
    </row>
    <row r="299" spans="1:4" ht="21" x14ac:dyDescent="0.35">
      <c r="A299" s="61" t="s">
        <v>1191</v>
      </c>
      <c r="B299" s="110" t="s">
        <v>817</v>
      </c>
      <c r="D299" s="180"/>
    </row>
    <row r="300" spans="1:4" ht="21" x14ac:dyDescent="0.35">
      <c r="A300" s="61" t="s">
        <v>1192</v>
      </c>
      <c r="B300" s="110" t="s">
        <v>818</v>
      </c>
      <c r="D300" s="180"/>
    </row>
    <row r="301" spans="1:4" ht="21" x14ac:dyDescent="0.35">
      <c r="A301" s="61" t="s">
        <v>1193</v>
      </c>
      <c r="B301" s="110" t="s">
        <v>819</v>
      </c>
      <c r="D301" s="180"/>
    </row>
    <row r="302" spans="1:4" ht="21" x14ac:dyDescent="0.35">
      <c r="A302" s="61" t="s">
        <v>1194</v>
      </c>
      <c r="B302" s="110" t="s">
        <v>820</v>
      </c>
      <c r="D302" s="180"/>
    </row>
    <row r="303" spans="1:4" ht="21" x14ac:dyDescent="0.35">
      <c r="A303" s="61" t="s">
        <v>1195</v>
      </c>
      <c r="B303" s="110" t="s">
        <v>824</v>
      </c>
      <c r="D303" s="180"/>
    </row>
    <row r="304" spans="1:4" ht="21" x14ac:dyDescent="0.35">
      <c r="A304" s="61" t="s">
        <v>1196</v>
      </c>
      <c r="B304" s="110" t="s">
        <v>823</v>
      </c>
      <c r="D304" s="180"/>
    </row>
    <row r="305" spans="1:4" ht="21" x14ac:dyDescent="0.35">
      <c r="A305" s="61" t="s">
        <v>1197</v>
      </c>
      <c r="B305" s="110" t="s">
        <v>821</v>
      </c>
      <c r="D305" s="180"/>
    </row>
    <row r="306" spans="1:4" ht="21" x14ac:dyDescent="0.35">
      <c r="A306" s="61" t="s">
        <v>1198</v>
      </c>
      <c r="B306" s="110" t="s">
        <v>825</v>
      </c>
      <c r="D306" s="180"/>
    </row>
    <row r="307" spans="1:4" ht="21" x14ac:dyDescent="0.35">
      <c r="A307" s="61" t="s">
        <v>1199</v>
      </c>
      <c r="B307" s="110" t="s">
        <v>685</v>
      </c>
    </row>
    <row r="308" spans="1:4" ht="21" x14ac:dyDescent="0.35">
      <c r="A308" s="61" t="s">
        <v>1200</v>
      </c>
      <c r="B308" s="110" t="s">
        <v>822</v>
      </c>
    </row>
    <row r="309" spans="1:4" ht="21" x14ac:dyDescent="0.35">
      <c r="A309" s="61"/>
      <c r="B309" s="110"/>
    </row>
    <row r="310" spans="1:4" s="181" customFormat="1" ht="21" x14ac:dyDescent="0.35">
      <c r="A310" s="179" t="s">
        <v>723</v>
      </c>
      <c r="B310" s="179"/>
      <c r="D310" s="187"/>
    </row>
    <row r="311" spans="1:4" ht="21" x14ac:dyDescent="0.35">
      <c r="A311" s="61" t="s">
        <v>1201</v>
      </c>
      <c r="B311" s="178" t="s">
        <v>679</v>
      </c>
    </row>
    <row r="312" spans="1:4" ht="21" x14ac:dyDescent="0.35">
      <c r="A312" s="61" t="s">
        <v>1202</v>
      </c>
      <c r="B312" s="178" t="s">
        <v>693</v>
      </c>
    </row>
    <row r="313" spans="1:4" ht="21" x14ac:dyDescent="0.35">
      <c r="A313" s="61" t="s">
        <v>1203</v>
      </c>
      <c r="B313" s="178" t="s">
        <v>696</v>
      </c>
    </row>
    <row r="314" spans="1:4" ht="21" x14ac:dyDescent="0.35">
      <c r="A314" s="207" t="s">
        <v>1204</v>
      </c>
      <c r="B314" s="178" t="s">
        <v>695</v>
      </c>
    </row>
    <row r="315" spans="1:4" ht="21" x14ac:dyDescent="0.35">
      <c r="A315" s="207" t="s">
        <v>1205</v>
      </c>
      <c r="B315" s="178" t="s">
        <v>692</v>
      </c>
    </row>
    <row r="316" spans="1:4" ht="21" x14ac:dyDescent="0.35">
      <c r="A316" s="207" t="s">
        <v>1206</v>
      </c>
      <c r="B316" s="178" t="s">
        <v>962</v>
      </c>
    </row>
    <row r="317" spans="1:4" ht="21" x14ac:dyDescent="0.35">
      <c r="A317" s="207" t="s">
        <v>1207</v>
      </c>
      <c r="B317" s="178" t="s">
        <v>699</v>
      </c>
    </row>
    <row r="318" spans="1:4" ht="21" x14ac:dyDescent="0.35">
      <c r="A318" s="207" t="s">
        <v>1208</v>
      </c>
      <c r="B318" s="178" t="s">
        <v>694</v>
      </c>
    </row>
    <row r="319" spans="1:4" ht="21" x14ac:dyDescent="0.35">
      <c r="A319" s="61" t="s">
        <v>0</v>
      </c>
      <c r="B319" s="178" t="s">
        <v>0</v>
      </c>
    </row>
    <row r="320" spans="1:4" s="181" customFormat="1" ht="21" x14ac:dyDescent="0.35">
      <c r="A320" s="179" t="s">
        <v>724</v>
      </c>
      <c r="B320" s="179"/>
      <c r="D320" s="187"/>
    </row>
    <row r="321" spans="1:4" ht="21" x14ac:dyDescent="0.35">
      <c r="A321" s="61" t="s">
        <v>1209</v>
      </c>
      <c r="B321" s="178" t="s">
        <v>687</v>
      </c>
    </row>
    <row r="322" spans="1:4" ht="21" x14ac:dyDescent="0.35">
      <c r="A322" s="61" t="s">
        <v>1199</v>
      </c>
      <c r="B322" s="178" t="s">
        <v>686</v>
      </c>
    </row>
    <row r="323" spans="1:4" s="181" customFormat="1" ht="21" x14ac:dyDescent="0.35">
      <c r="A323" s="179" t="s">
        <v>725</v>
      </c>
      <c r="B323" s="179"/>
      <c r="D323" s="187"/>
    </row>
    <row r="324" spans="1:4" ht="21" x14ac:dyDescent="0.35">
      <c r="A324" s="61" t="s">
        <v>1210</v>
      </c>
      <c r="B324" s="178" t="s">
        <v>939</v>
      </c>
    </row>
    <row r="325" spans="1:4" ht="21" x14ac:dyDescent="0.35">
      <c r="A325" s="61" t="s">
        <v>1211</v>
      </c>
      <c r="B325" s="178" t="s">
        <v>938</v>
      </c>
    </row>
    <row r="326" spans="1:4" s="181" customFormat="1" ht="21" x14ac:dyDescent="0.35">
      <c r="A326" s="179" t="s">
        <v>726</v>
      </c>
      <c r="B326" s="179"/>
      <c r="D326" s="187"/>
    </row>
    <row r="327" spans="1:4" ht="21" x14ac:dyDescent="0.35">
      <c r="A327" s="61" t="s">
        <v>1212</v>
      </c>
      <c r="B327" s="178" t="s">
        <v>212</v>
      </c>
    </row>
    <row r="328" spans="1:4" ht="21" x14ac:dyDescent="0.35">
      <c r="A328" s="61" t="s">
        <v>1213</v>
      </c>
      <c r="B328" s="178" t="s">
        <v>338</v>
      </c>
    </row>
    <row r="329" spans="1:4" ht="21" x14ac:dyDescent="0.35">
      <c r="A329" s="61" t="s">
        <v>1214</v>
      </c>
      <c r="B329" s="178" t="s">
        <v>159</v>
      </c>
    </row>
    <row r="330" spans="1:4" ht="21" x14ac:dyDescent="0.35">
      <c r="A330" s="61" t="s">
        <v>1215</v>
      </c>
      <c r="B330" s="178" t="s">
        <v>40</v>
      </c>
    </row>
    <row r="331" spans="1:4" ht="21" x14ac:dyDescent="0.35">
      <c r="A331" s="180" t="s">
        <v>727</v>
      </c>
    </row>
    <row r="332" spans="1:4" ht="21" x14ac:dyDescent="0.35">
      <c r="A332" s="61" t="s">
        <v>1216</v>
      </c>
      <c r="B332" s="178" t="s">
        <v>213</v>
      </c>
    </row>
    <row r="333" spans="1:4" ht="21" x14ac:dyDescent="0.35">
      <c r="A333" s="61" t="s">
        <v>1217</v>
      </c>
      <c r="B333" s="178" t="s">
        <v>944</v>
      </c>
    </row>
    <row r="334" spans="1:4" ht="21" x14ac:dyDescent="0.35">
      <c r="A334" s="61" t="s">
        <v>1218</v>
      </c>
      <c r="B334" s="178" t="s">
        <v>127</v>
      </c>
    </row>
    <row r="335" spans="1:4" ht="21" x14ac:dyDescent="0.35">
      <c r="A335" s="61" t="s">
        <v>1219</v>
      </c>
      <c r="B335" s="178" t="s">
        <v>128</v>
      </c>
    </row>
    <row r="336" spans="1:4" ht="21" x14ac:dyDescent="0.35">
      <c r="A336" s="61" t="s">
        <v>1220</v>
      </c>
      <c r="B336" s="178" t="s">
        <v>129</v>
      </c>
    </row>
    <row r="337" spans="1:4" ht="21" x14ac:dyDescent="0.35">
      <c r="A337" s="61" t="s">
        <v>1221</v>
      </c>
      <c r="B337" s="178" t="s">
        <v>130</v>
      </c>
    </row>
    <row r="338" spans="1:4" ht="21" x14ac:dyDescent="0.35">
      <c r="A338" s="61" t="s">
        <v>1222</v>
      </c>
      <c r="B338" s="178" t="s">
        <v>131</v>
      </c>
    </row>
    <row r="339" spans="1:4" ht="21" x14ac:dyDescent="0.35">
      <c r="A339" s="61" t="s">
        <v>1223</v>
      </c>
      <c r="B339" s="178" t="s">
        <v>948</v>
      </c>
    </row>
    <row r="340" spans="1:4" s="181" customFormat="1" ht="21" x14ac:dyDescent="0.35">
      <c r="A340" s="179" t="s">
        <v>728</v>
      </c>
      <c r="B340" s="179"/>
      <c r="D340" s="187"/>
    </row>
    <row r="341" spans="1:4" ht="21" x14ac:dyDescent="0.35">
      <c r="A341" s="61" t="s">
        <v>1224</v>
      </c>
      <c r="B341" s="178" t="s">
        <v>729</v>
      </c>
    </row>
    <row r="342" spans="1:4" ht="21" x14ac:dyDescent="0.35">
      <c r="A342" s="61" t="s">
        <v>1225</v>
      </c>
      <c r="B342" s="178" t="s">
        <v>122</v>
      </c>
    </row>
    <row r="343" spans="1:4" ht="21" x14ac:dyDescent="0.35">
      <c r="A343" s="61" t="s">
        <v>1226</v>
      </c>
      <c r="B343" s="178" t="s">
        <v>123</v>
      </c>
    </row>
    <row r="344" spans="1:4" ht="21" x14ac:dyDescent="0.35">
      <c r="A344" s="61" t="s">
        <v>1227</v>
      </c>
      <c r="B344" s="178" t="s">
        <v>116</v>
      </c>
    </row>
    <row r="345" spans="1:4" ht="21" x14ac:dyDescent="0.35">
      <c r="A345" s="61" t="s">
        <v>1228</v>
      </c>
      <c r="B345" s="178" t="s">
        <v>124</v>
      </c>
    </row>
    <row r="346" spans="1:4" ht="21" x14ac:dyDescent="0.35">
      <c r="A346" s="61" t="s">
        <v>1229</v>
      </c>
      <c r="B346" s="178" t="s">
        <v>339</v>
      </c>
    </row>
    <row r="347" spans="1:4" ht="21" x14ac:dyDescent="0.35">
      <c r="A347" s="61" t="s">
        <v>1230</v>
      </c>
      <c r="B347" s="178" t="s">
        <v>174</v>
      </c>
    </row>
    <row r="348" spans="1:4" ht="21" x14ac:dyDescent="0.35">
      <c r="A348" s="61" t="s">
        <v>1231</v>
      </c>
      <c r="B348" s="178" t="s">
        <v>340</v>
      </c>
    </row>
    <row r="349" spans="1:4" ht="21" x14ac:dyDescent="0.35">
      <c r="A349" s="61" t="s">
        <v>1232</v>
      </c>
      <c r="B349" s="178" t="s">
        <v>125</v>
      </c>
    </row>
    <row r="350" spans="1:4" ht="21" x14ac:dyDescent="0.35">
      <c r="A350" s="61" t="s">
        <v>1233</v>
      </c>
      <c r="B350" s="178" t="s">
        <v>119</v>
      </c>
    </row>
    <row r="351" spans="1:4" ht="21" x14ac:dyDescent="0.35">
      <c r="A351" s="61" t="s">
        <v>1234</v>
      </c>
      <c r="B351" s="178" t="s">
        <v>970</v>
      </c>
    </row>
    <row r="352" spans="1:4" ht="21" x14ac:dyDescent="0.35">
      <c r="A352" s="61" t="s">
        <v>1235</v>
      </c>
      <c r="B352" s="178" t="s">
        <v>950</v>
      </c>
    </row>
    <row r="353" spans="1:13" ht="21" x14ac:dyDescent="0.35">
      <c r="A353" s="61" t="s">
        <v>1866</v>
      </c>
      <c r="B353" s="354" t="s">
        <v>971</v>
      </c>
    </row>
    <row r="354" spans="1:13" ht="21" x14ac:dyDescent="0.35">
      <c r="A354" s="394" t="s">
        <v>1236</v>
      </c>
      <c r="B354" s="354" t="s">
        <v>117</v>
      </c>
    </row>
    <row r="355" spans="1:13" ht="21" x14ac:dyDescent="0.35">
      <c r="A355" s="394" t="s">
        <v>1237</v>
      </c>
      <c r="B355" s="354" t="s">
        <v>972</v>
      </c>
    </row>
    <row r="356" spans="1:13" s="181" customFormat="1" ht="21" x14ac:dyDescent="0.35">
      <c r="A356" s="179" t="s">
        <v>1036</v>
      </c>
      <c r="B356" s="179"/>
      <c r="D356" s="187"/>
    </row>
    <row r="357" spans="1:13" ht="21" x14ac:dyDescent="0.35">
      <c r="A357" s="394" t="s">
        <v>1277</v>
      </c>
      <c r="B357" s="354" t="s">
        <v>1037</v>
      </c>
    </row>
    <row r="358" spans="1:13" s="181" customFormat="1" ht="21" x14ac:dyDescent="0.35">
      <c r="A358" s="179" t="s">
        <v>730</v>
      </c>
      <c r="B358" s="179"/>
      <c r="D358" s="187"/>
    </row>
    <row r="359" spans="1:13" s="181" customFormat="1" ht="21" x14ac:dyDescent="0.35">
      <c r="A359" s="61" t="s">
        <v>1238</v>
      </c>
      <c r="B359" s="178" t="s">
        <v>166</v>
      </c>
      <c r="C359" s="330"/>
      <c r="D359" s="330"/>
      <c r="E359" s="330"/>
      <c r="F359" s="330"/>
      <c r="G359" s="330"/>
      <c r="H359" s="330"/>
      <c r="I359" s="330"/>
      <c r="J359" s="330"/>
      <c r="K359" s="330"/>
      <c r="L359" s="330"/>
      <c r="M359" s="330"/>
    </row>
    <row r="360" spans="1:13" s="181" customFormat="1" ht="21" x14ac:dyDescent="0.35">
      <c r="A360" s="61" t="s">
        <v>1239</v>
      </c>
      <c r="B360" s="178" t="str">
        <f>'(G1) Fjalori'!B611</f>
        <v>Salaries</v>
      </c>
      <c r="C360" s="178">
        <v>600</v>
      </c>
      <c r="D360" s="330"/>
      <c r="E360" s="330"/>
      <c r="F360" s="330"/>
      <c r="G360" s="330"/>
      <c r="H360" s="330"/>
      <c r="I360" s="330"/>
      <c r="J360" s="330"/>
      <c r="K360" s="330"/>
      <c r="L360" s="330"/>
      <c r="M360" s="330"/>
    </row>
    <row r="361" spans="1:13" s="181" customFormat="1" ht="21" x14ac:dyDescent="0.35">
      <c r="A361" s="61" t="s">
        <v>1240</v>
      </c>
      <c r="B361" s="178" t="str">
        <f>'(G1) Fjalori'!B612</f>
        <v>Social insurance</v>
      </c>
      <c r="C361" s="178">
        <v>601</v>
      </c>
      <c r="D361" s="330"/>
      <c r="E361" s="330"/>
      <c r="F361" s="330"/>
      <c r="G361" s="330"/>
      <c r="H361" s="330"/>
      <c r="I361" s="330"/>
      <c r="J361" s="330"/>
      <c r="K361" s="330"/>
      <c r="L361" s="330"/>
      <c r="M361" s="330"/>
    </row>
    <row r="362" spans="1:13" s="181" customFormat="1" ht="21" x14ac:dyDescent="0.35">
      <c r="A362" s="61" t="s">
        <v>1241</v>
      </c>
      <c r="B362" s="178" t="str">
        <f>'(G1) Fjalori'!B613</f>
        <v>Goods &amp; other services</v>
      </c>
      <c r="C362" s="178">
        <v>602</v>
      </c>
      <c r="D362" s="330"/>
      <c r="E362" s="330"/>
      <c r="F362" s="330"/>
      <c r="G362" s="330"/>
      <c r="H362" s="330"/>
      <c r="I362" s="330"/>
      <c r="J362" s="330"/>
      <c r="K362" s="330"/>
      <c r="L362" s="330"/>
      <c r="M362" s="330"/>
    </row>
    <row r="363" spans="1:13" s="181" customFormat="1" ht="21" x14ac:dyDescent="0.35">
      <c r="A363" s="61" t="s">
        <v>1242</v>
      </c>
      <c r="B363" s="178" t="str">
        <f>'(G1) Fjalori'!B614</f>
        <v>Subsidies</v>
      </c>
      <c r="C363" s="178">
        <v>603</v>
      </c>
      <c r="D363" s="330"/>
      <c r="E363" s="330"/>
      <c r="F363" s="330"/>
      <c r="G363" s="330"/>
      <c r="H363" s="330"/>
      <c r="I363" s="330"/>
      <c r="J363" s="330"/>
      <c r="K363" s="330"/>
      <c r="L363" s="330"/>
      <c r="M363" s="330"/>
    </row>
    <row r="364" spans="1:13" s="181" customFormat="1" ht="21" x14ac:dyDescent="0.35">
      <c r="A364" s="61" t="s">
        <v>1243</v>
      </c>
      <c r="B364" s="178" t="str">
        <f>'(G1) Fjalori'!B615</f>
        <v>Current domestic transfers</v>
      </c>
      <c r="C364" s="178">
        <v>604</v>
      </c>
      <c r="D364" s="330"/>
      <c r="E364" s="330"/>
      <c r="F364" s="330"/>
      <c r="G364" s="330"/>
      <c r="H364" s="330"/>
      <c r="I364" s="330"/>
      <c r="J364" s="330"/>
      <c r="K364" s="330"/>
      <c r="L364" s="330"/>
      <c r="M364" s="330"/>
    </row>
    <row r="365" spans="1:13" s="181" customFormat="1" ht="21" x14ac:dyDescent="0.35">
      <c r="A365" s="61" t="s">
        <v>1244</v>
      </c>
      <c r="B365" s="178" t="str">
        <f>'(G1) Fjalori'!B616</f>
        <v>Current international transfers</v>
      </c>
      <c r="C365" s="178">
        <v>605</v>
      </c>
      <c r="D365" s="330"/>
      <c r="E365" s="330"/>
      <c r="F365" s="330"/>
      <c r="G365" s="330"/>
      <c r="H365" s="330"/>
      <c r="I365" s="330"/>
      <c r="J365" s="330"/>
      <c r="K365" s="330"/>
      <c r="L365" s="330"/>
      <c r="M365" s="330"/>
    </row>
    <row r="366" spans="1:13" s="181" customFormat="1" ht="21" x14ac:dyDescent="0.35">
      <c r="A366" s="61" t="s">
        <v>1245</v>
      </c>
      <c r="B366" s="178" t="str">
        <f>'(G1) Fjalori'!B617</f>
        <v>Transfers to individuals &amp; families</v>
      </c>
      <c r="C366" s="178">
        <v>606</v>
      </c>
      <c r="D366" s="330"/>
      <c r="E366" s="330"/>
      <c r="F366" s="330"/>
      <c r="G366" s="330"/>
      <c r="H366" s="330"/>
      <c r="I366" s="330"/>
      <c r="J366" s="330"/>
      <c r="K366" s="330"/>
      <c r="L366" s="330"/>
      <c r="M366" s="330"/>
    </row>
    <row r="367" spans="1:13" s="181" customFormat="1" ht="21" x14ac:dyDescent="0.35">
      <c r="A367" s="61" t="s">
        <v>1215</v>
      </c>
      <c r="B367" s="178" t="str">
        <f>'(G1) Fjalori'!B618</f>
        <v>Capital investments</v>
      </c>
      <c r="C367" s="178" t="s">
        <v>163</v>
      </c>
      <c r="D367" s="330"/>
      <c r="E367" s="330"/>
      <c r="F367" s="330"/>
      <c r="G367" s="330"/>
      <c r="H367" s="330"/>
      <c r="I367" s="330"/>
      <c r="J367" s="330"/>
      <c r="K367" s="330"/>
      <c r="L367" s="330"/>
      <c r="M367" s="330"/>
    </row>
    <row r="368" spans="1:13" s="181" customFormat="1" ht="21" x14ac:dyDescent="0.35">
      <c r="A368" s="61" t="s">
        <v>1246</v>
      </c>
      <c r="B368" s="178" t="str">
        <f>'(G1) Fjalori'!B620</f>
        <v>Reserves</v>
      </c>
      <c r="C368" s="178">
        <v>609</v>
      </c>
      <c r="D368" s="330"/>
      <c r="E368" s="330"/>
      <c r="F368" s="330"/>
      <c r="G368" s="330"/>
      <c r="H368" s="330"/>
      <c r="I368" s="330"/>
      <c r="J368" s="330"/>
      <c r="K368" s="330"/>
      <c r="L368" s="330"/>
      <c r="M368" s="330"/>
    </row>
    <row r="369" spans="1:13" s="181" customFormat="1" ht="21" x14ac:dyDescent="0.35">
      <c r="A369" s="61" t="s">
        <v>1247</v>
      </c>
      <c r="B369" s="178" t="str">
        <f>'(G1) Fjalori'!B619</f>
        <v>Interests for direct loans or bonds</v>
      </c>
      <c r="C369" s="178">
        <v>650</v>
      </c>
      <c r="D369" s="330"/>
      <c r="E369" s="330"/>
      <c r="F369" s="330"/>
      <c r="G369" s="330"/>
      <c r="H369" s="330"/>
      <c r="I369" s="330"/>
      <c r="J369" s="330"/>
      <c r="K369" s="330"/>
      <c r="L369" s="330"/>
      <c r="M369" s="330"/>
    </row>
    <row r="370" spans="1:13" s="181" customFormat="1" ht="21" x14ac:dyDescent="0.35">
      <c r="A370" s="61" t="s">
        <v>1187</v>
      </c>
      <c r="B370" s="178" t="str">
        <f>'(G1) Fjalori'!B621</f>
        <v>Other</v>
      </c>
      <c r="C370" s="331" t="s">
        <v>697</v>
      </c>
      <c r="D370" s="330"/>
      <c r="E370" s="330"/>
      <c r="F370" s="330"/>
      <c r="G370" s="330"/>
      <c r="H370" s="330"/>
      <c r="I370" s="330"/>
      <c r="J370" s="330"/>
      <c r="K370" s="330"/>
      <c r="L370" s="330"/>
      <c r="M370" s="330"/>
    </row>
    <row r="371" spans="1:13" s="181" customFormat="1" ht="21" x14ac:dyDescent="0.35">
      <c r="A371" s="61" t="s">
        <v>1239</v>
      </c>
      <c r="B371" s="178" t="str">
        <f>'(G1) Fjalori'!B360</f>
        <v>Salaries</v>
      </c>
      <c r="C371" s="178">
        <v>600</v>
      </c>
      <c r="D371" s="330"/>
      <c r="E371" s="330"/>
      <c r="F371" s="330"/>
      <c r="G371" s="330"/>
      <c r="H371" s="330"/>
      <c r="I371" s="330"/>
      <c r="J371" s="330"/>
      <c r="K371" s="330"/>
      <c r="L371" s="330"/>
      <c r="M371" s="330"/>
    </row>
    <row r="372" spans="1:13" s="181" customFormat="1" ht="21" x14ac:dyDescent="0.35">
      <c r="A372" s="61" t="s">
        <v>1240</v>
      </c>
      <c r="B372" s="178" t="str">
        <f>'(G1) Fjalori'!B361</f>
        <v>Social insurance</v>
      </c>
      <c r="C372" s="178">
        <v>601</v>
      </c>
      <c r="D372" s="330"/>
      <c r="E372" s="330"/>
      <c r="F372" s="330"/>
      <c r="G372" s="330"/>
      <c r="H372" s="330"/>
      <c r="I372" s="330"/>
      <c r="J372" s="330"/>
      <c r="K372" s="330"/>
      <c r="L372" s="330"/>
      <c r="M372" s="330"/>
    </row>
    <row r="373" spans="1:13" s="181" customFormat="1" ht="21" x14ac:dyDescent="0.35">
      <c r="A373" s="61" t="s">
        <v>1248</v>
      </c>
      <c r="B373" s="178" t="str">
        <f>'(G1) Fjalori'!B362</f>
        <v>Goods &amp; other services</v>
      </c>
      <c r="C373" s="178">
        <v>602</v>
      </c>
      <c r="D373" s="330"/>
      <c r="E373" s="330"/>
      <c r="F373" s="330"/>
      <c r="G373" s="330"/>
      <c r="H373" s="330"/>
      <c r="I373" s="330"/>
      <c r="J373" s="330"/>
      <c r="K373" s="330"/>
      <c r="L373" s="330"/>
      <c r="M373" s="330"/>
    </row>
    <row r="374" spans="1:13" s="181" customFormat="1" ht="21" x14ac:dyDescent="0.35">
      <c r="A374" s="61" t="s">
        <v>1242</v>
      </c>
      <c r="B374" s="178" t="str">
        <f>'(G1) Fjalori'!B363</f>
        <v>Subsidies</v>
      </c>
      <c r="C374" s="178">
        <v>603</v>
      </c>
      <c r="D374" s="330"/>
      <c r="E374" s="330"/>
      <c r="F374" s="330"/>
      <c r="G374" s="330"/>
      <c r="H374" s="330"/>
      <c r="I374" s="330"/>
      <c r="J374" s="330"/>
      <c r="K374" s="330"/>
      <c r="L374" s="330"/>
      <c r="M374" s="330"/>
    </row>
    <row r="375" spans="1:13" s="181" customFormat="1" ht="21" x14ac:dyDescent="0.35">
      <c r="A375" s="61" t="s">
        <v>1243</v>
      </c>
      <c r="B375" s="178" t="str">
        <f>'(G1) Fjalori'!B364</f>
        <v>Current domestic transfers</v>
      </c>
      <c r="C375" s="178">
        <v>604</v>
      </c>
      <c r="D375" s="330"/>
      <c r="E375" s="330"/>
      <c r="F375" s="330"/>
      <c r="G375" s="330"/>
      <c r="H375" s="330"/>
      <c r="I375" s="330"/>
      <c r="J375" s="330"/>
      <c r="K375" s="330"/>
      <c r="L375" s="330"/>
      <c r="M375" s="330"/>
    </row>
    <row r="376" spans="1:13" s="181" customFormat="1" ht="21" x14ac:dyDescent="0.35">
      <c r="A376" s="61" t="s">
        <v>1244</v>
      </c>
      <c r="B376" s="178" t="str">
        <f>'(G1) Fjalori'!B365</f>
        <v>Current international transfers</v>
      </c>
      <c r="C376" s="178">
        <v>605</v>
      </c>
      <c r="D376" s="330"/>
      <c r="E376" s="330"/>
      <c r="F376" s="330"/>
      <c r="G376" s="330"/>
      <c r="H376" s="330"/>
      <c r="I376" s="330"/>
      <c r="J376" s="330"/>
      <c r="K376" s="330"/>
      <c r="L376" s="330"/>
      <c r="M376" s="330"/>
    </row>
    <row r="377" spans="1:13" s="181" customFormat="1" ht="21" x14ac:dyDescent="0.35">
      <c r="A377" s="61" t="s">
        <v>1245</v>
      </c>
      <c r="B377" s="178" t="str">
        <f>'(G1) Fjalori'!B366</f>
        <v>Transfers to individuals &amp; families</v>
      </c>
      <c r="C377" s="178">
        <v>606</v>
      </c>
      <c r="D377" s="330"/>
      <c r="E377" s="330"/>
      <c r="F377" s="330"/>
      <c r="G377" s="330"/>
      <c r="H377" s="330"/>
      <c r="I377" s="330"/>
      <c r="J377" s="330"/>
      <c r="K377" s="330"/>
      <c r="L377" s="330"/>
      <c r="M377" s="330"/>
    </row>
    <row r="378" spans="1:13" s="181" customFormat="1" ht="21" x14ac:dyDescent="0.35">
      <c r="A378" s="61" t="s">
        <v>1215</v>
      </c>
      <c r="B378" s="178" t="str">
        <f>'(G1) Fjalori'!B367</f>
        <v>Capital investments</v>
      </c>
      <c r="C378" s="178" t="str">
        <f>'(G1) Fjalori'!C367</f>
        <v>230 / 231</v>
      </c>
      <c r="D378" s="330"/>
      <c r="E378" s="330"/>
      <c r="F378" s="330"/>
      <c r="G378" s="330"/>
      <c r="H378" s="330"/>
      <c r="I378" s="330"/>
      <c r="J378" s="330"/>
      <c r="K378" s="330"/>
      <c r="L378" s="330"/>
      <c r="M378" s="330"/>
    </row>
    <row r="379" spans="1:13" s="181" customFormat="1" ht="21" x14ac:dyDescent="0.35">
      <c r="A379" s="61" t="s">
        <v>1247</v>
      </c>
      <c r="B379" s="178" t="str">
        <f>'(G1) Fjalori'!B369</f>
        <v>Interests for direct loans or bonds</v>
      </c>
      <c r="C379" s="178">
        <f>'(G1) Fjalori'!C369</f>
        <v>650</v>
      </c>
      <c r="D379" s="330"/>
      <c r="E379" s="330"/>
      <c r="F379" s="330"/>
      <c r="G379" s="330"/>
      <c r="H379" s="330"/>
      <c r="I379" s="330"/>
      <c r="J379" s="330"/>
      <c r="K379" s="330"/>
      <c r="L379" s="330"/>
      <c r="M379" s="330"/>
    </row>
    <row r="380" spans="1:13" s="181" customFormat="1" ht="21" x14ac:dyDescent="0.35">
      <c r="A380" s="61" t="s">
        <v>1187</v>
      </c>
      <c r="B380" s="178" t="str">
        <f>'(G1) Fjalori'!B452</f>
        <v>Other</v>
      </c>
      <c r="C380" s="331" t="s">
        <v>697</v>
      </c>
      <c r="D380" s="330"/>
      <c r="E380" s="330"/>
      <c r="F380" s="330"/>
      <c r="G380" s="330"/>
      <c r="H380" s="330"/>
      <c r="I380" s="330"/>
      <c r="J380" s="330"/>
      <c r="K380" s="330"/>
      <c r="L380" s="330"/>
      <c r="M380" s="330"/>
    </row>
    <row r="381" spans="1:13" s="181" customFormat="1" ht="21" x14ac:dyDescent="0.35">
      <c r="A381" s="61" t="s">
        <v>1249</v>
      </c>
      <c r="B381" s="178" t="str">
        <f>'(G1) Fjalori'!B453</f>
        <v>EXPECTED EXPENDITURES</v>
      </c>
      <c r="D381" s="330"/>
      <c r="E381" s="330"/>
      <c r="F381" s="330"/>
      <c r="G381" s="330"/>
      <c r="H381" s="330"/>
      <c r="I381" s="330"/>
      <c r="J381" s="330"/>
      <c r="K381" s="330"/>
      <c r="L381" s="330"/>
      <c r="M381" s="330"/>
    </row>
    <row r="382" spans="1:13" s="181" customFormat="1" ht="21" x14ac:dyDescent="0.35">
      <c r="A382" s="61" t="s">
        <v>1250</v>
      </c>
      <c r="B382" s="178" t="str">
        <f>'(G1) Fjalori'!B610</f>
        <v>DIRECT COSTS FOR PROJECTS &amp; CAP. INVESTMENTS</v>
      </c>
      <c r="D382" s="330"/>
      <c r="E382" s="330"/>
      <c r="F382" s="330"/>
      <c r="G382" s="330"/>
      <c r="H382" s="330"/>
      <c r="I382" s="330"/>
      <c r="J382" s="330"/>
      <c r="K382" s="330"/>
      <c r="L382" s="330"/>
      <c r="M382" s="330"/>
    </row>
    <row r="383" spans="1:13" s="181" customFormat="1" ht="21" x14ac:dyDescent="0.35">
      <c r="A383" s="61" t="s">
        <v>1865</v>
      </c>
      <c r="B383" s="178" t="str">
        <f>'(G1) Fjalori'!B622</f>
        <v>RECURRENT COSTS</v>
      </c>
      <c r="D383" s="330"/>
      <c r="E383" s="330"/>
      <c r="F383" s="330"/>
      <c r="G383" s="330"/>
      <c r="H383" s="330"/>
      <c r="I383" s="330"/>
      <c r="J383" s="330"/>
      <c r="K383" s="330"/>
      <c r="L383" s="330"/>
      <c r="M383" s="330"/>
    </row>
    <row r="384" spans="1:13" s="181" customFormat="1" ht="21" x14ac:dyDescent="0.35">
      <c r="A384" s="61" t="s">
        <v>1252</v>
      </c>
      <c r="B384" s="178" t="s">
        <v>149</v>
      </c>
      <c r="D384" s="330"/>
      <c r="E384" s="330"/>
      <c r="F384" s="330"/>
      <c r="G384" s="330"/>
      <c r="H384" s="330"/>
      <c r="I384" s="330"/>
      <c r="J384" s="330"/>
      <c r="K384" s="330"/>
      <c r="L384" s="330"/>
      <c r="M384" s="330"/>
    </row>
    <row r="385" spans="1:4" ht="21" x14ac:dyDescent="0.35">
      <c r="A385" s="61" t="s">
        <v>1253</v>
      </c>
      <c r="B385" s="178" t="s">
        <v>150</v>
      </c>
    </row>
    <row r="386" spans="1:4" ht="21" x14ac:dyDescent="0.35">
      <c r="A386" s="61" t="s">
        <v>1254</v>
      </c>
      <c r="B386" s="178" t="s">
        <v>341</v>
      </c>
    </row>
    <row r="387" spans="1:4" ht="21" x14ac:dyDescent="0.35">
      <c r="A387" s="61" t="s">
        <v>1255</v>
      </c>
      <c r="B387" s="178" t="s">
        <v>140</v>
      </c>
    </row>
    <row r="388" spans="1:4" ht="21" x14ac:dyDescent="0.35">
      <c r="A388" s="61" t="s">
        <v>1253</v>
      </c>
      <c r="B388" s="178" t="str">
        <f>'(G1) Fjalori'!B639</f>
        <v>ESTIM. REVENUE FROM FEE</v>
      </c>
    </row>
    <row r="389" spans="1:4" ht="21" x14ac:dyDescent="0.35">
      <c r="A389" s="61" t="s">
        <v>1864</v>
      </c>
      <c r="B389" s="178" t="str">
        <f>'(G1) Fjalori'!B386</f>
        <v xml:space="preserve">ESTIMATED EARMARKED REVENUES </v>
      </c>
      <c r="D389" s="180"/>
    </row>
    <row r="390" spans="1:4" ht="21" x14ac:dyDescent="0.35">
      <c r="A390" s="61" t="s">
        <v>1190</v>
      </c>
      <c r="B390" s="178" t="str">
        <f>'(G1) Fjalori'!B640</f>
        <v>Conditional grants</v>
      </c>
      <c r="D390" s="180"/>
    </row>
    <row r="391" spans="1:4" ht="21" x14ac:dyDescent="0.35">
      <c r="A391" s="61" t="s">
        <v>1861</v>
      </c>
      <c r="B391" s="178" t="str">
        <f>'(G1) Fjalori'!B641</f>
        <v>Contributions</v>
      </c>
      <c r="D391" s="180"/>
    </row>
    <row r="392" spans="1:4" ht="21" x14ac:dyDescent="0.35">
      <c r="A392" s="61" t="s">
        <v>1199</v>
      </c>
      <c r="B392" s="178" t="str">
        <f>'(G1) Fjalori'!B642</f>
        <v>Earmarked carry overs</v>
      </c>
      <c r="D392" s="180"/>
    </row>
    <row r="393" spans="1:4" ht="21" x14ac:dyDescent="0.35">
      <c r="A393" s="61" t="s">
        <v>1257</v>
      </c>
      <c r="B393" s="178" t="str">
        <f>'(G1) Fjalori'!B643</f>
        <v>Further sources 
(incl. fines)</v>
      </c>
      <c r="D393" s="180"/>
    </row>
    <row r="394" spans="1:4" ht="21" x14ac:dyDescent="0.35">
      <c r="A394" s="61" t="s">
        <v>1864</v>
      </c>
      <c r="B394" s="178" t="str">
        <f>'(G1) Fjalori'!B644</f>
        <v>ESTIM. EARMARKED REV.</v>
      </c>
      <c r="D394" s="180"/>
    </row>
    <row r="395" spans="1:4" ht="21" x14ac:dyDescent="0.35">
      <c r="A395" s="61" t="s">
        <v>1258</v>
      </c>
      <c r="B395" s="178" t="str">
        <f>'(G1) Fjalori'!B645</f>
        <v>EXPECTED REVENUES</v>
      </c>
      <c r="D395" s="180"/>
    </row>
    <row r="396" spans="1:4" ht="21" x14ac:dyDescent="0.35">
      <c r="A396" s="61" t="s">
        <v>1259</v>
      </c>
      <c r="B396" s="178" t="str">
        <f>'(G1) Fjalori'!B583</f>
        <v xml:space="preserve"> COMPLIANCE WITH CEILINGS</v>
      </c>
      <c r="D396" s="180"/>
    </row>
    <row r="397" spans="1:4" ht="21" x14ac:dyDescent="0.35">
      <c r="A397" s="61" t="s">
        <v>1260</v>
      </c>
      <c r="B397" s="178" t="str">
        <f>'(G1) Fjalori'!B592</f>
        <v xml:space="preserve">Overall ceiling </v>
      </c>
      <c r="D397" s="180"/>
    </row>
    <row r="398" spans="1:4" ht="21" x14ac:dyDescent="0.35">
      <c r="A398" s="61" t="s">
        <v>1249</v>
      </c>
      <c r="B398" s="178" t="str">
        <f>'(G1) Fjalori'!B593</f>
        <v>EXPECTED EXPENDITURES</v>
      </c>
      <c r="D398" s="180"/>
    </row>
    <row r="399" spans="1:4" ht="21" x14ac:dyDescent="0.35">
      <c r="A399" s="566" t="s">
        <v>1261</v>
      </c>
      <c r="B399" s="178" t="str">
        <f>'(G1) Fjalori'!B594</f>
        <v>Difference of overall ceiling (has to be &lt; 0)</v>
      </c>
      <c r="D399" s="180"/>
    </row>
    <row r="400" spans="1:4" ht="21" x14ac:dyDescent="0.35">
      <c r="A400" s="61" t="s">
        <v>1262</v>
      </c>
      <c r="B400" s="178" t="str">
        <f>'(G1) Fjalori'!B595</f>
        <v>Ceiling on salaries and social insurence</v>
      </c>
      <c r="D400" s="180"/>
    </row>
    <row r="401" spans="1:4" ht="21" x14ac:dyDescent="0.35">
      <c r="A401" s="61" t="s">
        <v>1263</v>
      </c>
      <c r="B401" s="178" t="str">
        <f>'(G1) Fjalori'!B596</f>
        <v>Salaries and social insurance</v>
      </c>
      <c r="D401" s="180"/>
    </row>
    <row r="402" spans="1:4" ht="21" x14ac:dyDescent="0.35">
      <c r="A402" s="61" t="s">
        <v>1264</v>
      </c>
      <c r="B402" s="178" t="str">
        <f>'(G1) Fjalori'!B597</f>
        <v>Difference of ceiling on salaries and social incurance (has to be &lt; 0)</v>
      </c>
      <c r="D402" s="180"/>
    </row>
    <row r="403" spans="1:4" ht="21" x14ac:dyDescent="0.35">
      <c r="A403" s="61" t="s">
        <v>1265</v>
      </c>
      <c r="B403" s="178" t="str">
        <f>'(G1) Fjalori'!B598</f>
        <v>Ceiling on other recurrent expenditure</v>
      </c>
      <c r="D403" s="180"/>
    </row>
    <row r="404" spans="1:4" ht="21" x14ac:dyDescent="0.35">
      <c r="A404" s="61" t="s">
        <v>1266</v>
      </c>
      <c r="B404" s="178" t="str">
        <f>'(G1) Fjalori'!B599</f>
        <v>Consumption (excl. salaries and social assurance)</v>
      </c>
      <c r="D404" s="180"/>
    </row>
    <row r="405" spans="1:4" ht="21" x14ac:dyDescent="0.35">
      <c r="A405" s="61" t="s">
        <v>1267</v>
      </c>
      <c r="B405" s="178" t="str">
        <f>'(G1) Fjalori'!B600</f>
        <v>Difference of ceiling on consuption (has to be &lt; 0)</v>
      </c>
    </row>
    <row r="406" spans="1:4" ht="21" x14ac:dyDescent="0.35">
      <c r="A406" s="61" t="s">
        <v>1268</v>
      </c>
      <c r="B406" s="178" t="str">
        <f>'(G1) Fjalori'!B601</f>
        <v>Minimum of capital investments</v>
      </c>
    </row>
    <row r="407" spans="1:4" ht="21" x14ac:dyDescent="0.35">
      <c r="A407" s="61" t="s">
        <v>1215</v>
      </c>
      <c r="B407" s="178" t="str">
        <f>'(G1) Fjalori'!B602</f>
        <v>Capital Investments</v>
      </c>
    </row>
    <row r="408" spans="1:4" ht="21" x14ac:dyDescent="0.35">
      <c r="A408" s="61" t="s">
        <v>1269</v>
      </c>
      <c r="B408" s="178" t="str">
        <f>'(G1) Fjalori'!B603</f>
        <v>Difference to minimum of capital investments (has to be &gt; 0)</v>
      </c>
    </row>
    <row r="409" spans="1:4" ht="21" x14ac:dyDescent="0.35">
      <c r="A409" s="61" t="s">
        <v>1270</v>
      </c>
      <c r="B409" s="178" t="s">
        <v>138</v>
      </c>
    </row>
    <row r="410" spans="1:4" ht="21" x14ac:dyDescent="0.35">
      <c r="A410" s="61" t="s">
        <v>1271</v>
      </c>
      <c r="B410" s="178" t="s">
        <v>136</v>
      </c>
    </row>
    <row r="411" spans="1:4" ht="21" x14ac:dyDescent="0.35">
      <c r="A411" s="61" t="s">
        <v>1272</v>
      </c>
      <c r="B411" s="178" t="s">
        <v>137</v>
      </c>
    </row>
    <row r="412" spans="1:4" ht="21" x14ac:dyDescent="0.35">
      <c r="A412" s="61" t="s">
        <v>1273</v>
      </c>
      <c r="B412" s="178" t="s">
        <v>148</v>
      </c>
    </row>
    <row r="413" spans="1:4" ht="21" x14ac:dyDescent="0.35">
      <c r="A413" s="61" t="s">
        <v>1211</v>
      </c>
      <c r="B413" s="178" t="s">
        <v>938</v>
      </c>
    </row>
    <row r="414" spans="1:4" ht="21" x14ac:dyDescent="0.35">
      <c r="A414" s="61" t="s">
        <v>1249</v>
      </c>
      <c r="B414" s="178" t="s">
        <v>149</v>
      </c>
    </row>
    <row r="415" spans="1:4" s="181" customFormat="1" ht="21" x14ac:dyDescent="0.35">
      <c r="A415" s="178" t="s">
        <v>1255</v>
      </c>
      <c r="B415" s="179"/>
      <c r="D415" s="187"/>
    </row>
    <row r="416" spans="1:4" ht="21" x14ac:dyDescent="0.35">
      <c r="A416" s="61" t="s">
        <v>1274</v>
      </c>
      <c r="B416" s="178" t="s">
        <v>707</v>
      </c>
    </row>
    <row r="417" spans="1:4" s="181" customFormat="1" ht="21" x14ac:dyDescent="0.35">
      <c r="A417" s="61"/>
      <c r="D417" s="185"/>
    </row>
    <row r="418" spans="1:4" s="181" customFormat="1" ht="21" x14ac:dyDescent="0.35">
      <c r="A418" s="180" t="s">
        <v>731</v>
      </c>
      <c r="B418" s="179"/>
      <c r="D418" s="187"/>
    </row>
    <row r="419" spans="1:4" ht="21" x14ac:dyDescent="0.35">
      <c r="A419" s="61" t="s">
        <v>1275</v>
      </c>
      <c r="B419" s="178" t="s">
        <v>967</v>
      </c>
    </row>
    <row r="420" spans="1:4" s="181" customFormat="1" ht="21" x14ac:dyDescent="0.35">
      <c r="A420" s="180" t="s">
        <v>732</v>
      </c>
      <c r="B420" s="179"/>
      <c r="D420" s="187"/>
    </row>
    <row r="421" spans="1:4" s="182" customFormat="1" ht="21" x14ac:dyDescent="0.35">
      <c r="A421" s="61" t="s">
        <v>1867</v>
      </c>
      <c r="B421" s="178" t="s">
        <v>357</v>
      </c>
      <c r="D421" s="185"/>
    </row>
    <row r="422" spans="1:4" ht="21" x14ac:dyDescent="0.35">
      <c r="A422" s="180" t="s">
        <v>733</v>
      </c>
    </row>
    <row r="423" spans="1:4" ht="21" x14ac:dyDescent="0.35">
      <c r="A423" s="61" t="s">
        <v>1855</v>
      </c>
      <c r="B423" s="178" t="s">
        <v>356</v>
      </c>
    </row>
    <row r="424" spans="1:4" s="181" customFormat="1" ht="21" x14ac:dyDescent="0.35">
      <c r="A424" s="181" t="s">
        <v>734</v>
      </c>
      <c r="B424" s="179"/>
      <c r="D424" s="187"/>
    </row>
    <row r="425" spans="1:4" ht="21" x14ac:dyDescent="0.35">
      <c r="A425" s="61" t="s">
        <v>1868</v>
      </c>
      <c r="B425" s="178" t="s">
        <v>358</v>
      </c>
    </row>
    <row r="426" spans="1:4" ht="21" x14ac:dyDescent="0.35">
      <c r="A426" s="61" t="s">
        <v>1276</v>
      </c>
      <c r="B426" s="178" t="s">
        <v>0</v>
      </c>
    </row>
    <row r="427" spans="1:4" s="181" customFormat="1" ht="21" x14ac:dyDescent="0.35">
      <c r="A427" s="181" t="s">
        <v>735</v>
      </c>
      <c r="B427" s="179"/>
      <c r="D427" s="187"/>
    </row>
    <row r="428" spans="1:4" ht="21" x14ac:dyDescent="0.35">
      <c r="A428" s="61" t="s">
        <v>1856</v>
      </c>
      <c r="B428" s="178" t="s">
        <v>359</v>
      </c>
    </row>
    <row r="429" spans="1:4" s="181" customFormat="1" ht="21" x14ac:dyDescent="0.35">
      <c r="A429" s="181" t="s">
        <v>736</v>
      </c>
      <c r="B429" s="179"/>
      <c r="D429" s="187"/>
    </row>
    <row r="430" spans="1:4" s="181" customFormat="1" ht="21" x14ac:dyDescent="0.35">
      <c r="A430" s="61" t="s">
        <v>1718</v>
      </c>
      <c r="B430" s="178" t="s">
        <v>737</v>
      </c>
      <c r="D430" s="185"/>
    </row>
    <row r="431" spans="1:4" ht="21" x14ac:dyDescent="0.35">
      <c r="A431" s="61" t="s">
        <v>1213</v>
      </c>
      <c r="B431" s="178" t="s">
        <v>132</v>
      </c>
    </row>
    <row r="432" spans="1:4" ht="21" x14ac:dyDescent="0.35">
      <c r="A432" s="61" t="s">
        <v>1278</v>
      </c>
      <c r="B432" s="178" t="s">
        <v>738</v>
      </c>
    </row>
    <row r="433" spans="1:4" ht="21" x14ac:dyDescent="0.35">
      <c r="A433" s="61" t="s">
        <v>1279</v>
      </c>
      <c r="B433" s="178" t="s">
        <v>591</v>
      </c>
    </row>
    <row r="434" spans="1:4" ht="21" x14ac:dyDescent="0.35">
      <c r="A434" s="61" t="s">
        <v>1280</v>
      </c>
      <c r="B434" s="178" t="s">
        <v>592</v>
      </c>
    </row>
    <row r="435" spans="1:4" ht="21" x14ac:dyDescent="0.35">
      <c r="A435" s="61" t="s">
        <v>1281</v>
      </c>
      <c r="B435" s="178" t="s">
        <v>593</v>
      </c>
    </row>
    <row r="436" spans="1:4" ht="21" x14ac:dyDescent="0.35">
      <c r="A436" s="61" t="s">
        <v>1282</v>
      </c>
      <c r="B436" s="178" t="s">
        <v>594</v>
      </c>
    </row>
    <row r="437" spans="1:4" ht="21" x14ac:dyDescent="0.35">
      <c r="A437" s="61" t="s">
        <v>1888</v>
      </c>
      <c r="B437" s="178" t="s">
        <v>595</v>
      </c>
    </row>
    <row r="438" spans="1:4" ht="21" x14ac:dyDescent="0.35">
      <c r="A438" s="61" t="s">
        <v>1283</v>
      </c>
      <c r="B438" s="178" t="s">
        <v>596</v>
      </c>
    </row>
    <row r="439" spans="1:4" ht="21" x14ac:dyDescent="0.35">
      <c r="A439" s="61" t="s">
        <v>1896</v>
      </c>
      <c r="B439" s="178" t="s">
        <v>597</v>
      </c>
    </row>
    <row r="440" spans="1:4" ht="21" x14ac:dyDescent="0.35">
      <c r="A440" s="61" t="s">
        <v>1284</v>
      </c>
      <c r="B440" s="178" t="s">
        <v>598</v>
      </c>
    </row>
    <row r="441" spans="1:4" ht="21" x14ac:dyDescent="0.35">
      <c r="A441" s="61" t="s">
        <v>1285</v>
      </c>
      <c r="B441" s="178" t="s">
        <v>599</v>
      </c>
    </row>
    <row r="442" spans="1:4" s="181" customFormat="1" ht="21" x14ac:dyDescent="0.35">
      <c r="A442" s="181" t="s">
        <v>739</v>
      </c>
      <c r="B442" s="179"/>
      <c r="D442" s="187"/>
    </row>
    <row r="443" spans="1:4" ht="21" x14ac:dyDescent="0.35">
      <c r="A443" s="61" t="s">
        <v>1857</v>
      </c>
      <c r="B443" s="178" t="s">
        <v>836</v>
      </c>
    </row>
    <row r="444" spans="1:4" s="181" customFormat="1" ht="21" x14ac:dyDescent="0.35">
      <c r="A444" s="181" t="s">
        <v>740</v>
      </c>
      <c r="B444" s="179"/>
      <c r="D444" s="187"/>
    </row>
    <row r="445" spans="1:4" ht="21" x14ac:dyDescent="0.35">
      <c r="A445" s="61" t="s">
        <v>1859</v>
      </c>
      <c r="B445" s="178" t="s">
        <v>827</v>
      </c>
    </row>
    <row r="446" spans="1:4" ht="21" x14ac:dyDescent="0.35">
      <c r="A446" s="61" t="s">
        <v>1286</v>
      </c>
      <c r="B446" s="178" t="s">
        <v>678</v>
      </c>
    </row>
    <row r="447" spans="1:4" ht="21" x14ac:dyDescent="0.35">
      <c r="A447" s="180" t="s">
        <v>741</v>
      </c>
    </row>
    <row r="448" spans="1:4" ht="21" x14ac:dyDescent="0.35">
      <c r="A448" s="61" t="s">
        <v>1860</v>
      </c>
      <c r="B448" s="178" t="s">
        <v>828</v>
      </c>
    </row>
    <row r="449" spans="1:4" ht="21" x14ac:dyDescent="0.35">
      <c r="A449" s="180" t="s">
        <v>742</v>
      </c>
    </row>
    <row r="450" spans="1:4" ht="21" x14ac:dyDescent="0.35">
      <c r="A450" s="61" t="s">
        <v>1287</v>
      </c>
      <c r="B450" s="178" t="s">
        <v>709</v>
      </c>
    </row>
    <row r="451" spans="1:4" ht="21" x14ac:dyDescent="0.35">
      <c r="A451" s="61" t="s">
        <v>1288</v>
      </c>
      <c r="B451" s="178" t="s">
        <v>182</v>
      </c>
    </row>
    <row r="452" spans="1:4" s="181" customFormat="1" ht="21" x14ac:dyDescent="0.35">
      <c r="A452" s="61" t="s">
        <v>1187</v>
      </c>
      <c r="B452" s="178" t="s">
        <v>161</v>
      </c>
      <c r="D452" s="185"/>
    </row>
    <row r="453" spans="1:4" s="181" customFormat="1" ht="21" x14ac:dyDescent="0.35">
      <c r="A453" s="61" t="s">
        <v>1249</v>
      </c>
      <c r="B453" s="178" t="s">
        <v>149</v>
      </c>
      <c r="D453" s="185"/>
    </row>
    <row r="454" spans="1:4" ht="21" x14ac:dyDescent="0.35">
      <c r="A454" s="61" t="s">
        <v>1289</v>
      </c>
      <c r="B454" s="178" t="s">
        <v>706</v>
      </c>
    </row>
    <row r="455" spans="1:4" ht="21" x14ac:dyDescent="0.35">
      <c r="A455" s="61" t="s">
        <v>1290</v>
      </c>
      <c r="B455" s="178" t="s">
        <v>702</v>
      </c>
    </row>
    <row r="456" spans="1:4" ht="21" x14ac:dyDescent="0.35">
      <c r="A456" s="61" t="s">
        <v>1291</v>
      </c>
      <c r="B456" s="178" t="s">
        <v>701</v>
      </c>
    </row>
    <row r="457" spans="1:4" ht="21" x14ac:dyDescent="0.35">
      <c r="A457" s="180" t="s">
        <v>743</v>
      </c>
    </row>
    <row r="458" spans="1:4" ht="21" x14ac:dyDescent="0.35">
      <c r="A458" s="61" t="s">
        <v>1292</v>
      </c>
      <c r="B458" s="178" t="s">
        <v>829</v>
      </c>
    </row>
    <row r="459" spans="1:4" ht="21" x14ac:dyDescent="0.35">
      <c r="A459" s="180" t="s">
        <v>744</v>
      </c>
    </row>
    <row r="460" spans="1:4" ht="21" x14ac:dyDescent="0.35">
      <c r="A460" s="61" t="s">
        <v>1293</v>
      </c>
      <c r="B460" s="178" t="s">
        <v>830</v>
      </c>
    </row>
    <row r="461" spans="1:4" ht="21" x14ac:dyDescent="0.35">
      <c r="A461" s="180" t="s">
        <v>745</v>
      </c>
    </row>
    <row r="462" spans="1:4" ht="21" x14ac:dyDescent="0.35">
      <c r="A462" s="61" t="s">
        <v>1294</v>
      </c>
      <c r="B462" s="178" t="s">
        <v>831</v>
      </c>
    </row>
    <row r="463" spans="1:4" ht="21" x14ac:dyDescent="0.35">
      <c r="A463" s="61" t="s">
        <v>1295</v>
      </c>
      <c r="B463" s="178" t="s">
        <v>176</v>
      </c>
    </row>
    <row r="464" spans="1:4" ht="21" x14ac:dyDescent="0.35">
      <c r="A464" s="61" t="s">
        <v>1296</v>
      </c>
      <c r="B464" s="178" t="s">
        <v>175</v>
      </c>
    </row>
    <row r="465" spans="1:4" ht="21" x14ac:dyDescent="0.35">
      <c r="A465" s="61" t="s">
        <v>1297</v>
      </c>
      <c r="B465" s="178" t="s">
        <v>177</v>
      </c>
    </row>
    <row r="466" spans="1:4" ht="21" x14ac:dyDescent="0.35">
      <c r="A466" s="61" t="s">
        <v>1298</v>
      </c>
      <c r="B466" s="178" t="s">
        <v>178</v>
      </c>
    </row>
    <row r="467" spans="1:4" ht="21" x14ac:dyDescent="0.35">
      <c r="A467" s="61" t="s">
        <v>1299</v>
      </c>
      <c r="B467" s="178" t="s">
        <v>179</v>
      </c>
    </row>
    <row r="468" spans="1:4" ht="21" x14ac:dyDescent="0.35">
      <c r="A468" s="61" t="s">
        <v>1300</v>
      </c>
      <c r="B468" s="178" t="s">
        <v>968</v>
      </c>
    </row>
    <row r="469" spans="1:4" ht="21" x14ac:dyDescent="0.35">
      <c r="A469" s="180" t="s">
        <v>832</v>
      </c>
      <c r="D469" s="180"/>
    </row>
    <row r="470" spans="1:4" ht="21" x14ac:dyDescent="0.35">
      <c r="A470" s="61" t="s">
        <v>1301</v>
      </c>
      <c r="B470" s="178" t="s">
        <v>833</v>
      </c>
      <c r="D470" s="180"/>
    </row>
    <row r="471" spans="1:4" ht="21" x14ac:dyDescent="0.35">
      <c r="A471" s="61" t="s">
        <v>1302</v>
      </c>
      <c r="B471" s="178" t="s">
        <v>973</v>
      </c>
      <c r="D471" s="180"/>
    </row>
    <row r="472" spans="1:4" ht="21" x14ac:dyDescent="0.35">
      <c r="A472" s="61" t="s">
        <v>1303</v>
      </c>
      <c r="B472" s="178" t="s">
        <v>976</v>
      </c>
      <c r="D472" s="180"/>
    </row>
    <row r="473" spans="1:4" ht="21" x14ac:dyDescent="0.35">
      <c r="A473" s="61" t="s">
        <v>1304</v>
      </c>
      <c r="B473" s="178" t="s">
        <v>977</v>
      </c>
      <c r="D473" s="180"/>
    </row>
    <row r="474" spans="1:4" ht="21" x14ac:dyDescent="0.35">
      <c r="A474" s="61" t="s">
        <v>1305</v>
      </c>
      <c r="B474" s="178" t="s">
        <v>974</v>
      </c>
      <c r="D474" s="180"/>
    </row>
    <row r="475" spans="1:4" ht="21" x14ac:dyDescent="0.35">
      <c r="A475" s="61" t="s">
        <v>1306</v>
      </c>
      <c r="B475" s="178" t="s">
        <v>978</v>
      </c>
      <c r="D475" s="180"/>
    </row>
    <row r="476" spans="1:4" ht="21" x14ac:dyDescent="0.35">
      <c r="A476" s="61" t="s">
        <v>1307</v>
      </c>
      <c r="B476" s="178" t="s">
        <v>975</v>
      </c>
      <c r="D476" s="180"/>
    </row>
    <row r="477" spans="1:4" ht="21" x14ac:dyDescent="0.35">
      <c r="A477" s="61" t="s">
        <v>1308</v>
      </c>
      <c r="B477" s="178" t="s">
        <v>586</v>
      </c>
      <c r="D477" s="180"/>
    </row>
    <row r="478" spans="1:4" ht="21" x14ac:dyDescent="0.35">
      <c r="A478" s="61" t="s">
        <v>1309</v>
      </c>
      <c r="B478" s="178" t="s">
        <v>714</v>
      </c>
      <c r="D478" s="180"/>
    </row>
    <row r="479" spans="1:4" ht="21" x14ac:dyDescent="0.35">
      <c r="A479" s="61" t="s">
        <v>1310</v>
      </c>
      <c r="B479" s="178" t="s">
        <v>587</v>
      </c>
      <c r="D479" s="180"/>
    </row>
    <row r="480" spans="1:4" ht="21" x14ac:dyDescent="0.35">
      <c r="A480" s="61" t="s">
        <v>1315</v>
      </c>
      <c r="B480" s="178" t="s">
        <v>1025</v>
      </c>
      <c r="D480" s="180"/>
    </row>
    <row r="481" spans="1:4" ht="21" x14ac:dyDescent="0.35">
      <c r="A481" s="61" t="s">
        <v>1316</v>
      </c>
      <c r="B481" s="178" t="s">
        <v>1026</v>
      </c>
      <c r="D481" s="180"/>
    </row>
    <row r="482" spans="1:4" ht="21" x14ac:dyDescent="0.35">
      <c r="A482" s="61" t="s">
        <v>1317</v>
      </c>
      <c r="B482" s="178" t="s">
        <v>715</v>
      </c>
      <c r="D482" s="180"/>
    </row>
    <row r="483" spans="1:4" ht="21" x14ac:dyDescent="0.35">
      <c r="A483" s="61" t="s">
        <v>1311</v>
      </c>
      <c r="B483" s="178" t="s">
        <v>979</v>
      </c>
      <c r="D483" s="180"/>
    </row>
    <row r="484" spans="1:4" ht="21" x14ac:dyDescent="0.35">
      <c r="A484" s="61" t="s">
        <v>1312</v>
      </c>
      <c r="B484" s="178" t="s">
        <v>588</v>
      </c>
      <c r="D484" s="180"/>
    </row>
    <row r="485" spans="1:4" ht="21" x14ac:dyDescent="0.35">
      <c r="A485" s="61" t="s">
        <v>1870</v>
      </c>
      <c r="B485" s="178" t="s">
        <v>980</v>
      </c>
      <c r="D485" s="180"/>
    </row>
    <row r="486" spans="1:4" ht="21" x14ac:dyDescent="0.35">
      <c r="A486" s="61" t="s">
        <v>1313</v>
      </c>
      <c r="B486" s="178" t="s">
        <v>589</v>
      </c>
      <c r="D486" s="180"/>
    </row>
    <row r="487" spans="1:4" ht="21" x14ac:dyDescent="0.35">
      <c r="A487" s="61" t="s">
        <v>1314</v>
      </c>
      <c r="B487" s="178" t="s">
        <v>590</v>
      </c>
    </row>
    <row r="488" spans="1:4" ht="21" x14ac:dyDescent="0.35">
      <c r="A488" s="180" t="s">
        <v>834</v>
      </c>
    </row>
    <row r="489" spans="1:4" s="181" customFormat="1" ht="21" x14ac:dyDescent="0.35">
      <c r="A489" s="61" t="s">
        <v>1869</v>
      </c>
      <c r="B489" s="178" t="s">
        <v>835</v>
      </c>
      <c r="D489" s="185"/>
    </row>
    <row r="490" spans="1:4" ht="21" x14ac:dyDescent="0.35">
      <c r="A490" s="180" t="s">
        <v>743</v>
      </c>
    </row>
    <row r="491" spans="1:4" s="181" customFormat="1" ht="21" x14ac:dyDescent="0.35">
      <c r="A491" s="61" t="s">
        <v>1292</v>
      </c>
      <c r="B491" s="178" t="s">
        <v>933</v>
      </c>
      <c r="D491" s="185"/>
    </row>
    <row r="492" spans="1:4" ht="21" x14ac:dyDescent="0.35"/>
    <row r="493" spans="1:4" ht="21" x14ac:dyDescent="0.35">
      <c r="A493" s="61" t="s">
        <v>1318</v>
      </c>
      <c r="B493" s="178" t="s">
        <v>1029</v>
      </c>
    </row>
    <row r="494" spans="1:4" ht="21" x14ac:dyDescent="0.35">
      <c r="A494" s="61" t="s">
        <v>1319</v>
      </c>
      <c r="B494" s="178" t="s">
        <v>950</v>
      </c>
    </row>
    <row r="495" spans="1:4" ht="21" x14ac:dyDescent="0.35"/>
    <row r="496" spans="1:4" ht="21" x14ac:dyDescent="0.35">
      <c r="A496" s="180" t="s">
        <v>1871</v>
      </c>
    </row>
    <row r="497" spans="1:2" ht="21" x14ac:dyDescent="0.35">
      <c r="A497" s="61" t="s">
        <v>1872</v>
      </c>
      <c r="B497" s="178" t="s">
        <v>1875</v>
      </c>
    </row>
    <row r="498" spans="1:2" s="180" customFormat="1" ht="21" x14ac:dyDescent="0.35">
      <c r="A498" s="61" t="s">
        <v>1873</v>
      </c>
      <c r="B498" s="178" t="s">
        <v>1874</v>
      </c>
    </row>
    <row r="499" spans="1:2" s="180" customFormat="1" ht="21" x14ac:dyDescent="0.35">
      <c r="A499" s="61" t="s">
        <v>1876</v>
      </c>
      <c r="B499" s="178" t="s">
        <v>1877</v>
      </c>
    </row>
    <row r="500" spans="1:2" s="180" customFormat="1" ht="21" x14ac:dyDescent="0.35">
      <c r="A500" s="61" t="s">
        <v>752</v>
      </c>
      <c r="B500" s="178" t="s">
        <v>752</v>
      </c>
    </row>
    <row r="501" spans="1:2" s="180" customFormat="1" ht="21" x14ac:dyDescent="0.35"/>
    <row r="502" spans="1:2" s="180" customFormat="1" ht="21" x14ac:dyDescent="0.35">
      <c r="A502" s="61" t="s">
        <v>1320</v>
      </c>
      <c r="B502" s="178" t="s">
        <v>215</v>
      </c>
    </row>
    <row r="503" spans="1:2" s="180" customFormat="1" ht="21" x14ac:dyDescent="0.35">
      <c r="A503" s="61" t="s">
        <v>1321</v>
      </c>
      <c r="B503" s="178" t="s">
        <v>216</v>
      </c>
    </row>
    <row r="504" spans="1:2" s="180" customFormat="1" ht="21" x14ac:dyDescent="0.35"/>
    <row r="505" spans="1:2" s="180" customFormat="1" ht="21" x14ac:dyDescent="0.35">
      <c r="A505" s="61" t="s">
        <v>1322</v>
      </c>
      <c r="B505" s="178" t="s">
        <v>217</v>
      </c>
    </row>
    <row r="506" spans="1:2" s="180" customFormat="1" ht="21" x14ac:dyDescent="0.35"/>
    <row r="507" spans="1:2" s="180" customFormat="1" ht="21" x14ac:dyDescent="0.35"/>
    <row r="508" spans="1:2" s="180" customFormat="1" ht="21" x14ac:dyDescent="0.35"/>
    <row r="509" spans="1:2" s="180" customFormat="1" ht="21" x14ac:dyDescent="0.35">
      <c r="A509" s="61" t="s">
        <v>1323</v>
      </c>
      <c r="B509" s="178" t="s">
        <v>223</v>
      </c>
    </row>
    <row r="510" spans="1:2" s="180" customFormat="1" ht="21" x14ac:dyDescent="0.35"/>
    <row r="511" spans="1:2" s="180" customFormat="1" ht="21" x14ac:dyDescent="0.35"/>
    <row r="512" spans="1:2" s="180" customFormat="1" ht="21" x14ac:dyDescent="0.35">
      <c r="A512" s="61" t="s">
        <v>1324</v>
      </c>
      <c r="B512" s="178" t="s">
        <v>218</v>
      </c>
    </row>
    <row r="513" spans="1:4" s="181" customFormat="1" ht="21" x14ac:dyDescent="0.35">
      <c r="B513" s="179"/>
      <c r="D513" s="187"/>
    </row>
    <row r="514" spans="1:4" s="181" customFormat="1" ht="21" x14ac:dyDescent="0.35">
      <c r="B514" s="179"/>
      <c r="D514" s="187"/>
    </row>
    <row r="515" spans="1:4" s="181" customFormat="1" ht="21" x14ac:dyDescent="0.35">
      <c r="A515" s="181" t="s">
        <v>721</v>
      </c>
      <c r="B515" s="179"/>
      <c r="D515" s="187"/>
    </row>
    <row r="516" spans="1:4" ht="21" x14ac:dyDescent="0.35"/>
    <row r="517" spans="1:4" ht="21" x14ac:dyDescent="0.35"/>
    <row r="518" spans="1:4" ht="21" x14ac:dyDescent="0.35"/>
    <row r="519" spans="1:4" ht="21" x14ac:dyDescent="0.35"/>
    <row r="520" spans="1:4" ht="21" x14ac:dyDescent="0.35"/>
    <row r="521" spans="1:4" ht="21" x14ac:dyDescent="0.35"/>
    <row r="522" spans="1:4" ht="21" x14ac:dyDescent="0.35"/>
    <row r="523" spans="1:4" ht="21" x14ac:dyDescent="0.35"/>
    <row r="524" spans="1:4" ht="21" x14ac:dyDescent="0.35"/>
    <row r="525" spans="1:4" s="181" customFormat="1" ht="21" x14ac:dyDescent="0.35">
      <c r="B525" s="179"/>
      <c r="D525" s="187"/>
    </row>
    <row r="526" spans="1:4" s="181" customFormat="1" ht="21" x14ac:dyDescent="0.35">
      <c r="B526" s="179"/>
      <c r="D526" s="187"/>
    </row>
    <row r="527" spans="1:4" s="181" customFormat="1" ht="21" x14ac:dyDescent="0.35">
      <c r="B527" s="179"/>
      <c r="D527" s="187"/>
    </row>
    <row r="528" spans="1:4" s="181" customFormat="1" ht="21" x14ac:dyDescent="0.35">
      <c r="B528" s="179"/>
      <c r="D528" s="187"/>
    </row>
    <row r="529" spans="1:4" s="181" customFormat="1" ht="21" x14ac:dyDescent="0.35">
      <c r="B529" s="179"/>
      <c r="D529" s="187"/>
    </row>
    <row r="530" spans="1:4" s="181" customFormat="1" ht="21" x14ac:dyDescent="0.35">
      <c r="B530" s="179"/>
      <c r="D530" s="187"/>
    </row>
    <row r="531" spans="1:4" s="181" customFormat="1" ht="21" x14ac:dyDescent="0.35">
      <c r="B531" s="179"/>
      <c r="D531" s="187"/>
    </row>
    <row r="532" spans="1:4" s="181" customFormat="1" ht="21" x14ac:dyDescent="0.35">
      <c r="B532" s="179"/>
      <c r="D532" s="187"/>
    </row>
    <row r="533" spans="1:4" s="181" customFormat="1" ht="21" x14ac:dyDescent="0.35">
      <c r="B533" s="179"/>
      <c r="D533" s="187"/>
    </row>
    <row r="534" spans="1:4" s="181" customFormat="1" ht="21" x14ac:dyDescent="0.35">
      <c r="B534" s="179"/>
      <c r="D534" s="187"/>
    </row>
    <row r="535" spans="1:4" s="181" customFormat="1" ht="21" x14ac:dyDescent="0.35">
      <c r="B535" s="179"/>
      <c r="D535" s="187"/>
    </row>
    <row r="536" spans="1:4" s="181" customFormat="1" ht="21" x14ac:dyDescent="0.35">
      <c r="B536" s="179"/>
      <c r="D536" s="187"/>
    </row>
    <row r="537" spans="1:4" s="181" customFormat="1" ht="21" x14ac:dyDescent="0.35">
      <c r="B537" s="179"/>
      <c r="D537" s="187"/>
    </row>
    <row r="538" spans="1:4" s="181" customFormat="1" ht="21" x14ac:dyDescent="0.35">
      <c r="B538" s="179"/>
      <c r="D538" s="187"/>
    </row>
    <row r="539" spans="1:4" s="181" customFormat="1" ht="21" x14ac:dyDescent="0.35">
      <c r="B539" s="179"/>
      <c r="D539" s="187"/>
    </row>
    <row r="540" spans="1:4" s="181" customFormat="1" ht="21" x14ac:dyDescent="0.35">
      <c r="B540" s="179"/>
      <c r="D540" s="187"/>
    </row>
    <row r="541" spans="1:4" s="181" customFormat="1" ht="21" x14ac:dyDescent="0.35">
      <c r="B541" s="179"/>
      <c r="D541" s="187"/>
    </row>
    <row r="542" spans="1:4" s="181" customFormat="1" ht="21" x14ac:dyDescent="0.35">
      <c r="B542" s="179"/>
      <c r="D542" s="187"/>
    </row>
    <row r="543" spans="1:4" s="181" customFormat="1" ht="21" x14ac:dyDescent="0.35">
      <c r="A543" s="179"/>
      <c r="B543" s="179"/>
      <c r="D543" s="187"/>
    </row>
    <row r="544" spans="1:4" s="181" customFormat="1" ht="21" x14ac:dyDescent="0.35">
      <c r="A544" s="179"/>
      <c r="B544" s="179"/>
      <c r="D544" s="187"/>
    </row>
    <row r="545" spans="1:4" s="181" customFormat="1" ht="21" x14ac:dyDescent="0.35">
      <c r="A545" s="179"/>
      <c r="B545" s="179"/>
      <c r="D545" s="187"/>
    </row>
    <row r="546" spans="1:4" s="181" customFormat="1" ht="21" x14ac:dyDescent="0.35">
      <c r="A546" s="179"/>
      <c r="B546" s="179"/>
      <c r="D546" s="187"/>
    </row>
    <row r="547" spans="1:4" s="181" customFormat="1" ht="21" x14ac:dyDescent="0.35">
      <c r="A547" s="179"/>
      <c r="B547" s="179"/>
      <c r="D547" s="187"/>
    </row>
    <row r="548" spans="1:4" s="181" customFormat="1" ht="21" x14ac:dyDescent="0.35">
      <c r="A548" s="179"/>
      <c r="B548" s="179"/>
      <c r="D548" s="187"/>
    </row>
    <row r="549" spans="1:4" ht="21" x14ac:dyDescent="0.35">
      <c r="A549" s="61" t="s">
        <v>1040</v>
      </c>
      <c r="B549" s="178" t="s">
        <v>32</v>
      </c>
    </row>
    <row r="550" spans="1:4" ht="21" x14ac:dyDescent="0.35">
      <c r="A550" s="61" t="s">
        <v>1325</v>
      </c>
      <c r="B550" s="178" t="s">
        <v>33</v>
      </c>
    </row>
    <row r="551" spans="1:4" s="181" customFormat="1" ht="21" x14ac:dyDescent="0.35">
      <c r="A551" s="61"/>
      <c r="B551" s="179"/>
      <c r="D551" s="185"/>
    </row>
    <row r="552" spans="1:4" ht="21" x14ac:dyDescent="0.35">
      <c r="A552" s="61" t="s">
        <v>1326</v>
      </c>
      <c r="B552" s="178" t="s">
        <v>199</v>
      </c>
    </row>
    <row r="553" spans="1:4" ht="21" x14ac:dyDescent="0.35">
      <c r="A553" s="61" t="s">
        <v>1327</v>
      </c>
      <c r="B553" s="178" t="s">
        <v>224</v>
      </c>
    </row>
    <row r="554" spans="1:4" s="181" customFormat="1" ht="21" x14ac:dyDescent="0.35">
      <c r="A554" s="61"/>
      <c r="B554" s="179"/>
      <c r="D554" s="185"/>
    </row>
    <row r="555" spans="1:4" ht="21" x14ac:dyDescent="0.35"/>
    <row r="556" spans="1:4" ht="21" x14ac:dyDescent="0.35"/>
    <row r="557" spans="1:4" ht="21" x14ac:dyDescent="0.35">
      <c r="A557" s="61"/>
      <c r="B557" s="178"/>
    </row>
    <row r="558" spans="1:4" ht="21" x14ac:dyDescent="0.35"/>
    <row r="559" spans="1:4" ht="21" x14ac:dyDescent="0.35"/>
    <row r="560" spans="1:4" ht="21" x14ac:dyDescent="0.35"/>
    <row r="561" spans="1:2" s="180" customFormat="1" ht="21" x14ac:dyDescent="0.35"/>
    <row r="562" spans="1:2" s="180" customFormat="1" ht="21" x14ac:dyDescent="0.35"/>
    <row r="563" spans="1:2" s="180" customFormat="1" ht="21" x14ac:dyDescent="0.35"/>
    <row r="564" spans="1:2" s="180" customFormat="1" ht="21" x14ac:dyDescent="0.35"/>
    <row r="565" spans="1:2" s="180" customFormat="1" ht="21" x14ac:dyDescent="0.35"/>
    <row r="566" spans="1:2" s="180" customFormat="1" ht="21" x14ac:dyDescent="0.35">
      <c r="A566" s="61" t="s">
        <v>1328</v>
      </c>
      <c r="B566" s="178" t="s">
        <v>328</v>
      </c>
    </row>
    <row r="567" spans="1:2" s="180" customFormat="1" ht="21" x14ac:dyDescent="0.35">
      <c r="A567" s="61" t="s">
        <v>1329</v>
      </c>
      <c r="B567" s="178" t="s">
        <v>330</v>
      </c>
    </row>
    <row r="568" spans="1:2" s="180" customFormat="1" ht="21" x14ac:dyDescent="0.35">
      <c r="A568" s="61" t="s">
        <v>1330</v>
      </c>
      <c r="B568" s="178" t="s">
        <v>331</v>
      </c>
    </row>
    <row r="569" spans="1:2" s="180" customFormat="1" ht="21" x14ac:dyDescent="0.35">
      <c r="A569" s="61" t="s">
        <v>1331</v>
      </c>
      <c r="B569" s="178" t="s">
        <v>329</v>
      </c>
    </row>
    <row r="570" spans="1:2" s="180" customFormat="1" ht="21" x14ac:dyDescent="0.35">
      <c r="A570" s="61" t="s">
        <v>1332</v>
      </c>
      <c r="B570" s="178" t="s">
        <v>334</v>
      </c>
    </row>
    <row r="571" spans="1:2" s="180" customFormat="1" ht="21" x14ac:dyDescent="0.35">
      <c r="A571" s="61" t="s">
        <v>1333</v>
      </c>
      <c r="B571" s="178" t="s">
        <v>335</v>
      </c>
    </row>
    <row r="572" spans="1:2" s="180" customFormat="1" ht="21" x14ac:dyDescent="0.35"/>
    <row r="573" spans="1:2" s="180" customFormat="1" ht="21" x14ac:dyDescent="0.35"/>
    <row r="574" spans="1:2" s="180" customFormat="1" ht="21" x14ac:dyDescent="0.35"/>
    <row r="575" spans="1:2" s="180" customFormat="1" ht="21" x14ac:dyDescent="0.35"/>
    <row r="576" spans="1:2" s="180" customFormat="1" ht="21" x14ac:dyDescent="0.35"/>
    <row r="577" spans="1:4" ht="21" x14ac:dyDescent="0.35"/>
    <row r="578" spans="1:4" ht="21" x14ac:dyDescent="0.35"/>
    <row r="579" spans="1:4" ht="21" x14ac:dyDescent="0.35"/>
    <row r="580" spans="1:4" s="181" customFormat="1" ht="21" x14ac:dyDescent="0.35">
      <c r="A580" s="61" t="s">
        <v>1334</v>
      </c>
      <c r="B580" s="178" t="s">
        <v>689</v>
      </c>
      <c r="D580" s="185"/>
    </row>
    <row r="581" spans="1:4" ht="21" x14ac:dyDescent="0.35">
      <c r="A581" s="61" t="s">
        <v>1335</v>
      </c>
      <c r="B581" s="178" t="s">
        <v>214</v>
      </c>
    </row>
    <row r="582" spans="1:4" ht="21" x14ac:dyDescent="0.35"/>
    <row r="583" spans="1:4" ht="21" x14ac:dyDescent="0.35">
      <c r="A583" s="61" t="s">
        <v>1259</v>
      </c>
      <c r="B583" s="178" t="s">
        <v>165</v>
      </c>
    </row>
    <row r="584" spans="1:4" ht="21" x14ac:dyDescent="0.35"/>
    <row r="585" spans="1:4" ht="21" x14ac:dyDescent="0.35"/>
    <row r="586" spans="1:4" ht="21" x14ac:dyDescent="0.35"/>
    <row r="587" spans="1:4" ht="21" x14ac:dyDescent="0.35"/>
    <row r="588" spans="1:4" s="181" customFormat="1" ht="21" x14ac:dyDescent="0.35">
      <c r="A588" s="61" t="s">
        <v>1336</v>
      </c>
      <c r="B588" s="178" t="s">
        <v>688</v>
      </c>
      <c r="D588" s="185"/>
    </row>
    <row r="589" spans="1:4" ht="21" x14ac:dyDescent="0.35"/>
    <row r="590" spans="1:4" ht="21" x14ac:dyDescent="0.35">
      <c r="A590" s="61" t="s">
        <v>1337</v>
      </c>
      <c r="B590" s="178" t="s">
        <v>581</v>
      </c>
    </row>
    <row r="591" spans="1:4" ht="21" x14ac:dyDescent="0.35">
      <c r="A591" s="61" t="s">
        <v>1215</v>
      </c>
      <c r="B591" s="178" t="s">
        <v>40</v>
      </c>
    </row>
    <row r="592" spans="1:4" ht="21" x14ac:dyDescent="0.35">
      <c r="A592" s="61" t="s">
        <v>1260</v>
      </c>
      <c r="B592" s="178" t="s">
        <v>141</v>
      </c>
    </row>
    <row r="593" spans="1:4" ht="21" x14ac:dyDescent="0.35">
      <c r="A593" s="61" t="s">
        <v>1249</v>
      </c>
      <c r="B593" s="178" t="s">
        <v>149</v>
      </c>
    </row>
    <row r="594" spans="1:4" ht="21" x14ac:dyDescent="0.35">
      <c r="A594" s="61" t="s">
        <v>1338</v>
      </c>
      <c r="B594" s="178" t="s">
        <v>133</v>
      </c>
    </row>
    <row r="595" spans="1:4" ht="21" x14ac:dyDescent="0.35">
      <c r="A595" s="61" t="s">
        <v>1262</v>
      </c>
      <c r="B595" s="178" t="s">
        <v>134</v>
      </c>
    </row>
    <row r="596" spans="1:4" ht="21" x14ac:dyDescent="0.35">
      <c r="A596" s="61" t="s">
        <v>1263</v>
      </c>
      <c r="B596" s="178" t="s">
        <v>171</v>
      </c>
    </row>
    <row r="597" spans="1:4" ht="21" x14ac:dyDescent="0.35">
      <c r="A597" s="61" t="s">
        <v>1339</v>
      </c>
      <c r="B597" s="178" t="s">
        <v>135</v>
      </c>
    </row>
    <row r="598" spans="1:4" ht="21" x14ac:dyDescent="0.35">
      <c r="A598" s="61" t="s">
        <v>1340</v>
      </c>
      <c r="B598" s="178" t="s">
        <v>582</v>
      </c>
    </row>
    <row r="599" spans="1:4" ht="21" x14ac:dyDescent="0.35">
      <c r="A599" s="61" t="s">
        <v>1266</v>
      </c>
      <c r="B599" s="178" t="s">
        <v>170</v>
      </c>
    </row>
    <row r="600" spans="1:4" ht="21" x14ac:dyDescent="0.35">
      <c r="A600" s="61" t="s">
        <v>1341</v>
      </c>
      <c r="B600" s="178" t="s">
        <v>219</v>
      </c>
    </row>
    <row r="601" spans="1:4" ht="21" x14ac:dyDescent="0.35">
      <c r="A601" s="61" t="s">
        <v>1268</v>
      </c>
      <c r="B601" s="178" t="s">
        <v>147</v>
      </c>
    </row>
    <row r="602" spans="1:4" ht="21" x14ac:dyDescent="0.35">
      <c r="A602" s="61" t="s">
        <v>1215</v>
      </c>
      <c r="B602" s="178" t="s">
        <v>169</v>
      </c>
    </row>
    <row r="603" spans="1:4" s="181" customFormat="1" ht="21" x14ac:dyDescent="0.35">
      <c r="A603" s="61" t="s">
        <v>1342</v>
      </c>
      <c r="B603" s="178" t="s">
        <v>583</v>
      </c>
      <c r="D603" s="185"/>
    </row>
    <row r="604" spans="1:4" ht="21" x14ac:dyDescent="0.35"/>
    <row r="605" spans="1:4" ht="21" x14ac:dyDescent="0.35"/>
    <row r="606" spans="1:4" ht="21" x14ac:dyDescent="0.35"/>
    <row r="607" spans="1:4" ht="21" x14ac:dyDescent="0.35"/>
    <row r="608" spans="1:4" ht="21" x14ac:dyDescent="0.35"/>
    <row r="609" spans="1:4" ht="21" x14ac:dyDescent="0.35"/>
    <row r="610" spans="1:4" s="181" customFormat="1" ht="21" x14ac:dyDescent="0.35">
      <c r="A610" s="61" t="s">
        <v>1250</v>
      </c>
      <c r="B610" s="178" t="s">
        <v>201</v>
      </c>
      <c r="D610" s="185"/>
    </row>
    <row r="611" spans="1:4" s="181" customFormat="1" ht="21" x14ac:dyDescent="0.35">
      <c r="A611" s="61" t="s">
        <v>1239</v>
      </c>
      <c r="B611" s="178" t="s">
        <v>43</v>
      </c>
      <c r="D611" s="185"/>
    </row>
    <row r="612" spans="1:4" s="181" customFormat="1" ht="21" x14ac:dyDescent="0.35">
      <c r="A612" s="61" t="s">
        <v>1240</v>
      </c>
      <c r="B612" s="178" t="s">
        <v>157</v>
      </c>
      <c r="D612" s="185"/>
    </row>
    <row r="613" spans="1:4" s="181" customFormat="1" ht="21" x14ac:dyDescent="0.35">
      <c r="A613" s="61" t="s">
        <v>1241</v>
      </c>
      <c r="B613" s="178" t="s">
        <v>680</v>
      </c>
      <c r="D613" s="185"/>
    </row>
    <row r="614" spans="1:4" s="181" customFormat="1" ht="21" x14ac:dyDescent="0.35">
      <c r="A614" s="61" t="s">
        <v>1242</v>
      </c>
      <c r="B614" s="178" t="s">
        <v>681</v>
      </c>
      <c r="D614" s="185"/>
    </row>
    <row r="615" spans="1:4" s="181" customFormat="1" ht="21" x14ac:dyDescent="0.35">
      <c r="A615" s="61" t="s">
        <v>1243</v>
      </c>
      <c r="B615" s="178" t="s">
        <v>682</v>
      </c>
      <c r="D615" s="185"/>
    </row>
    <row r="616" spans="1:4" s="181" customFormat="1" ht="21" x14ac:dyDescent="0.35">
      <c r="A616" s="61" t="s">
        <v>1244</v>
      </c>
      <c r="B616" s="178" t="s">
        <v>683</v>
      </c>
      <c r="D616" s="185"/>
    </row>
    <row r="617" spans="1:4" s="181" customFormat="1" ht="21" x14ac:dyDescent="0.35">
      <c r="A617" s="61" t="s">
        <v>1343</v>
      </c>
      <c r="B617" s="178" t="s">
        <v>708</v>
      </c>
      <c r="D617" s="185"/>
    </row>
    <row r="618" spans="1:4" s="181" customFormat="1" ht="21" x14ac:dyDescent="0.35">
      <c r="A618" s="61" t="s">
        <v>1215</v>
      </c>
      <c r="B618" s="178" t="s">
        <v>40</v>
      </c>
      <c r="D618" s="185"/>
    </row>
    <row r="619" spans="1:4" s="181" customFormat="1" ht="21" x14ac:dyDescent="0.35">
      <c r="A619" s="61" t="s">
        <v>1247</v>
      </c>
      <c r="B619" s="178" t="s">
        <v>684</v>
      </c>
      <c r="D619" s="185"/>
    </row>
    <row r="620" spans="1:4" s="181" customFormat="1" ht="21" x14ac:dyDescent="0.35">
      <c r="A620" s="61" t="s">
        <v>1246</v>
      </c>
      <c r="B620" s="178" t="s">
        <v>698</v>
      </c>
      <c r="D620" s="185"/>
    </row>
    <row r="621" spans="1:4" s="181" customFormat="1" ht="21" x14ac:dyDescent="0.35">
      <c r="A621" s="61" t="s">
        <v>1187</v>
      </c>
      <c r="B621" s="178" t="s">
        <v>161</v>
      </c>
      <c r="D621" s="185"/>
    </row>
    <row r="622" spans="1:4" s="181" customFormat="1" ht="21" x14ac:dyDescent="0.35">
      <c r="A622" s="61" t="s">
        <v>1251</v>
      </c>
      <c r="B622" s="178" t="s">
        <v>162</v>
      </c>
      <c r="D622" s="185"/>
    </row>
    <row r="623" spans="1:4" s="181" customFormat="1" ht="21" x14ac:dyDescent="0.35">
      <c r="A623" s="61" t="s">
        <v>1239</v>
      </c>
      <c r="B623" s="178" t="s">
        <v>43</v>
      </c>
      <c r="D623" s="185"/>
    </row>
    <row r="624" spans="1:4" s="181" customFormat="1" ht="21" x14ac:dyDescent="0.35">
      <c r="A624" s="61" t="s">
        <v>1240</v>
      </c>
      <c r="B624" s="178" t="s">
        <v>157</v>
      </c>
      <c r="D624" s="185"/>
    </row>
    <row r="625" spans="1:4" s="181" customFormat="1" ht="21" x14ac:dyDescent="0.35">
      <c r="A625" s="61" t="s">
        <v>1248</v>
      </c>
      <c r="B625" s="178" t="s">
        <v>158</v>
      </c>
      <c r="D625" s="185"/>
    </row>
    <row r="626" spans="1:4" s="181" customFormat="1" ht="21" x14ac:dyDescent="0.35">
      <c r="A626" s="61" t="s">
        <v>1278</v>
      </c>
      <c r="B626" s="178" t="s">
        <v>159</v>
      </c>
      <c r="D626" s="185"/>
    </row>
    <row r="627" spans="1:4" s="181" customFormat="1" ht="21" x14ac:dyDescent="0.35">
      <c r="A627" s="61" t="s">
        <v>1344</v>
      </c>
      <c r="B627" s="178" t="s">
        <v>167</v>
      </c>
      <c r="D627" s="185"/>
    </row>
    <row r="628" spans="1:4" s="181" customFormat="1" ht="21" x14ac:dyDescent="0.35">
      <c r="A628" s="61" t="s">
        <v>1345</v>
      </c>
      <c r="B628" s="178" t="s">
        <v>160</v>
      </c>
      <c r="D628" s="185"/>
    </row>
    <row r="629" spans="1:4" ht="21" x14ac:dyDescent="0.35"/>
    <row r="630" spans="1:4" ht="21" x14ac:dyDescent="0.35"/>
    <row r="631" spans="1:4" ht="21" x14ac:dyDescent="0.35"/>
    <row r="632" spans="1:4" s="181" customFormat="1" ht="21" x14ac:dyDescent="0.35">
      <c r="A632" s="61" t="s">
        <v>1346</v>
      </c>
      <c r="B632" s="178" t="s">
        <v>120</v>
      </c>
      <c r="D632" s="185"/>
    </row>
    <row r="633" spans="1:4" s="181" customFormat="1" ht="21" x14ac:dyDescent="0.35">
      <c r="A633" s="61" t="s">
        <v>1347</v>
      </c>
      <c r="B633" s="178" t="s">
        <v>151</v>
      </c>
      <c r="D633" s="185"/>
    </row>
    <row r="634" spans="1:4" s="181" customFormat="1" ht="21" x14ac:dyDescent="0.35">
      <c r="A634" s="61" t="s">
        <v>1348</v>
      </c>
      <c r="B634" s="178" t="s">
        <v>117</v>
      </c>
      <c r="D634" s="185"/>
    </row>
    <row r="635" spans="1:4" s="181" customFormat="1" ht="21" x14ac:dyDescent="0.35">
      <c r="A635" s="61" t="s">
        <v>1349</v>
      </c>
      <c r="B635" s="178" t="s">
        <v>152</v>
      </c>
      <c r="D635" s="185"/>
    </row>
    <row r="636" spans="1:4" s="181" customFormat="1" ht="21" x14ac:dyDescent="0.35">
      <c r="A636" s="61" t="s">
        <v>1350</v>
      </c>
      <c r="B636" s="178" t="s">
        <v>153</v>
      </c>
      <c r="D636" s="185"/>
    </row>
    <row r="637" spans="1:4" s="181" customFormat="1" ht="21" x14ac:dyDescent="0.35">
      <c r="A637" s="61" t="s">
        <v>1351</v>
      </c>
      <c r="B637" s="178" t="s">
        <v>119</v>
      </c>
      <c r="D637" s="185"/>
    </row>
    <row r="638" spans="1:4" s="181" customFormat="1" ht="21" x14ac:dyDescent="0.35">
      <c r="A638" s="61" t="s">
        <v>1352</v>
      </c>
      <c r="B638" s="178" t="s">
        <v>139</v>
      </c>
      <c r="D638" s="185"/>
    </row>
    <row r="639" spans="1:4" s="181" customFormat="1" ht="21" x14ac:dyDescent="0.35">
      <c r="A639" s="61" t="s">
        <v>1353</v>
      </c>
      <c r="B639" s="178" t="s">
        <v>164</v>
      </c>
      <c r="D639" s="185"/>
    </row>
    <row r="640" spans="1:4" s="181" customFormat="1" ht="21" x14ac:dyDescent="0.35">
      <c r="A640" s="61" t="s">
        <v>1190</v>
      </c>
      <c r="B640" s="178" t="s">
        <v>154</v>
      </c>
      <c r="D640" s="185"/>
    </row>
    <row r="641" spans="1:4" s="181" customFormat="1" ht="21" x14ac:dyDescent="0.35">
      <c r="A641" s="61" t="s">
        <v>1256</v>
      </c>
      <c r="B641" s="178" t="s">
        <v>155</v>
      </c>
      <c r="D641" s="185"/>
    </row>
    <row r="642" spans="1:4" s="181" customFormat="1" ht="21" x14ac:dyDescent="0.35">
      <c r="A642" s="61" t="s">
        <v>1199</v>
      </c>
      <c r="B642" s="178" t="s">
        <v>685</v>
      </c>
      <c r="D642" s="185"/>
    </row>
    <row r="643" spans="1:4" s="181" customFormat="1" ht="21" x14ac:dyDescent="0.35">
      <c r="A643" s="207" t="s">
        <v>1257</v>
      </c>
      <c r="B643" s="178" t="s">
        <v>156</v>
      </c>
      <c r="D643" s="185"/>
    </row>
    <row r="644" spans="1:4" s="181" customFormat="1" ht="21" x14ac:dyDescent="0.35">
      <c r="A644" s="61" t="s">
        <v>1254</v>
      </c>
      <c r="B644" s="178" t="s">
        <v>342</v>
      </c>
      <c r="D644" s="185"/>
    </row>
    <row r="645" spans="1:4" s="181" customFormat="1" ht="21" x14ac:dyDescent="0.35">
      <c r="A645" s="61" t="s">
        <v>1354</v>
      </c>
      <c r="B645" s="178" t="s">
        <v>168</v>
      </c>
      <c r="D645" s="185"/>
    </row>
    <row r="646" spans="1:4" s="181" customFormat="1" ht="21" x14ac:dyDescent="0.35">
      <c r="A646" s="61" t="s">
        <v>1355</v>
      </c>
      <c r="B646" s="178" t="s">
        <v>140</v>
      </c>
      <c r="D646" s="185"/>
    </row>
    <row r="647" spans="1:4" ht="21" x14ac:dyDescent="0.35"/>
    <row r="648" spans="1:4" ht="21" x14ac:dyDescent="0.35">
      <c r="D648" s="180"/>
    </row>
    <row r="649" spans="1:4" ht="21" x14ac:dyDescent="0.35">
      <c r="D649" s="180"/>
    </row>
    <row r="650" spans="1:4" ht="21" x14ac:dyDescent="0.35">
      <c r="D650" s="180"/>
    </row>
    <row r="651" spans="1:4" ht="21" x14ac:dyDescent="0.35">
      <c r="D651" s="180"/>
    </row>
    <row r="652" spans="1:4" ht="21" x14ac:dyDescent="0.35">
      <c r="D652" s="180"/>
    </row>
    <row r="653" spans="1:4" ht="21" x14ac:dyDescent="0.35">
      <c r="D653" s="180"/>
    </row>
    <row r="654" spans="1:4" ht="21" x14ac:dyDescent="0.35">
      <c r="D654" s="180"/>
    </row>
    <row r="655" spans="1:4" ht="21" x14ac:dyDescent="0.35">
      <c r="D655" s="180"/>
    </row>
    <row r="656" spans="1:4" ht="21" x14ac:dyDescent="0.35">
      <c r="D656" s="180"/>
    </row>
    <row r="657" spans="1:4" ht="21" x14ac:dyDescent="0.35">
      <c r="D657" s="180"/>
    </row>
    <row r="658" spans="1:4" ht="21" x14ac:dyDescent="0.35">
      <c r="D658" s="180"/>
    </row>
    <row r="659" spans="1:4" ht="21" x14ac:dyDescent="0.35">
      <c r="D659" s="180"/>
    </row>
    <row r="660" spans="1:4" ht="21" x14ac:dyDescent="0.35">
      <c r="D660" s="180"/>
    </row>
    <row r="661" spans="1:4" ht="21" x14ac:dyDescent="0.35">
      <c r="D661" s="180"/>
    </row>
    <row r="662" spans="1:4" ht="21" x14ac:dyDescent="0.35">
      <c r="D662" s="180"/>
    </row>
    <row r="663" spans="1:4" ht="21" x14ac:dyDescent="0.35">
      <c r="D663" s="180"/>
    </row>
    <row r="664" spans="1:4" s="181" customFormat="1" ht="21" x14ac:dyDescent="0.35">
      <c r="A664" s="61" t="s">
        <v>1356</v>
      </c>
      <c r="B664" s="178" t="s">
        <v>690</v>
      </c>
      <c r="D664" s="185"/>
    </row>
    <row r="665" spans="1:4" ht="21" x14ac:dyDescent="0.35">
      <c r="A665" s="61" t="s">
        <v>1357</v>
      </c>
      <c r="B665" s="178" t="s">
        <v>196</v>
      </c>
    </row>
    <row r="666" spans="1:4" ht="21" x14ac:dyDescent="0.35"/>
    <row r="667" spans="1:4" ht="21" x14ac:dyDescent="0.35"/>
    <row r="668" spans="1:4" ht="21" x14ac:dyDescent="0.35"/>
    <row r="669" spans="1:4" ht="21" x14ac:dyDescent="0.35">
      <c r="A669" s="61" t="s">
        <v>1358</v>
      </c>
      <c r="B669" s="178" t="s">
        <v>180</v>
      </c>
    </row>
    <row r="670" spans="1:4" ht="21" x14ac:dyDescent="0.35">
      <c r="A670" s="61" t="s">
        <v>1359</v>
      </c>
      <c r="B670" s="178" t="s">
        <v>181</v>
      </c>
    </row>
    <row r="671" spans="1:4" ht="21" x14ac:dyDescent="0.35"/>
    <row r="672" spans="1:4" ht="21" x14ac:dyDescent="0.35"/>
    <row r="673" spans="4:4" ht="21" x14ac:dyDescent="0.35"/>
    <row r="674" spans="4:4" ht="21" x14ac:dyDescent="0.35"/>
    <row r="675" spans="4:4" ht="21" x14ac:dyDescent="0.35"/>
    <row r="676" spans="4:4" ht="21" x14ac:dyDescent="0.35"/>
    <row r="677" spans="4:4" ht="21" x14ac:dyDescent="0.35"/>
    <row r="678" spans="4:4" ht="21" x14ac:dyDescent="0.35"/>
    <row r="679" spans="4:4" ht="21" x14ac:dyDescent="0.35"/>
    <row r="680" spans="4:4" ht="21" x14ac:dyDescent="0.35">
      <c r="D680" s="180"/>
    </row>
    <row r="681" spans="4:4" ht="21" x14ac:dyDescent="0.35">
      <c r="D681" s="180"/>
    </row>
    <row r="682" spans="4:4" ht="21" x14ac:dyDescent="0.35">
      <c r="D682" s="180"/>
    </row>
    <row r="683" spans="4:4" ht="21" x14ac:dyDescent="0.35">
      <c r="D683" s="180"/>
    </row>
    <row r="684" spans="4:4" ht="21" x14ac:dyDescent="0.35">
      <c r="D684" s="180"/>
    </row>
    <row r="685" spans="4:4" ht="21" x14ac:dyDescent="0.35">
      <c r="D685" s="180"/>
    </row>
    <row r="686" spans="4:4" ht="21" x14ac:dyDescent="0.35">
      <c r="D686" s="180"/>
    </row>
    <row r="687" spans="4:4" ht="21" x14ac:dyDescent="0.35">
      <c r="D687" s="180"/>
    </row>
    <row r="688" spans="4:4" ht="21" x14ac:dyDescent="0.35">
      <c r="D688" s="180"/>
    </row>
    <row r="689" spans="1:4" ht="21" x14ac:dyDescent="0.35">
      <c r="D689" s="180"/>
    </row>
    <row r="690" spans="1:4" ht="21" x14ac:dyDescent="0.35">
      <c r="A690" s="61" t="s">
        <v>1083</v>
      </c>
      <c r="B690" s="178" t="s">
        <v>46</v>
      </c>
      <c r="D690" s="180"/>
    </row>
    <row r="691" spans="1:4" ht="21" x14ac:dyDescent="0.35">
      <c r="A691" s="61" t="s">
        <v>1084</v>
      </c>
      <c r="B691" s="178" t="s">
        <v>47</v>
      </c>
      <c r="D691" s="180"/>
    </row>
    <row r="692" spans="1:4" ht="21" x14ac:dyDescent="0.35">
      <c r="A692" s="61" t="s">
        <v>1085</v>
      </c>
      <c r="B692" s="178" t="s">
        <v>48</v>
      </c>
      <c r="D692" s="180"/>
    </row>
    <row r="693" spans="1:4" ht="21" x14ac:dyDescent="0.35">
      <c r="A693" s="61" t="s">
        <v>1086</v>
      </c>
      <c r="B693" s="178" t="s">
        <v>49</v>
      </c>
      <c r="D693" s="180"/>
    </row>
    <row r="694" spans="1:4" ht="21" x14ac:dyDescent="0.35">
      <c r="A694" s="61" t="s">
        <v>1087</v>
      </c>
      <c r="B694" s="178" t="s">
        <v>50</v>
      </c>
      <c r="D694" s="180"/>
    </row>
    <row r="695" spans="1:4" ht="21" x14ac:dyDescent="0.35">
      <c r="A695" s="61" t="s">
        <v>1088</v>
      </c>
      <c r="B695" s="178" t="s">
        <v>51</v>
      </c>
      <c r="D695" s="180"/>
    </row>
    <row r="696" spans="1:4" ht="21" x14ac:dyDescent="0.35">
      <c r="A696" s="61" t="s">
        <v>1089</v>
      </c>
      <c r="B696" s="178" t="s">
        <v>52</v>
      </c>
      <c r="D696" s="180"/>
    </row>
    <row r="697" spans="1:4" ht="21" x14ac:dyDescent="0.35">
      <c r="A697" s="61" t="s">
        <v>1090</v>
      </c>
      <c r="B697" s="178" t="s">
        <v>53</v>
      </c>
      <c r="D697" s="180"/>
    </row>
    <row r="698" spans="1:4" ht="21" x14ac:dyDescent="0.35">
      <c r="A698" s="61" t="s">
        <v>1091</v>
      </c>
      <c r="B698" s="178" t="s">
        <v>54</v>
      </c>
      <c r="D698" s="180"/>
    </row>
    <row r="699" spans="1:4" ht="21" x14ac:dyDescent="0.35">
      <c r="A699" s="61" t="s">
        <v>1092</v>
      </c>
      <c r="B699" s="178" t="s">
        <v>55</v>
      </c>
      <c r="D699" s="180"/>
    </row>
    <row r="700" spans="1:4" ht="21" x14ac:dyDescent="0.35">
      <c r="A700" s="61" t="s">
        <v>1093</v>
      </c>
      <c r="B700" s="178" t="s">
        <v>56</v>
      </c>
      <c r="D700" s="180"/>
    </row>
    <row r="701" spans="1:4" ht="21" x14ac:dyDescent="0.35">
      <c r="A701" s="61" t="s">
        <v>1094</v>
      </c>
      <c r="B701" s="178" t="s">
        <v>57</v>
      </c>
      <c r="D701" s="180"/>
    </row>
    <row r="702" spans="1:4" ht="21" x14ac:dyDescent="0.35">
      <c r="A702" s="61" t="s">
        <v>1095</v>
      </c>
      <c r="B702" s="178" t="s">
        <v>58</v>
      </c>
      <c r="D702" s="180"/>
    </row>
    <row r="703" spans="1:4" ht="21" x14ac:dyDescent="0.35">
      <c r="A703" s="61" t="s">
        <v>1096</v>
      </c>
      <c r="B703" s="178" t="s">
        <v>59</v>
      </c>
      <c r="D703" s="180"/>
    </row>
    <row r="704" spans="1:4" ht="21" x14ac:dyDescent="0.35">
      <c r="A704" s="61" t="s">
        <v>1097</v>
      </c>
      <c r="B704" s="178" t="s">
        <v>60</v>
      </c>
      <c r="D704" s="180"/>
    </row>
    <row r="705" spans="1:4" ht="21" x14ac:dyDescent="0.35">
      <c r="A705" s="61" t="s">
        <v>1098</v>
      </c>
      <c r="B705" s="178" t="s">
        <v>77</v>
      </c>
      <c r="D705" s="180"/>
    </row>
    <row r="706" spans="1:4" ht="21" x14ac:dyDescent="0.35">
      <c r="A706" s="61" t="s">
        <v>1360</v>
      </c>
      <c r="B706" s="178" t="s">
        <v>197</v>
      </c>
      <c r="D706" s="180"/>
    </row>
    <row r="707" spans="1:4" ht="21" x14ac:dyDescent="0.35">
      <c r="A707" s="61" t="s">
        <v>1361</v>
      </c>
      <c r="B707" s="178" t="s">
        <v>198</v>
      </c>
      <c r="D707" s="180"/>
    </row>
    <row r="708" spans="1:4" ht="21" x14ac:dyDescent="0.35">
      <c r="A708" s="61" t="s">
        <v>1362</v>
      </c>
      <c r="B708" s="178" t="s">
        <v>87</v>
      </c>
      <c r="D708" s="180"/>
    </row>
    <row r="709" spans="1:4" ht="21" x14ac:dyDescent="0.35">
      <c r="D709" s="180"/>
    </row>
    <row r="710" spans="1:4" ht="21" x14ac:dyDescent="0.35">
      <c r="D710" s="180"/>
    </row>
    <row r="711" spans="1:4" ht="21" x14ac:dyDescent="0.35">
      <c r="D711" s="180"/>
    </row>
    <row r="712" spans="1:4" ht="21" x14ac:dyDescent="0.35">
      <c r="D712" s="180"/>
    </row>
    <row r="713" spans="1:4" ht="21" x14ac:dyDescent="0.35">
      <c r="D713" s="180"/>
    </row>
    <row r="714" spans="1:4" ht="21" x14ac:dyDescent="0.35">
      <c r="D714" s="180"/>
    </row>
    <row r="715" spans="1:4" ht="21" x14ac:dyDescent="0.35">
      <c r="D715" s="180"/>
    </row>
    <row r="716" spans="1:4" ht="21" x14ac:dyDescent="0.35">
      <c r="D716" s="180"/>
    </row>
    <row r="717" spans="1:4" ht="21" x14ac:dyDescent="0.35">
      <c r="D717" s="180"/>
    </row>
    <row r="718" spans="1:4" ht="21" x14ac:dyDescent="0.35">
      <c r="D718" s="180"/>
    </row>
    <row r="719" spans="1:4" ht="21" x14ac:dyDescent="0.35">
      <c r="D719" s="180"/>
    </row>
    <row r="720" spans="1:4" ht="21" x14ac:dyDescent="0.35">
      <c r="D720" s="180"/>
    </row>
    <row r="721" spans="1:4" ht="21" x14ac:dyDescent="0.35">
      <c r="D721" s="180"/>
    </row>
    <row r="722" spans="1:4" ht="21" x14ac:dyDescent="0.35">
      <c r="D722" s="180"/>
    </row>
    <row r="723" spans="1:4" ht="21" x14ac:dyDescent="0.35">
      <c r="D723" s="180"/>
    </row>
    <row r="724" spans="1:4" ht="21" x14ac:dyDescent="0.35">
      <c r="D724" s="180"/>
    </row>
    <row r="725" spans="1:4" ht="21" x14ac:dyDescent="0.35">
      <c r="A725" s="61" t="s">
        <v>1363</v>
      </c>
      <c r="B725" s="178" t="s">
        <v>322</v>
      </c>
      <c r="D725" s="180"/>
    </row>
    <row r="726" spans="1:4" ht="21" x14ac:dyDescent="0.35">
      <c r="A726" s="61" t="s">
        <v>1364</v>
      </c>
      <c r="B726" s="178" t="s">
        <v>323</v>
      </c>
      <c r="D726" s="180"/>
    </row>
    <row r="727" spans="1:4" ht="21" x14ac:dyDescent="0.35">
      <c r="A727" s="61" t="s">
        <v>1365</v>
      </c>
      <c r="B727" s="178" t="s">
        <v>324</v>
      </c>
      <c r="D727" s="180"/>
    </row>
    <row r="728" spans="1:4" ht="21" x14ac:dyDescent="0.35">
      <c r="D728" s="180"/>
    </row>
    <row r="729" spans="1:4" ht="21" x14ac:dyDescent="0.35">
      <c r="D729" s="180"/>
    </row>
    <row r="730" spans="1:4" ht="21" x14ac:dyDescent="0.35">
      <c r="D730" s="180"/>
    </row>
    <row r="731" spans="1:4" ht="21" x14ac:dyDescent="0.35">
      <c r="D731" s="180"/>
    </row>
    <row r="732" spans="1:4" ht="21" x14ac:dyDescent="0.35">
      <c r="A732" s="61" t="s">
        <v>1366</v>
      </c>
      <c r="B732" s="178" t="s">
        <v>325</v>
      </c>
      <c r="D732" s="180"/>
    </row>
    <row r="733" spans="1:4" ht="21" x14ac:dyDescent="0.35">
      <c r="A733" s="61" t="s">
        <v>1367</v>
      </c>
      <c r="B733" s="178" t="s">
        <v>326</v>
      </c>
      <c r="D733" s="180"/>
    </row>
    <row r="734" spans="1:4" ht="21" x14ac:dyDescent="0.35">
      <c r="A734" s="61" t="s">
        <v>1368</v>
      </c>
      <c r="B734" s="178" t="s">
        <v>327</v>
      </c>
      <c r="D734" s="180"/>
    </row>
    <row r="735" spans="1:4" ht="21" x14ac:dyDescent="0.35">
      <c r="A735" s="61" t="s">
        <v>1369</v>
      </c>
      <c r="B735" s="178" t="s">
        <v>100</v>
      </c>
      <c r="D735" s="180"/>
    </row>
    <row r="736" spans="1:4" ht="21" x14ac:dyDescent="0.35">
      <c r="D736" s="180"/>
    </row>
    <row r="737" spans="1:4" ht="21" x14ac:dyDescent="0.35">
      <c r="D737" s="180"/>
    </row>
    <row r="738" spans="1:4" ht="21" x14ac:dyDescent="0.35">
      <c r="D738" s="180"/>
    </row>
    <row r="739" spans="1:4" ht="21" x14ac:dyDescent="0.35">
      <c r="D739" s="180"/>
    </row>
    <row r="740" spans="1:4" ht="21" x14ac:dyDescent="0.35">
      <c r="A740" s="61" t="s">
        <v>1370</v>
      </c>
      <c r="B740" s="178" t="s">
        <v>126</v>
      </c>
      <c r="D740" s="180"/>
    </row>
    <row r="741" spans="1:4" ht="21" x14ac:dyDescent="0.35">
      <c r="A741" s="61" t="s">
        <v>1371</v>
      </c>
      <c r="B741" s="178" t="s">
        <v>752</v>
      </c>
      <c r="D741" s="180"/>
    </row>
    <row r="742" spans="1:4" ht="21" x14ac:dyDescent="0.35">
      <c r="A742" s="61" t="s">
        <v>1372</v>
      </c>
      <c r="B742" s="178" t="s">
        <v>749</v>
      </c>
      <c r="D742" s="180"/>
    </row>
    <row r="743" spans="1:4" ht="21" x14ac:dyDescent="0.35">
      <c r="A743" s="61" t="s">
        <v>1373</v>
      </c>
      <c r="B743" s="178" t="s">
        <v>750</v>
      </c>
      <c r="D743" s="180"/>
    </row>
    <row r="744" spans="1:4" ht="21" x14ac:dyDescent="0.35">
      <c r="A744" s="61" t="s">
        <v>1374</v>
      </c>
      <c r="B744" s="178" t="s">
        <v>751</v>
      </c>
      <c r="D744" s="180"/>
    </row>
    <row r="745" spans="1:4" ht="21" x14ac:dyDescent="0.35">
      <c r="A745" s="61" t="s">
        <v>1375</v>
      </c>
      <c r="B745" s="178" t="s">
        <v>200</v>
      </c>
      <c r="D745" s="180"/>
    </row>
    <row r="746" spans="1:4" ht="21" x14ac:dyDescent="0.35">
      <c r="A746" s="61" t="s">
        <v>1386</v>
      </c>
      <c r="B746" s="178" t="s">
        <v>1021</v>
      </c>
      <c r="D746" s="180"/>
    </row>
    <row r="747" spans="1:4" ht="21" x14ac:dyDescent="0.35">
      <c r="A747" s="61" t="s">
        <v>1387</v>
      </c>
      <c r="B747" s="178" t="s">
        <v>1019</v>
      </c>
      <c r="D747" s="180"/>
    </row>
    <row r="748" spans="1:4" ht="21" x14ac:dyDescent="0.35">
      <c r="A748" s="61" t="s">
        <v>1388</v>
      </c>
      <c r="B748" s="178" t="s">
        <v>1022</v>
      </c>
      <c r="D748" s="180"/>
    </row>
    <row r="749" spans="1:4" ht="21" x14ac:dyDescent="0.35">
      <c r="A749" s="61" t="s">
        <v>1389</v>
      </c>
      <c r="B749" s="178" t="s">
        <v>1019</v>
      </c>
      <c r="D749" s="180"/>
    </row>
    <row r="750" spans="1:4" ht="21" x14ac:dyDescent="0.35">
      <c r="A750" s="61" t="s">
        <v>1390</v>
      </c>
      <c r="B750" s="178" t="s">
        <v>1023</v>
      </c>
      <c r="D750" s="180"/>
    </row>
    <row r="751" spans="1:4" ht="21" x14ac:dyDescent="0.35">
      <c r="A751" s="61" t="s">
        <v>1711</v>
      </c>
      <c r="B751" s="178" t="s">
        <v>1020</v>
      </c>
      <c r="D751" s="180"/>
    </row>
    <row r="752" spans="1:4" ht="21" x14ac:dyDescent="0.35">
      <c r="A752" s="61" t="s">
        <v>1391</v>
      </c>
      <c r="B752" s="178" t="s">
        <v>1024</v>
      </c>
      <c r="D752" s="180"/>
    </row>
    <row r="753" spans="1:4" ht="21" x14ac:dyDescent="0.35">
      <c r="A753" s="61" t="s">
        <v>1392</v>
      </c>
      <c r="B753" s="178" t="s">
        <v>1028</v>
      </c>
      <c r="D753" s="180"/>
    </row>
    <row r="754" spans="1:4" ht="21" x14ac:dyDescent="0.35">
      <c r="A754" s="61" t="s">
        <v>1376</v>
      </c>
      <c r="B754" s="178" t="s">
        <v>459</v>
      </c>
      <c r="D754" s="180"/>
    </row>
    <row r="755" spans="1:4" ht="21" x14ac:dyDescent="0.35">
      <c r="A755" s="61" t="s">
        <v>1377</v>
      </c>
      <c r="B755" s="178" t="s">
        <v>461</v>
      </c>
      <c r="D755" s="180"/>
    </row>
    <row r="756" spans="1:4" ht="21" x14ac:dyDescent="0.35">
      <c r="A756" s="61" t="s">
        <v>1378</v>
      </c>
      <c r="B756" s="178" t="s">
        <v>460</v>
      </c>
      <c r="D756" s="180"/>
    </row>
    <row r="757" spans="1:4" ht="21" x14ac:dyDescent="0.35">
      <c r="A757" s="61" t="s">
        <v>1379</v>
      </c>
      <c r="B757" s="178" t="s">
        <v>462</v>
      </c>
      <c r="D757" s="180"/>
    </row>
    <row r="758" spans="1:4" ht="21" x14ac:dyDescent="0.35">
      <c r="A758" s="61" t="s">
        <v>1380</v>
      </c>
      <c r="B758" s="178" t="s">
        <v>463</v>
      </c>
      <c r="D758" s="180"/>
    </row>
    <row r="759" spans="1:4" ht="21" x14ac:dyDescent="0.35">
      <c r="A759" s="61" t="s">
        <v>1381</v>
      </c>
      <c r="B759" s="178" t="s">
        <v>464</v>
      </c>
      <c r="D759" s="180"/>
    </row>
    <row r="760" spans="1:4" ht="21" x14ac:dyDescent="0.35">
      <c r="A760" s="61" t="s">
        <v>1382</v>
      </c>
      <c r="B760" s="178" t="s">
        <v>465</v>
      </c>
      <c r="D760" s="180"/>
    </row>
    <row r="761" spans="1:4" ht="21" x14ac:dyDescent="0.35">
      <c r="A761" s="61"/>
      <c r="B761" s="178"/>
      <c r="D761" s="180"/>
    </row>
    <row r="762" spans="1:4" ht="21" x14ac:dyDescent="0.35">
      <c r="A762" s="61" t="s">
        <v>1383</v>
      </c>
      <c r="B762" s="178"/>
      <c r="D762" s="180"/>
    </row>
    <row r="763" spans="1:4" ht="21" x14ac:dyDescent="0.35">
      <c r="A763" s="61"/>
      <c r="B763" s="178"/>
      <c r="D763" s="180"/>
    </row>
    <row r="764" spans="1:4" ht="21" x14ac:dyDescent="0.35">
      <c r="A764" s="61" t="s">
        <v>1384</v>
      </c>
      <c r="B764" s="178"/>
      <c r="D764" s="180"/>
    </row>
    <row r="765" spans="1:4" ht="21" x14ac:dyDescent="0.35">
      <c r="D765" s="180"/>
    </row>
    <row r="766" spans="1:4" ht="21" x14ac:dyDescent="0.35">
      <c r="A766" s="61" t="s">
        <v>1385</v>
      </c>
      <c r="B766" s="178" t="s">
        <v>704</v>
      </c>
      <c r="D766" s="180"/>
    </row>
    <row r="767" spans="1:4" ht="21" x14ac:dyDescent="0.35">
      <c r="A767" s="61"/>
      <c r="B767" s="178"/>
      <c r="D767" s="180"/>
    </row>
    <row r="768" spans="1:4" ht="21" x14ac:dyDescent="0.35">
      <c r="A768" s="61"/>
      <c r="B768" s="178"/>
      <c r="D768" s="180"/>
    </row>
    <row r="769" spans="1:4" ht="21" x14ac:dyDescent="0.35">
      <c r="A769" s="61"/>
      <c r="B769" s="178"/>
      <c r="D769" s="180"/>
    </row>
    <row r="770" spans="1:4" ht="21" x14ac:dyDescent="0.35">
      <c r="D770" s="180"/>
    </row>
    <row r="771" spans="1:4" ht="21" x14ac:dyDescent="0.35">
      <c r="D771" s="180"/>
    </row>
    <row r="772" spans="1:4" ht="21" x14ac:dyDescent="0.35">
      <c r="D772" s="180"/>
    </row>
    <row r="773" spans="1:4" ht="21" x14ac:dyDescent="0.35">
      <c r="D773" s="180"/>
    </row>
    <row r="774" spans="1:4" ht="21" x14ac:dyDescent="0.35">
      <c r="D774" s="180"/>
    </row>
    <row r="775" spans="1:4" ht="21" x14ac:dyDescent="0.35">
      <c r="D775" s="180"/>
    </row>
    <row r="776" spans="1:4" ht="21" x14ac:dyDescent="0.35">
      <c r="D776" s="180"/>
    </row>
    <row r="777" spans="1:4" ht="21" x14ac:dyDescent="0.35">
      <c r="A777" s="61"/>
      <c r="B777" s="178"/>
      <c r="D777" s="180"/>
    </row>
    <row r="778" spans="1:4" ht="21" x14ac:dyDescent="0.35">
      <c r="A778" s="61" t="s">
        <v>1198</v>
      </c>
      <c r="B778" s="178" t="s">
        <v>466</v>
      </c>
      <c r="D778" s="180"/>
    </row>
    <row r="779" spans="1:4" ht="21" x14ac:dyDescent="0.35">
      <c r="A779" s="61" t="s">
        <v>1199</v>
      </c>
      <c r="B779" s="178" t="s">
        <v>467</v>
      </c>
      <c r="D779" s="180"/>
    </row>
    <row r="780" spans="1:4" ht="21" x14ac:dyDescent="0.35">
      <c r="A780" s="61"/>
      <c r="B780" s="178"/>
      <c r="D780" s="180"/>
    </row>
    <row r="781" spans="1:4" ht="21" x14ac:dyDescent="0.35">
      <c r="A781" s="61" t="s">
        <v>1393</v>
      </c>
      <c r="B781" s="178" t="s">
        <v>468</v>
      </c>
      <c r="D781" s="180"/>
    </row>
    <row r="782" spans="1:4" ht="21" x14ac:dyDescent="0.35">
      <c r="A782" s="61" t="s">
        <v>1394</v>
      </c>
      <c r="B782" s="178" t="s">
        <v>469</v>
      </c>
      <c r="D782" s="180"/>
    </row>
    <row r="783" spans="1:4" ht="21" x14ac:dyDescent="0.35">
      <c r="A783" s="61" t="s">
        <v>1395</v>
      </c>
      <c r="B783" s="178" t="s">
        <v>470</v>
      </c>
      <c r="D783" s="180"/>
    </row>
    <row r="784" spans="1:4" ht="21" x14ac:dyDescent="0.35">
      <c r="A784" s="61" t="s">
        <v>1396</v>
      </c>
      <c r="B784" s="178" t="s">
        <v>471</v>
      </c>
      <c r="D784" s="180"/>
    </row>
    <row r="785" spans="1:4" ht="21" x14ac:dyDescent="0.35">
      <c r="A785" s="61" t="s">
        <v>1397</v>
      </c>
      <c r="B785" s="178" t="s">
        <v>472</v>
      </c>
      <c r="D785" s="180"/>
    </row>
    <row r="786" spans="1:4" ht="21" x14ac:dyDescent="0.35">
      <c r="A786" s="61" t="s">
        <v>1398</v>
      </c>
      <c r="B786" s="178" t="s">
        <v>473</v>
      </c>
      <c r="D786" s="180"/>
    </row>
    <row r="787" spans="1:4" ht="21" x14ac:dyDescent="0.35">
      <c r="A787" s="61" t="s">
        <v>1399</v>
      </c>
      <c r="B787" s="178" t="s">
        <v>472</v>
      </c>
      <c r="D787" s="180"/>
    </row>
    <row r="788" spans="1:4" ht="21" x14ac:dyDescent="0.35">
      <c r="A788" s="61"/>
      <c r="B788" s="178"/>
      <c r="D788" s="180"/>
    </row>
    <row r="789" spans="1:4" ht="21" x14ac:dyDescent="0.35">
      <c r="A789" s="61" t="s">
        <v>1286</v>
      </c>
      <c r="B789" s="178" t="s">
        <v>678</v>
      </c>
      <c r="D789" s="180"/>
    </row>
    <row r="790" spans="1:4" ht="21" x14ac:dyDescent="0.35">
      <c r="A790" s="61"/>
      <c r="B790" s="178"/>
      <c r="D790" s="180"/>
    </row>
    <row r="791" spans="1:4" ht="21" x14ac:dyDescent="0.35">
      <c r="A791" s="61"/>
      <c r="B791" s="178"/>
      <c r="D791" s="180"/>
    </row>
    <row r="792" spans="1:4" ht="21" x14ac:dyDescent="0.35">
      <c r="A792" s="61"/>
      <c r="B792" s="178"/>
      <c r="D792" s="180"/>
    </row>
    <row r="793" spans="1:4" ht="21" x14ac:dyDescent="0.35">
      <c r="A793" s="61" t="s">
        <v>1400</v>
      </c>
      <c r="B793" s="178" t="s">
        <v>98</v>
      </c>
      <c r="D793" s="180"/>
    </row>
    <row r="794" spans="1:4" ht="21" x14ac:dyDescent="0.35">
      <c r="A794" s="61" t="s">
        <v>1401</v>
      </c>
      <c r="B794" s="178" t="s">
        <v>99</v>
      </c>
      <c r="D794" s="180"/>
    </row>
    <row r="795" spans="1:4" ht="21" x14ac:dyDescent="0.35">
      <c r="A795" s="61" t="s">
        <v>1346</v>
      </c>
      <c r="B795" s="178" t="s">
        <v>120</v>
      </c>
      <c r="D795" s="180"/>
    </row>
    <row r="796" spans="1:4" ht="21" x14ac:dyDescent="0.35">
      <c r="A796" s="61" t="s">
        <v>1402</v>
      </c>
      <c r="B796" s="178" t="s">
        <v>121</v>
      </c>
      <c r="D796" s="180"/>
    </row>
    <row r="797" spans="1:4" ht="21" x14ac:dyDescent="0.35">
      <c r="A797" s="61" t="s">
        <v>1403</v>
      </c>
      <c r="B797" s="178" t="s">
        <v>116</v>
      </c>
      <c r="D797" s="180"/>
    </row>
    <row r="798" spans="1:4" ht="21" x14ac:dyDescent="0.35">
      <c r="A798" s="61" t="s">
        <v>1348</v>
      </c>
      <c r="B798" s="178" t="s">
        <v>117</v>
      </c>
      <c r="D798" s="180"/>
    </row>
    <row r="799" spans="1:4" ht="21" x14ac:dyDescent="0.35">
      <c r="A799" s="61" t="s">
        <v>1349</v>
      </c>
      <c r="B799" s="178" t="s">
        <v>118</v>
      </c>
      <c r="D799" s="180"/>
    </row>
    <row r="800" spans="1:4" ht="21" x14ac:dyDescent="0.35">
      <c r="A800" s="61" t="s">
        <v>1404</v>
      </c>
      <c r="B800" s="178" t="s">
        <v>173</v>
      </c>
      <c r="D800" s="180"/>
    </row>
    <row r="801" spans="1:4" ht="21" x14ac:dyDescent="0.35">
      <c r="A801" s="61" t="s">
        <v>1405</v>
      </c>
      <c r="B801" s="178" t="s">
        <v>119</v>
      </c>
      <c r="D801" s="180"/>
    </row>
    <row r="802" spans="1:4" ht="21" x14ac:dyDescent="0.35">
      <c r="A802" s="61" t="s">
        <v>1406</v>
      </c>
      <c r="B802" s="178" t="s">
        <v>101</v>
      </c>
      <c r="D802" s="180"/>
    </row>
    <row r="803" spans="1:4" ht="21" x14ac:dyDescent="0.35">
      <c r="A803" s="61" t="s">
        <v>1407</v>
      </c>
      <c r="B803" s="178" t="s">
        <v>112</v>
      </c>
      <c r="D803" s="180"/>
    </row>
    <row r="804" spans="1:4" ht="21" x14ac:dyDescent="0.35">
      <c r="A804" s="61" t="s">
        <v>1408</v>
      </c>
      <c r="B804" s="178" t="s">
        <v>113</v>
      </c>
      <c r="D804" s="180"/>
    </row>
    <row r="805" spans="1:4" ht="21" x14ac:dyDescent="0.35">
      <c r="A805" s="61" t="s">
        <v>1409</v>
      </c>
      <c r="B805" s="178" t="s">
        <v>114</v>
      </c>
      <c r="D805" s="180"/>
    </row>
    <row r="806" spans="1:4" ht="21" x14ac:dyDescent="0.35">
      <c r="A806" s="61" t="s">
        <v>1410</v>
      </c>
      <c r="B806" s="178" t="s">
        <v>35</v>
      </c>
      <c r="D806" s="180"/>
    </row>
    <row r="807" spans="1:4" ht="21" x14ac:dyDescent="0.35">
      <c r="A807" s="61" t="s">
        <v>1411</v>
      </c>
      <c r="B807" s="178" t="s">
        <v>115</v>
      </c>
      <c r="D807" s="180"/>
    </row>
    <row r="808" spans="1:4" ht="21" x14ac:dyDescent="0.35">
      <c r="A808" s="61" t="s">
        <v>1412</v>
      </c>
      <c r="B808" s="178" t="s">
        <v>104</v>
      </c>
      <c r="D808" s="180"/>
    </row>
    <row r="809" spans="1:4" ht="21" x14ac:dyDescent="0.35">
      <c r="A809" s="61" t="s">
        <v>1413</v>
      </c>
      <c r="B809" s="178" t="s">
        <v>105</v>
      </c>
      <c r="D809" s="180"/>
    </row>
    <row r="810" spans="1:4" ht="21" x14ac:dyDescent="0.35">
      <c r="A810" s="61" t="s">
        <v>1414</v>
      </c>
      <c r="B810" s="178" t="s">
        <v>106</v>
      </c>
      <c r="D810" s="180"/>
    </row>
    <row r="811" spans="1:4" ht="21" x14ac:dyDescent="0.35">
      <c r="A811" s="61" t="s">
        <v>1415</v>
      </c>
      <c r="B811" s="178" t="s">
        <v>107</v>
      </c>
      <c r="D811" s="180"/>
    </row>
    <row r="812" spans="1:4" ht="21" x14ac:dyDescent="0.35">
      <c r="A812" s="61" t="s">
        <v>1416</v>
      </c>
      <c r="B812" s="178" t="s">
        <v>108</v>
      </c>
      <c r="D812" s="180"/>
    </row>
    <row r="813" spans="1:4" ht="21" x14ac:dyDescent="0.35">
      <c r="A813" s="61" t="s">
        <v>1417</v>
      </c>
      <c r="B813" s="178" t="s">
        <v>102</v>
      </c>
      <c r="D813" s="180"/>
    </row>
    <row r="814" spans="1:4" ht="21" x14ac:dyDescent="0.35">
      <c r="A814" s="61" t="s">
        <v>1418</v>
      </c>
      <c r="B814" s="178" t="s">
        <v>109</v>
      </c>
      <c r="D814" s="180"/>
    </row>
    <row r="815" spans="1:4" ht="21" x14ac:dyDescent="0.35">
      <c r="A815" s="61" t="s">
        <v>1419</v>
      </c>
      <c r="B815" s="178" t="s">
        <v>110</v>
      </c>
      <c r="D815" s="180"/>
    </row>
    <row r="816" spans="1:4" ht="21" x14ac:dyDescent="0.35">
      <c r="A816" s="61" t="s">
        <v>1420</v>
      </c>
      <c r="B816" s="178" t="s">
        <v>111</v>
      </c>
      <c r="D816" s="180"/>
    </row>
    <row r="817" spans="1:4" ht="21" x14ac:dyDescent="0.35">
      <c r="A817" s="61" t="s">
        <v>1421</v>
      </c>
      <c r="B817" s="178" t="s">
        <v>103</v>
      </c>
      <c r="D817" s="180"/>
    </row>
    <row r="818" spans="1:4" ht="21" x14ac:dyDescent="0.35">
      <c r="A818" s="61" t="s">
        <v>1422</v>
      </c>
      <c r="B818" s="178" t="s">
        <v>34</v>
      </c>
      <c r="D818" s="180"/>
    </row>
    <row r="819" spans="1:4" ht="21" x14ac:dyDescent="0.35">
      <c r="A819" s="61" t="s">
        <v>1327</v>
      </c>
      <c r="B819" s="178" t="s">
        <v>224</v>
      </c>
      <c r="D819" s="180"/>
    </row>
    <row r="820" spans="1:4" ht="21" x14ac:dyDescent="0.35">
      <c r="A820" s="61" t="s">
        <v>1423</v>
      </c>
      <c r="B820" s="178" t="s">
        <v>228</v>
      </c>
      <c r="D820" s="180"/>
    </row>
    <row r="821" spans="1:4" ht="21" x14ac:dyDescent="0.35">
      <c r="A821" s="61"/>
      <c r="B821" s="178"/>
      <c r="D821" s="180"/>
    </row>
    <row r="822" spans="1:4" ht="21" x14ac:dyDescent="0.35">
      <c r="A822" s="61" t="s">
        <v>1424</v>
      </c>
      <c r="B822" s="178" t="s">
        <v>547</v>
      </c>
      <c r="D822" s="180"/>
    </row>
    <row r="823" spans="1:4" ht="21" x14ac:dyDescent="0.35">
      <c r="A823" s="61" t="s">
        <v>1425</v>
      </c>
      <c r="B823" s="178" t="s">
        <v>488</v>
      </c>
      <c r="D823" s="180"/>
    </row>
    <row r="824" spans="1:4" ht="21" x14ac:dyDescent="0.35">
      <c r="A824" s="61" t="s">
        <v>1426</v>
      </c>
      <c r="B824" s="178" t="s">
        <v>489</v>
      </c>
      <c r="D824" s="180"/>
    </row>
    <row r="825" spans="1:4" ht="21" x14ac:dyDescent="0.35">
      <c r="A825" s="61" t="s">
        <v>1427</v>
      </c>
      <c r="B825" s="178" t="s">
        <v>540</v>
      </c>
      <c r="D825" s="180"/>
    </row>
    <row r="826" spans="1:4" ht="21" x14ac:dyDescent="0.35">
      <c r="A826" s="61" t="s">
        <v>1117</v>
      </c>
      <c r="B826" s="178" t="s">
        <v>490</v>
      </c>
      <c r="D826" s="180"/>
    </row>
    <row r="827" spans="1:4" ht="21" x14ac:dyDescent="0.35">
      <c r="A827" s="61" t="s">
        <v>1116</v>
      </c>
      <c r="B827" s="178" t="s">
        <v>491</v>
      </c>
      <c r="D827" s="180"/>
    </row>
    <row r="828" spans="1:4" ht="21" x14ac:dyDescent="0.35">
      <c r="A828" s="61" t="s">
        <v>1115</v>
      </c>
      <c r="B828" s="178" t="s">
        <v>492</v>
      </c>
      <c r="D828" s="180"/>
    </row>
    <row r="829" spans="1:4" ht="21" x14ac:dyDescent="0.35">
      <c r="A829" s="61" t="s">
        <v>1428</v>
      </c>
      <c r="B829" s="178" t="s">
        <v>493</v>
      </c>
      <c r="D829" s="180"/>
    </row>
    <row r="830" spans="1:4" ht="21" x14ac:dyDescent="0.35">
      <c r="A830" s="61" t="s">
        <v>1429</v>
      </c>
      <c r="B830" s="178" t="s">
        <v>494</v>
      </c>
      <c r="D830" s="180"/>
    </row>
    <row r="831" spans="1:4" ht="21" x14ac:dyDescent="0.35">
      <c r="A831" s="61" t="s">
        <v>1430</v>
      </c>
      <c r="B831" s="178" t="s">
        <v>495</v>
      </c>
      <c r="D831" s="180"/>
    </row>
    <row r="832" spans="1:4" ht="21" x14ac:dyDescent="0.35">
      <c r="A832" s="61" t="s">
        <v>1120</v>
      </c>
      <c r="B832" s="178" t="s">
        <v>496</v>
      </c>
      <c r="D832" s="180"/>
    </row>
    <row r="833" spans="1:4" ht="21" x14ac:dyDescent="0.35">
      <c r="A833" s="61" t="s">
        <v>1431</v>
      </c>
      <c r="B833" s="178" t="s">
        <v>497</v>
      </c>
      <c r="D833" s="180"/>
    </row>
    <row r="834" spans="1:4" ht="21" x14ac:dyDescent="0.35">
      <c r="A834" s="61" t="s">
        <v>1432</v>
      </c>
      <c r="B834" s="178" t="s">
        <v>498</v>
      </c>
      <c r="D834" s="180"/>
    </row>
    <row r="835" spans="1:4" ht="21" x14ac:dyDescent="0.35">
      <c r="A835" s="61" t="s">
        <v>1121</v>
      </c>
      <c r="B835" s="178" t="s">
        <v>499</v>
      </c>
      <c r="D835" s="180"/>
    </row>
    <row r="836" spans="1:4" ht="21" x14ac:dyDescent="0.35">
      <c r="A836" s="61" t="s">
        <v>1433</v>
      </c>
      <c r="B836" s="178" t="s">
        <v>500</v>
      </c>
      <c r="D836" s="180"/>
    </row>
    <row r="837" spans="1:4" ht="21" x14ac:dyDescent="0.35">
      <c r="A837" s="61" t="s">
        <v>1434</v>
      </c>
      <c r="B837" s="178" t="s">
        <v>504</v>
      </c>
      <c r="D837" s="180"/>
    </row>
    <row r="838" spans="1:4" ht="21" x14ac:dyDescent="0.35">
      <c r="A838" s="61" t="s">
        <v>1435</v>
      </c>
      <c r="B838" s="178" t="s">
        <v>505</v>
      </c>
      <c r="D838" s="180"/>
    </row>
    <row r="839" spans="1:4" ht="21" x14ac:dyDescent="0.35">
      <c r="A839" s="61" t="s">
        <v>1436</v>
      </c>
      <c r="B839" s="178" t="s">
        <v>501</v>
      </c>
      <c r="D839" s="180"/>
    </row>
    <row r="840" spans="1:4" ht="21" x14ac:dyDescent="0.35">
      <c r="A840" s="61" t="s">
        <v>1437</v>
      </c>
      <c r="B840" s="178" t="s">
        <v>502</v>
      </c>
      <c r="D840" s="180"/>
    </row>
    <row r="841" spans="1:4" ht="21" x14ac:dyDescent="0.35">
      <c r="A841" s="61" t="s">
        <v>1438</v>
      </c>
      <c r="B841" s="178" t="s">
        <v>503</v>
      </c>
      <c r="D841" s="180"/>
    </row>
    <row r="842" spans="1:4" ht="21" x14ac:dyDescent="0.35">
      <c r="A842" s="61" t="s">
        <v>1439</v>
      </c>
      <c r="B842" s="178" t="s">
        <v>506</v>
      </c>
      <c r="D842" s="180"/>
    </row>
    <row r="843" spans="1:4" ht="21" x14ac:dyDescent="0.35">
      <c r="A843" s="61" t="s">
        <v>1440</v>
      </c>
      <c r="B843" s="178" t="s">
        <v>507</v>
      </c>
      <c r="D843" s="180"/>
    </row>
    <row r="844" spans="1:4" ht="21" x14ac:dyDescent="0.35">
      <c r="A844" s="61" t="s">
        <v>1441</v>
      </c>
      <c r="B844" s="178" t="s">
        <v>508</v>
      </c>
      <c r="D844" s="180"/>
    </row>
    <row r="845" spans="1:4" ht="21" x14ac:dyDescent="0.35">
      <c r="A845" s="61" t="s">
        <v>1442</v>
      </c>
      <c r="B845" s="178" t="s">
        <v>509</v>
      </c>
      <c r="D845" s="180"/>
    </row>
    <row r="846" spans="1:4" ht="21" x14ac:dyDescent="0.35">
      <c r="A846" s="61" t="s">
        <v>1443</v>
      </c>
      <c r="B846" s="178" t="s">
        <v>510</v>
      </c>
      <c r="D846" s="180"/>
    </row>
    <row r="847" spans="1:4" ht="21" x14ac:dyDescent="0.35">
      <c r="A847" s="61" t="s">
        <v>1444</v>
      </c>
      <c r="B847" s="178" t="s">
        <v>511</v>
      </c>
      <c r="D847" s="180"/>
    </row>
    <row r="848" spans="1:4" ht="21" x14ac:dyDescent="0.35">
      <c r="A848" s="61" t="s">
        <v>1445</v>
      </c>
      <c r="B848" s="178" t="s">
        <v>512</v>
      </c>
      <c r="D848" s="180"/>
    </row>
    <row r="849" spans="1:4" ht="21" x14ac:dyDescent="0.35">
      <c r="A849" s="61" t="s">
        <v>1446</v>
      </c>
      <c r="B849" s="178" t="s">
        <v>474</v>
      </c>
      <c r="D849" s="180"/>
    </row>
    <row r="850" spans="1:4" ht="21" x14ac:dyDescent="0.35">
      <c r="A850" s="61" t="s">
        <v>1455</v>
      </c>
      <c r="B850" s="178" t="s">
        <v>513</v>
      </c>
      <c r="D850" s="180"/>
    </row>
    <row r="851" spans="1:4" ht="21" x14ac:dyDescent="0.35">
      <c r="A851" s="61" t="s">
        <v>1456</v>
      </c>
      <c r="B851" s="178" t="s">
        <v>514</v>
      </c>
      <c r="D851" s="180"/>
    </row>
    <row r="852" spans="1:4" ht="21" x14ac:dyDescent="0.35">
      <c r="A852" s="61" t="s">
        <v>1447</v>
      </c>
      <c r="B852" s="178" t="s">
        <v>541</v>
      </c>
      <c r="D852" s="180"/>
    </row>
    <row r="853" spans="1:4" ht="21" x14ac:dyDescent="0.35">
      <c r="A853" s="61" t="s">
        <v>1448</v>
      </c>
      <c r="B853" s="178" t="s">
        <v>475</v>
      </c>
      <c r="D853" s="180"/>
    </row>
    <row r="854" spans="1:4" ht="21" x14ac:dyDescent="0.35">
      <c r="A854" s="61" t="s">
        <v>1449</v>
      </c>
      <c r="B854" s="178" t="s">
        <v>515</v>
      </c>
      <c r="D854" s="180"/>
    </row>
    <row r="855" spans="1:4" ht="21" x14ac:dyDescent="0.35">
      <c r="A855" s="61" t="s">
        <v>1450</v>
      </c>
      <c r="B855" s="178" t="s">
        <v>516</v>
      </c>
      <c r="D855" s="180"/>
    </row>
    <row r="856" spans="1:4" ht="21" x14ac:dyDescent="0.35">
      <c r="A856" s="61" t="s">
        <v>1451</v>
      </c>
      <c r="B856" s="178" t="s">
        <v>517</v>
      </c>
      <c r="D856" s="180"/>
    </row>
    <row r="857" spans="1:4" ht="21" x14ac:dyDescent="0.35">
      <c r="A857" s="61" t="s">
        <v>1452</v>
      </c>
      <c r="B857" s="178" t="s">
        <v>518</v>
      </c>
      <c r="D857" s="180"/>
    </row>
    <row r="858" spans="1:4" ht="21" x14ac:dyDescent="0.35">
      <c r="A858" s="61" t="s">
        <v>1453</v>
      </c>
      <c r="B858" s="178" t="s">
        <v>519</v>
      </c>
      <c r="D858" s="180"/>
    </row>
    <row r="859" spans="1:4" ht="21" x14ac:dyDescent="0.35">
      <c r="A859" s="61" t="s">
        <v>1454</v>
      </c>
      <c r="B859" s="178" t="s">
        <v>520</v>
      </c>
      <c r="D859" s="180"/>
    </row>
    <row r="860" spans="1:4" ht="21" x14ac:dyDescent="0.35">
      <c r="A860" s="61" t="s">
        <v>476</v>
      </c>
      <c r="B860" s="178" t="s">
        <v>476</v>
      </c>
      <c r="D860" s="180"/>
    </row>
    <row r="861" spans="1:4" ht="21" x14ac:dyDescent="0.35">
      <c r="A861" s="61" t="s">
        <v>1457</v>
      </c>
      <c r="B861" s="178" t="s">
        <v>542</v>
      </c>
      <c r="D861" s="180"/>
    </row>
    <row r="862" spans="1:4" ht="21" x14ac:dyDescent="0.35">
      <c r="A862" s="61" t="s">
        <v>1458</v>
      </c>
      <c r="B862" s="178" t="s">
        <v>521</v>
      </c>
      <c r="D862" s="180"/>
    </row>
    <row r="863" spans="1:4" ht="21" x14ac:dyDescent="0.35">
      <c r="A863" s="61" t="s">
        <v>1459</v>
      </c>
      <c r="B863" s="178" t="s">
        <v>545</v>
      </c>
      <c r="D863" s="180"/>
    </row>
    <row r="864" spans="1:4" ht="21" x14ac:dyDescent="0.35">
      <c r="A864" s="61" t="s">
        <v>1460</v>
      </c>
      <c r="B864" s="178" t="s">
        <v>477</v>
      </c>
      <c r="D864" s="180"/>
    </row>
    <row r="865" spans="1:4" ht="21" x14ac:dyDescent="0.35">
      <c r="A865" s="61" t="s">
        <v>1461</v>
      </c>
      <c r="B865" s="178" t="s">
        <v>522</v>
      </c>
      <c r="D865" s="180"/>
    </row>
    <row r="866" spans="1:4" ht="21" x14ac:dyDescent="0.35">
      <c r="A866" s="61" t="s">
        <v>1462</v>
      </c>
      <c r="B866" s="178" t="s">
        <v>523</v>
      </c>
      <c r="D866" s="180"/>
    </row>
    <row r="867" spans="1:4" ht="21" x14ac:dyDescent="0.35">
      <c r="A867" s="61" t="s">
        <v>1463</v>
      </c>
      <c r="B867" s="178" t="s">
        <v>524</v>
      </c>
      <c r="D867" s="180"/>
    </row>
    <row r="868" spans="1:4" ht="21" x14ac:dyDescent="0.35">
      <c r="A868" s="61" t="s">
        <v>1464</v>
      </c>
      <c r="B868" s="178" t="s">
        <v>525</v>
      </c>
      <c r="D868" s="180"/>
    </row>
    <row r="869" spans="1:4" ht="21" x14ac:dyDescent="0.35">
      <c r="A869" s="61" t="s">
        <v>1465</v>
      </c>
      <c r="B869" s="178" t="s">
        <v>526</v>
      </c>
      <c r="D869" s="180"/>
    </row>
    <row r="870" spans="1:4" ht="21" x14ac:dyDescent="0.35">
      <c r="A870" s="61" t="s">
        <v>1466</v>
      </c>
      <c r="B870" s="178" t="s">
        <v>478</v>
      </c>
      <c r="D870" s="180"/>
    </row>
    <row r="871" spans="1:4" ht="21" x14ac:dyDescent="0.35">
      <c r="A871" s="61" t="s">
        <v>1467</v>
      </c>
      <c r="B871" s="178" t="s">
        <v>535</v>
      </c>
      <c r="D871" s="180"/>
    </row>
    <row r="872" spans="1:4" ht="21" x14ac:dyDescent="0.35">
      <c r="A872" s="61" t="s">
        <v>1468</v>
      </c>
      <c r="B872" s="178" t="s">
        <v>527</v>
      </c>
      <c r="D872" s="180"/>
    </row>
    <row r="873" spans="1:4" ht="21" x14ac:dyDescent="0.35">
      <c r="A873" s="61" t="s">
        <v>1469</v>
      </c>
      <c r="B873" s="178" t="s">
        <v>536</v>
      </c>
      <c r="D873" s="180"/>
    </row>
    <row r="874" spans="1:4" ht="21" x14ac:dyDescent="0.35">
      <c r="A874" s="61" t="s">
        <v>1470</v>
      </c>
      <c r="B874" s="178" t="s">
        <v>479</v>
      </c>
      <c r="D874" s="180"/>
    </row>
    <row r="875" spans="1:4" ht="21" x14ac:dyDescent="0.35">
      <c r="A875" s="61" t="s">
        <v>1471</v>
      </c>
      <c r="B875" s="178" t="s">
        <v>528</v>
      </c>
      <c r="D875" s="180"/>
    </row>
    <row r="876" spans="1:4" ht="21" x14ac:dyDescent="0.35">
      <c r="A876" s="61" t="s">
        <v>1472</v>
      </c>
      <c r="B876" s="178" t="s">
        <v>480</v>
      </c>
      <c r="D876" s="180"/>
    </row>
    <row r="877" spans="1:4" ht="21" x14ac:dyDescent="0.35">
      <c r="A877" s="61" t="s">
        <v>1473</v>
      </c>
      <c r="B877" s="178" t="s">
        <v>529</v>
      </c>
      <c r="D877" s="180"/>
    </row>
    <row r="878" spans="1:4" ht="21" x14ac:dyDescent="0.35">
      <c r="A878" s="61" t="s">
        <v>1474</v>
      </c>
      <c r="B878" s="178" t="s">
        <v>530</v>
      </c>
      <c r="D878" s="180"/>
    </row>
    <row r="879" spans="1:4" ht="21" x14ac:dyDescent="0.35">
      <c r="A879" s="61" t="s">
        <v>1475</v>
      </c>
      <c r="B879" s="178" t="s">
        <v>531</v>
      </c>
      <c r="D879" s="180"/>
    </row>
    <row r="880" spans="1:4" ht="21" x14ac:dyDescent="0.35">
      <c r="A880" s="61" t="s">
        <v>1476</v>
      </c>
      <c r="B880" s="178" t="s">
        <v>532</v>
      </c>
      <c r="D880" s="180"/>
    </row>
    <row r="881" spans="1:4" ht="21" x14ac:dyDescent="0.35">
      <c r="A881" s="61" t="s">
        <v>1477</v>
      </c>
      <c r="B881" s="178" t="s">
        <v>544</v>
      </c>
      <c r="D881" s="180"/>
    </row>
    <row r="882" spans="1:4" ht="21" x14ac:dyDescent="0.35">
      <c r="A882" s="61" t="s">
        <v>1478</v>
      </c>
      <c r="B882" s="178" t="s">
        <v>481</v>
      </c>
      <c r="D882" s="180"/>
    </row>
    <row r="883" spans="1:4" ht="21" x14ac:dyDescent="0.35">
      <c r="A883" s="61" t="s">
        <v>1479</v>
      </c>
      <c r="B883" s="178" t="s">
        <v>534</v>
      </c>
      <c r="D883" s="180"/>
    </row>
    <row r="884" spans="1:4" ht="21" x14ac:dyDescent="0.35">
      <c r="A884" s="61" t="s">
        <v>1480</v>
      </c>
      <c r="B884" s="178" t="s">
        <v>543</v>
      </c>
      <c r="D884" s="180"/>
    </row>
    <row r="885" spans="1:4" ht="21" x14ac:dyDescent="0.35">
      <c r="A885" s="61" t="s">
        <v>476</v>
      </c>
      <c r="B885" s="178" t="s">
        <v>476</v>
      </c>
      <c r="D885" s="180"/>
    </row>
    <row r="886" spans="1:4" ht="21" x14ac:dyDescent="0.35">
      <c r="A886" s="61" t="s">
        <v>1481</v>
      </c>
      <c r="B886" s="178" t="s">
        <v>482</v>
      </c>
      <c r="D886" s="180"/>
    </row>
    <row r="887" spans="1:4" ht="21" x14ac:dyDescent="0.35">
      <c r="A887" s="61" t="s">
        <v>1482</v>
      </c>
      <c r="B887" s="178" t="s">
        <v>483</v>
      </c>
      <c r="D887" s="180"/>
    </row>
    <row r="888" spans="1:4" ht="21" x14ac:dyDescent="0.35">
      <c r="A888" s="61" t="s">
        <v>1483</v>
      </c>
      <c r="B888" s="178" t="s">
        <v>484</v>
      </c>
      <c r="D888" s="180"/>
    </row>
    <row r="889" spans="1:4" ht="21" x14ac:dyDescent="0.35">
      <c r="A889" s="61" t="s">
        <v>1484</v>
      </c>
      <c r="B889" s="178" t="s">
        <v>485</v>
      </c>
      <c r="D889" s="180"/>
    </row>
    <row r="890" spans="1:4" ht="21" x14ac:dyDescent="0.35">
      <c r="A890" s="61" t="s">
        <v>1485</v>
      </c>
      <c r="B890" s="178" t="s">
        <v>486</v>
      </c>
      <c r="D890" s="180"/>
    </row>
    <row r="891" spans="1:4" ht="21" x14ac:dyDescent="0.35">
      <c r="A891" s="61" t="s">
        <v>1486</v>
      </c>
      <c r="B891" s="178" t="s">
        <v>487</v>
      </c>
      <c r="D891" s="180"/>
    </row>
    <row r="892" spans="1:4" ht="21" x14ac:dyDescent="0.35">
      <c r="A892" s="61" t="s">
        <v>1487</v>
      </c>
      <c r="B892" s="178" t="s">
        <v>537</v>
      </c>
      <c r="D892" s="180"/>
    </row>
    <row r="893" spans="1:4" ht="21" x14ac:dyDescent="0.35">
      <c r="A893" s="61" t="s">
        <v>1488</v>
      </c>
      <c r="B893" s="178" t="s">
        <v>538</v>
      </c>
      <c r="D893" s="180"/>
    </row>
    <row r="894" spans="1:4" ht="21" x14ac:dyDescent="0.35">
      <c r="A894" s="61" t="s">
        <v>1489</v>
      </c>
      <c r="B894" s="178" t="s">
        <v>539</v>
      </c>
      <c r="D894" s="180"/>
    </row>
    <row r="895" spans="1:4" ht="21" x14ac:dyDescent="0.35">
      <c r="A895" s="61" t="s">
        <v>1490</v>
      </c>
      <c r="B895" s="178" t="s">
        <v>533</v>
      </c>
      <c r="D895" s="180"/>
    </row>
    <row r="896" spans="1:4" ht="21" x14ac:dyDescent="0.35">
      <c r="A896" s="61"/>
      <c r="B896" s="178"/>
      <c r="D896" s="180"/>
    </row>
    <row r="897" spans="1:4" ht="21" x14ac:dyDescent="0.35">
      <c r="B897" s="178"/>
      <c r="D897" s="180"/>
    </row>
    <row r="898" spans="1:4" ht="21" x14ac:dyDescent="0.35">
      <c r="B898" s="178"/>
      <c r="D898" s="180"/>
    </row>
    <row r="899" spans="1:4" ht="21" x14ac:dyDescent="0.35">
      <c r="B899" s="178"/>
      <c r="D899" s="180"/>
    </row>
    <row r="900" spans="1:4" ht="21" x14ac:dyDescent="0.35">
      <c r="B900" s="178"/>
      <c r="D900" s="180"/>
    </row>
    <row r="901" spans="1:4" ht="21" x14ac:dyDescent="0.35">
      <c r="B901" s="178"/>
      <c r="D901" s="180"/>
    </row>
    <row r="902" spans="1:4" ht="21" x14ac:dyDescent="0.35">
      <c r="B902" s="178"/>
      <c r="D902" s="180"/>
    </row>
    <row r="903" spans="1:4" ht="21" x14ac:dyDescent="0.35">
      <c r="B903" s="178"/>
      <c r="D903" s="180"/>
    </row>
    <row r="904" spans="1:4" ht="21" x14ac:dyDescent="0.35">
      <c r="A904" s="61" t="s">
        <v>1491</v>
      </c>
      <c r="B904" s="178" t="s">
        <v>225</v>
      </c>
      <c r="D904" s="180"/>
    </row>
    <row r="905" spans="1:4" ht="21" x14ac:dyDescent="0.35">
      <c r="A905" s="61" t="s">
        <v>1492</v>
      </c>
      <c r="B905" s="178" t="s">
        <v>204</v>
      </c>
      <c r="D905" s="180"/>
    </row>
    <row r="906" spans="1:4" ht="21" x14ac:dyDescent="0.35">
      <c r="A906" s="61" t="s">
        <v>1493</v>
      </c>
      <c r="B906" s="178" t="s">
        <v>205</v>
      </c>
      <c r="D906" s="180"/>
    </row>
    <row r="907" spans="1:4" ht="21" x14ac:dyDescent="0.35">
      <c r="A907" s="61"/>
      <c r="B907" s="178" t="s">
        <v>206</v>
      </c>
      <c r="D907" s="180"/>
    </row>
    <row r="908" spans="1:4" ht="21" x14ac:dyDescent="0.35">
      <c r="A908" s="61" t="s">
        <v>1494</v>
      </c>
      <c r="B908" s="178" t="s">
        <v>208</v>
      </c>
      <c r="D908" s="180"/>
    </row>
    <row r="909" spans="1:4" ht="21" x14ac:dyDescent="0.35">
      <c r="A909" s="61" t="s">
        <v>1495</v>
      </c>
      <c r="B909" s="178" t="s">
        <v>207</v>
      </c>
      <c r="D909" s="180"/>
    </row>
    <row r="910" spans="1:4" ht="21" x14ac:dyDescent="0.35">
      <c r="A910" s="61" t="s">
        <v>1496</v>
      </c>
      <c r="B910" s="178" t="s">
        <v>343</v>
      </c>
      <c r="D910" s="180"/>
    </row>
    <row r="911" spans="1:4" ht="21" x14ac:dyDescent="0.35">
      <c r="A911" s="61" t="s">
        <v>1497</v>
      </c>
      <c r="B911" s="178" t="s">
        <v>344</v>
      </c>
      <c r="D911" s="180"/>
    </row>
    <row r="912" spans="1:4" ht="21" x14ac:dyDescent="0.35">
      <c r="A912" s="61" t="s">
        <v>1498</v>
      </c>
      <c r="B912" s="178" t="s">
        <v>193</v>
      </c>
      <c r="D912" s="180"/>
    </row>
    <row r="913" spans="1:4" ht="21" x14ac:dyDescent="0.35">
      <c r="A913" s="61"/>
      <c r="B913" s="178" t="s">
        <v>194</v>
      </c>
      <c r="D913" s="180"/>
    </row>
    <row r="914" spans="1:4" ht="21" x14ac:dyDescent="0.35">
      <c r="A914" s="61" t="s">
        <v>1499</v>
      </c>
      <c r="B914" s="178" t="s">
        <v>195</v>
      </c>
      <c r="D914" s="180"/>
    </row>
    <row r="915" spans="1:4" ht="21" x14ac:dyDescent="0.35">
      <c r="A915" s="61" t="s">
        <v>1500</v>
      </c>
      <c r="B915" s="178" t="s">
        <v>202</v>
      </c>
      <c r="D915" s="180"/>
    </row>
    <row r="916" spans="1:4" ht="21" x14ac:dyDescent="0.35">
      <c r="D916" s="180"/>
    </row>
    <row r="917" spans="1:4" ht="21" x14ac:dyDescent="0.35">
      <c r="D917" s="180"/>
    </row>
    <row r="918" spans="1:4" ht="21" x14ac:dyDescent="0.35">
      <c r="D918" s="180"/>
    </row>
    <row r="919" spans="1:4" ht="21" x14ac:dyDescent="0.35">
      <c r="A919" s="61" t="s">
        <v>1501</v>
      </c>
      <c r="B919" s="178" t="s">
        <v>184</v>
      </c>
      <c r="D919" s="180"/>
    </row>
    <row r="920" spans="1:4" ht="21" x14ac:dyDescent="0.35">
      <c r="A920" s="61" t="s">
        <v>1502</v>
      </c>
      <c r="B920" s="178" t="s">
        <v>183</v>
      </c>
      <c r="D920" s="180"/>
    </row>
    <row r="921" spans="1:4" ht="21" x14ac:dyDescent="0.35">
      <c r="A921" s="61" t="s">
        <v>1503</v>
      </c>
      <c r="B921" s="178" t="s">
        <v>186</v>
      </c>
      <c r="D921" s="180"/>
    </row>
    <row r="922" spans="1:4" ht="21" x14ac:dyDescent="0.35">
      <c r="A922" s="61" t="s">
        <v>1504</v>
      </c>
      <c r="B922" s="178" t="s">
        <v>185</v>
      </c>
      <c r="D922" s="180"/>
    </row>
    <row r="923" spans="1:4" ht="21" x14ac:dyDescent="0.35">
      <c r="A923" s="61" t="s">
        <v>1505</v>
      </c>
      <c r="B923" s="178" t="s">
        <v>227</v>
      </c>
      <c r="D923" s="180"/>
    </row>
    <row r="924" spans="1:4" ht="21" x14ac:dyDescent="0.35">
      <c r="D924" s="180"/>
    </row>
    <row r="925" spans="1:4" ht="21" x14ac:dyDescent="0.35">
      <c r="A925" s="61" t="s">
        <v>1506</v>
      </c>
      <c r="B925" s="178" t="s">
        <v>203</v>
      </c>
      <c r="D925" s="180"/>
    </row>
    <row r="926" spans="1:4" ht="21" x14ac:dyDescent="0.35">
      <c r="A926" s="61" t="s">
        <v>1507</v>
      </c>
      <c r="B926" s="178" t="s">
        <v>187</v>
      </c>
      <c r="D926" s="180"/>
    </row>
    <row r="927" spans="1:4" ht="21" x14ac:dyDescent="0.35">
      <c r="A927" s="61" t="s">
        <v>1508</v>
      </c>
      <c r="B927" s="178" t="s">
        <v>188</v>
      </c>
      <c r="D927" s="180"/>
    </row>
    <row r="928" spans="1:4" ht="21" x14ac:dyDescent="0.35">
      <c r="A928" s="61" t="s">
        <v>1509</v>
      </c>
      <c r="B928" s="178" t="s">
        <v>189</v>
      </c>
      <c r="D928" s="180"/>
    </row>
    <row r="929" spans="1:4" ht="21" x14ac:dyDescent="0.35">
      <c r="A929" s="61" t="s">
        <v>1510</v>
      </c>
      <c r="B929" s="178" t="s">
        <v>190</v>
      </c>
      <c r="D929" s="180"/>
    </row>
    <row r="930" spans="1:4" ht="21" x14ac:dyDescent="0.35">
      <c r="A930" s="61" t="s">
        <v>1511</v>
      </c>
      <c r="B930" s="178" t="s">
        <v>191</v>
      </c>
      <c r="D930" s="180"/>
    </row>
    <row r="931" spans="1:4" ht="21" x14ac:dyDescent="0.35">
      <c r="A931" s="61" t="s">
        <v>1512</v>
      </c>
      <c r="B931" s="178" t="s">
        <v>192</v>
      </c>
      <c r="D931" s="180"/>
    </row>
    <row r="932" spans="1:4" ht="21" x14ac:dyDescent="0.35">
      <c r="D932" s="180"/>
    </row>
    <row r="933" spans="1:4" ht="21" x14ac:dyDescent="0.35">
      <c r="D933" s="180"/>
    </row>
    <row r="934" spans="1:4" ht="21" x14ac:dyDescent="0.35">
      <c r="A934" s="61" t="s">
        <v>1513</v>
      </c>
      <c r="B934" s="178" t="s">
        <v>209</v>
      </c>
      <c r="D934" s="180"/>
    </row>
    <row r="935" spans="1:4" ht="21" x14ac:dyDescent="0.35">
      <c r="A935" s="61" t="s">
        <v>1514</v>
      </c>
      <c r="B935" s="178" t="s">
        <v>202</v>
      </c>
      <c r="D935" s="180"/>
    </row>
    <row r="936" spans="1:4" ht="21" x14ac:dyDescent="0.35">
      <c r="A936" s="61" t="s">
        <v>1515</v>
      </c>
      <c r="B936" s="178" t="s">
        <v>226</v>
      </c>
      <c r="D936" s="180"/>
    </row>
    <row r="937" spans="1:4" ht="21" x14ac:dyDescent="0.35">
      <c r="A937" s="61" t="s">
        <v>1516</v>
      </c>
      <c r="B937" s="178" t="s">
        <v>220</v>
      </c>
      <c r="D937" s="180"/>
    </row>
    <row r="938" spans="1:4" ht="21" x14ac:dyDescent="0.35">
      <c r="A938" s="61" t="s">
        <v>1517</v>
      </c>
      <c r="B938" s="178" t="s">
        <v>38</v>
      </c>
      <c r="D938" s="180"/>
    </row>
    <row r="939" spans="1:4" ht="21" x14ac:dyDescent="0.35">
      <c r="A939" s="61" t="s">
        <v>1518</v>
      </c>
      <c r="B939" s="178" t="s">
        <v>39</v>
      </c>
      <c r="D939" s="180"/>
    </row>
    <row r="940" spans="1:4" ht="21" x14ac:dyDescent="0.35">
      <c r="A940" s="61"/>
      <c r="B940" s="178"/>
      <c r="D940" s="180"/>
    </row>
    <row r="941" spans="1:4" ht="21" x14ac:dyDescent="0.35">
      <c r="A941" s="61" t="s">
        <v>1519</v>
      </c>
      <c r="B941" s="178" t="s">
        <v>332</v>
      </c>
      <c r="D941" s="180"/>
    </row>
    <row r="942" spans="1:4" ht="21" x14ac:dyDescent="0.35">
      <c r="A942" s="61" t="s">
        <v>1520</v>
      </c>
      <c r="B942" s="178" t="s">
        <v>333</v>
      </c>
      <c r="D942" s="180"/>
    </row>
    <row r="943" spans="1:4" ht="21" x14ac:dyDescent="0.35">
      <c r="A943" s="61"/>
      <c r="B943" s="178"/>
      <c r="D943" s="180"/>
    </row>
    <row r="944" spans="1:4" ht="21" x14ac:dyDescent="0.35">
      <c r="A944" s="61"/>
      <c r="B944" s="178"/>
      <c r="D944" s="180"/>
    </row>
    <row r="945" spans="4:4" ht="21" x14ac:dyDescent="0.35">
      <c r="D945" s="180"/>
    </row>
    <row r="946" spans="4:4" ht="21" x14ac:dyDescent="0.35">
      <c r="D946" s="180"/>
    </row>
    <row r="947" spans="4:4" ht="21" x14ac:dyDescent="0.35">
      <c r="D947" s="180"/>
    </row>
    <row r="948" spans="4:4" ht="21" x14ac:dyDescent="0.35">
      <c r="D948" s="180"/>
    </row>
    <row r="949" spans="4:4" ht="21" x14ac:dyDescent="0.35">
      <c r="D949" s="180"/>
    </row>
    <row r="950" spans="4:4" ht="21" x14ac:dyDescent="0.35">
      <c r="D950" s="180"/>
    </row>
    <row r="951" spans="4:4" ht="21" x14ac:dyDescent="0.35">
      <c r="D951" s="180"/>
    </row>
    <row r="952" spans="4:4" ht="21" x14ac:dyDescent="0.35">
      <c r="D952" s="180"/>
    </row>
    <row r="953" spans="4:4" ht="21" x14ac:dyDescent="0.35">
      <c r="D953" s="180"/>
    </row>
    <row r="954" spans="4:4" ht="21" x14ac:dyDescent="0.35">
      <c r="D954" s="180"/>
    </row>
    <row r="955" spans="4:4" ht="21" x14ac:dyDescent="0.35">
      <c r="D955" s="180"/>
    </row>
    <row r="956" spans="4:4" ht="21" x14ac:dyDescent="0.35">
      <c r="D956" s="180"/>
    </row>
    <row r="957" spans="4:4" ht="21" x14ac:dyDescent="0.35">
      <c r="D957" s="180"/>
    </row>
    <row r="958" spans="4:4" ht="21" x14ac:dyDescent="0.35">
      <c r="D958" s="180"/>
    </row>
    <row r="959" spans="4:4" ht="21" x14ac:dyDescent="0.35">
      <c r="D959" s="180"/>
    </row>
    <row r="960" spans="4:4" ht="21" x14ac:dyDescent="0.35">
      <c r="D960" s="180"/>
    </row>
    <row r="961" spans="1:4" ht="21" x14ac:dyDescent="0.35">
      <c r="D961" s="180"/>
    </row>
    <row r="962" spans="1:4" ht="21" x14ac:dyDescent="0.35">
      <c r="D962" s="180"/>
    </row>
    <row r="963" spans="1:4" ht="21" x14ac:dyDescent="0.35">
      <c r="D963" s="180"/>
    </row>
    <row r="964" spans="1:4" ht="21" x14ac:dyDescent="0.35">
      <c r="D964" s="180"/>
    </row>
    <row r="965" spans="1:4" ht="21" x14ac:dyDescent="0.35">
      <c r="D965" s="180"/>
    </row>
    <row r="966" spans="1:4" ht="21" x14ac:dyDescent="0.35">
      <c r="D966" s="180"/>
    </row>
    <row r="967" spans="1:4" ht="21" x14ac:dyDescent="0.35">
      <c r="D967" s="180"/>
    </row>
    <row r="968" spans="1:4" ht="21" x14ac:dyDescent="0.35">
      <c r="D968" s="180"/>
    </row>
    <row r="969" spans="1:4" ht="21" x14ac:dyDescent="0.35">
      <c r="D969" s="180"/>
    </row>
    <row r="970" spans="1:4" ht="21" x14ac:dyDescent="0.35">
      <c r="D970" s="180"/>
    </row>
    <row r="971" spans="1:4" ht="21" x14ac:dyDescent="0.35">
      <c r="D971" s="180"/>
    </row>
    <row r="972" spans="1:4" ht="21" x14ac:dyDescent="0.35">
      <c r="D972" s="180"/>
    </row>
    <row r="973" spans="1:4" ht="21" x14ac:dyDescent="0.35">
      <c r="D973" s="180"/>
    </row>
    <row r="974" spans="1:4" ht="21" x14ac:dyDescent="0.35">
      <c r="A974" s="61"/>
      <c r="B974" s="178"/>
      <c r="D974" s="180"/>
    </row>
    <row r="975" spans="1:4" ht="21" x14ac:dyDescent="0.35">
      <c r="A975" s="61" t="s">
        <v>1521</v>
      </c>
      <c r="B975" s="178" t="s">
        <v>91</v>
      </c>
      <c r="D975" s="180"/>
    </row>
    <row r="976" spans="1:4" ht="21" x14ac:dyDescent="0.35">
      <c r="A976" s="61" t="s">
        <v>1522</v>
      </c>
      <c r="B976" s="178" t="s">
        <v>92</v>
      </c>
      <c r="D976" s="180"/>
    </row>
    <row r="977" spans="1:4" ht="21" x14ac:dyDescent="0.35">
      <c r="A977" s="61" t="s">
        <v>1523</v>
      </c>
      <c r="B977" s="178" t="s">
        <v>93</v>
      </c>
      <c r="D977" s="180"/>
    </row>
    <row r="978" spans="1:4" ht="21" x14ac:dyDescent="0.35">
      <c r="A978" s="61"/>
      <c r="B978" s="178"/>
      <c r="D978" s="180"/>
    </row>
    <row r="1008" spans="1:4" ht="20.25" customHeight="1" x14ac:dyDescent="0.35">
      <c r="A1008" s="61"/>
      <c r="B1008" s="178"/>
      <c r="D1008" s="180"/>
    </row>
    <row r="1009" spans="1:4" ht="20.25" customHeight="1" x14ac:dyDescent="0.35">
      <c r="A1009" s="61" t="s">
        <v>1524</v>
      </c>
      <c r="B1009" s="178" t="s">
        <v>220</v>
      </c>
      <c r="D1009" s="180"/>
    </row>
    <row r="1010" spans="1:4" ht="20.25" customHeight="1" x14ac:dyDescent="0.35">
      <c r="A1010" s="61" t="s">
        <v>1517</v>
      </c>
      <c r="B1010" s="178" t="s">
        <v>38</v>
      </c>
      <c r="D1010" s="180"/>
    </row>
    <row r="1011" spans="1:4" ht="20.25" customHeight="1" x14ac:dyDescent="0.35">
      <c r="A1011" s="61" t="s">
        <v>1525</v>
      </c>
      <c r="B1011" s="178" t="s">
        <v>39</v>
      </c>
      <c r="D1011" s="180"/>
    </row>
    <row r="1012" spans="1:4" ht="20.25" customHeight="1" x14ac:dyDescent="0.35">
      <c r="A1012" s="61"/>
      <c r="B1012" s="178"/>
      <c r="D1012" s="180"/>
    </row>
    <row r="1017" spans="1:4" ht="20.25" customHeight="1" x14ac:dyDescent="0.35">
      <c r="D1017" s="180"/>
    </row>
    <row r="1018" spans="1:4" ht="20.25" customHeight="1" x14ac:dyDescent="0.35">
      <c r="D1018" s="180"/>
    </row>
    <row r="1019" spans="1:4" ht="20.25" customHeight="1" x14ac:dyDescent="0.35">
      <c r="A1019" s="61"/>
      <c r="B1019" s="178"/>
      <c r="D1019" s="180"/>
    </row>
    <row r="1020" spans="1:4" ht="20.25" customHeight="1" x14ac:dyDescent="0.35">
      <c r="A1020" s="61" t="s">
        <v>1676</v>
      </c>
      <c r="B1020" s="178" t="s">
        <v>1034</v>
      </c>
    </row>
    <row r="1021" spans="1:4" ht="20.25" customHeight="1" x14ac:dyDescent="0.35">
      <c r="A1021" s="61" t="s">
        <v>1672</v>
      </c>
      <c r="B1021" s="178" t="s">
        <v>1033</v>
      </c>
    </row>
    <row r="1022" spans="1:4" ht="20.25" customHeight="1" x14ac:dyDescent="0.35">
      <c r="A1022" s="61" t="s">
        <v>1674</v>
      </c>
      <c r="B1022" s="178" t="s">
        <v>1031</v>
      </c>
    </row>
    <row r="1023" spans="1:4" ht="20.25" customHeight="1" x14ac:dyDescent="0.35">
      <c r="A1023" s="61" t="s">
        <v>1675</v>
      </c>
      <c r="B1023" s="178" t="s">
        <v>1035</v>
      </c>
    </row>
    <row r="1024" spans="1:4" ht="20.25" customHeight="1" x14ac:dyDescent="0.35">
      <c r="A1024" s="61" t="s">
        <v>1673</v>
      </c>
      <c r="B1024" s="178" t="s">
        <v>1032</v>
      </c>
    </row>
    <row r="1025" spans="1:2" s="180" customFormat="1" ht="20.25" customHeight="1" x14ac:dyDescent="0.35">
      <c r="A1025" s="61"/>
      <c r="B1025" s="178"/>
    </row>
    <row r="1113" spans="1:4" ht="20.25" customHeight="1" x14ac:dyDescent="0.35">
      <c r="B1113" s="178"/>
      <c r="D1113" s="180"/>
    </row>
    <row r="1114" spans="1:4" ht="20.25" customHeight="1" x14ac:dyDescent="0.35">
      <c r="A1114" s="61" t="s">
        <v>142</v>
      </c>
      <c r="B1114" s="178" t="s">
        <v>142</v>
      </c>
      <c r="D1114" s="180"/>
    </row>
    <row r="1115" spans="1:4" ht="20.25" customHeight="1" x14ac:dyDescent="0.35">
      <c r="A1115" s="61" t="s">
        <v>143</v>
      </c>
      <c r="B1115" s="178" t="s">
        <v>143</v>
      </c>
      <c r="D1115" s="180"/>
    </row>
    <row r="1116" spans="1:4" ht="20.25" customHeight="1" x14ac:dyDescent="0.35">
      <c r="A1116" s="61" t="s">
        <v>146</v>
      </c>
      <c r="B1116" s="178" t="s">
        <v>146</v>
      </c>
      <c r="D1116" s="180"/>
    </row>
    <row r="1117" spans="1:4" ht="20.25" customHeight="1" x14ac:dyDescent="0.35">
      <c r="A1117" s="61" t="s">
        <v>145</v>
      </c>
      <c r="B1117" s="178" t="s">
        <v>145</v>
      </c>
      <c r="D1117" s="180"/>
    </row>
    <row r="1118" spans="1:4" ht="20.25" customHeight="1" x14ac:dyDescent="0.35">
      <c r="A1118" s="61" t="s">
        <v>144</v>
      </c>
      <c r="B1118" s="178" t="s">
        <v>144</v>
      </c>
      <c r="D1118" s="180"/>
    </row>
    <row r="1119" spans="1:4" ht="20.25" customHeight="1" x14ac:dyDescent="0.35">
      <c r="B1119" s="178"/>
      <c r="D1119" s="180"/>
    </row>
    <row r="1120" spans="1:4" ht="20.25" customHeight="1" x14ac:dyDescent="0.35">
      <c r="A1120" s="61" t="s">
        <v>1526</v>
      </c>
      <c r="B1120" s="178" t="s">
        <v>267</v>
      </c>
      <c r="D1120" s="180"/>
    </row>
    <row r="1121" spans="1:4" ht="20.25" customHeight="1" x14ac:dyDescent="0.35">
      <c r="A1121" s="61" t="s">
        <v>1527</v>
      </c>
      <c r="B1121" s="178" t="s">
        <v>268</v>
      </c>
      <c r="D1121" s="180"/>
    </row>
    <row r="1122" spans="1:4" ht="20.25" customHeight="1" x14ac:dyDescent="0.35">
      <c r="A1122" s="61" t="s">
        <v>1528</v>
      </c>
      <c r="B1122" s="178" t="s">
        <v>269</v>
      </c>
      <c r="D1122" s="180"/>
    </row>
    <row r="1123" spans="1:4" ht="20.25" customHeight="1" x14ac:dyDescent="0.35">
      <c r="A1123" s="61" t="s">
        <v>1717</v>
      </c>
      <c r="B1123" s="178" t="s">
        <v>270</v>
      </c>
      <c r="D1123" s="180"/>
    </row>
    <row r="1124" spans="1:4" ht="20.25" customHeight="1" x14ac:dyDescent="0.35">
      <c r="A1124" s="61" t="s">
        <v>1529</v>
      </c>
      <c r="B1124" s="178" t="s">
        <v>271</v>
      </c>
      <c r="D1124" s="180"/>
    </row>
    <row r="1125" spans="1:4" ht="20.25" customHeight="1" x14ac:dyDescent="0.35">
      <c r="A1125" s="61" t="s">
        <v>1530</v>
      </c>
      <c r="B1125" s="178" t="s">
        <v>272</v>
      </c>
      <c r="D1125" s="180"/>
    </row>
    <row r="1126" spans="1:4" ht="20.25" customHeight="1" x14ac:dyDescent="0.35">
      <c r="A1126" s="61" t="s">
        <v>1531</v>
      </c>
      <c r="B1126" s="178" t="s">
        <v>273</v>
      </c>
      <c r="D1126" s="180"/>
    </row>
    <row r="1127" spans="1:4" ht="20.25" customHeight="1" x14ac:dyDescent="0.35">
      <c r="A1127" s="61" t="s">
        <v>1532</v>
      </c>
      <c r="B1127" s="178" t="s">
        <v>274</v>
      </c>
      <c r="D1127" s="180"/>
    </row>
    <row r="1128" spans="1:4" ht="20.25" customHeight="1" x14ac:dyDescent="0.35">
      <c r="A1128" s="61" t="s">
        <v>1533</v>
      </c>
      <c r="B1128" s="178" t="s">
        <v>275</v>
      </c>
      <c r="D1128" s="180"/>
    </row>
    <row r="1129" spans="1:4" ht="20.25" customHeight="1" x14ac:dyDescent="0.35">
      <c r="A1129" s="61" t="s">
        <v>1534</v>
      </c>
      <c r="B1129" s="178" t="s">
        <v>276</v>
      </c>
      <c r="D1129" s="180"/>
    </row>
    <row r="1130" spans="1:4" ht="20.25" customHeight="1" x14ac:dyDescent="0.35">
      <c r="A1130" s="61" t="s">
        <v>1535</v>
      </c>
      <c r="B1130" s="178" t="s">
        <v>277</v>
      </c>
      <c r="D1130" s="180"/>
    </row>
    <row r="1131" spans="1:4" ht="20.25" customHeight="1" x14ac:dyDescent="0.35">
      <c r="A1131" s="61" t="s">
        <v>1536</v>
      </c>
      <c r="B1131" s="178" t="s">
        <v>278</v>
      </c>
      <c r="D1131" s="180"/>
    </row>
    <row r="1132" spans="1:4" ht="20.25" customHeight="1" x14ac:dyDescent="0.35">
      <c r="A1132" s="61" t="s">
        <v>1537</v>
      </c>
      <c r="B1132" s="178" t="s">
        <v>279</v>
      </c>
      <c r="D1132" s="180"/>
    </row>
    <row r="1133" spans="1:4" ht="20.25" customHeight="1" x14ac:dyDescent="0.35">
      <c r="A1133" s="61" t="s">
        <v>1538</v>
      </c>
      <c r="B1133" s="178" t="s">
        <v>172</v>
      </c>
      <c r="D1133" s="180"/>
    </row>
    <row r="1134" spans="1:4" ht="20.25" customHeight="1" x14ac:dyDescent="0.35">
      <c r="A1134" s="61" t="s">
        <v>1539</v>
      </c>
      <c r="B1134" s="178" t="s">
        <v>280</v>
      </c>
      <c r="D1134" s="180"/>
    </row>
    <row r="1135" spans="1:4" ht="20.25" customHeight="1" x14ac:dyDescent="0.35">
      <c r="A1135" s="61" t="s">
        <v>1540</v>
      </c>
      <c r="B1135" s="178" t="s">
        <v>281</v>
      </c>
      <c r="D1135" s="180"/>
    </row>
    <row r="1136" spans="1:4" ht="20.25" customHeight="1" x14ac:dyDescent="0.35">
      <c r="A1136" s="61" t="s">
        <v>1541</v>
      </c>
      <c r="B1136" s="178" t="s">
        <v>282</v>
      </c>
      <c r="D1136" s="180"/>
    </row>
    <row r="1137" spans="1:4" ht="20.25" customHeight="1" x14ac:dyDescent="0.35">
      <c r="A1137" s="61" t="s">
        <v>1542</v>
      </c>
      <c r="B1137" s="178" t="s">
        <v>283</v>
      </c>
      <c r="D1137" s="180"/>
    </row>
    <row r="1138" spans="1:4" ht="20.25" customHeight="1" x14ac:dyDescent="0.35">
      <c r="A1138" s="61" t="s">
        <v>1543</v>
      </c>
      <c r="B1138" s="178" t="s">
        <v>284</v>
      </c>
      <c r="D1138" s="180"/>
    </row>
    <row r="1139" spans="1:4" ht="20.25" customHeight="1" x14ac:dyDescent="0.35">
      <c r="A1139" s="61" t="s">
        <v>1544</v>
      </c>
      <c r="B1139" s="178" t="s">
        <v>285</v>
      </c>
      <c r="D1139" s="180"/>
    </row>
    <row r="1140" spans="1:4" ht="20.25" customHeight="1" x14ac:dyDescent="0.35">
      <c r="A1140" s="61" t="s">
        <v>1545</v>
      </c>
      <c r="B1140" s="178" t="s">
        <v>286</v>
      </c>
      <c r="D1140" s="180"/>
    </row>
    <row r="1141" spans="1:4" ht="20.25" customHeight="1" x14ac:dyDescent="0.35">
      <c r="A1141" s="61" t="s">
        <v>1546</v>
      </c>
      <c r="B1141" s="178" t="s">
        <v>89</v>
      </c>
      <c r="D1141" s="180"/>
    </row>
    <row r="1142" spans="1:4" ht="20.25" customHeight="1" x14ac:dyDescent="0.35">
      <c r="A1142" s="61" t="s">
        <v>1547</v>
      </c>
      <c r="B1142" s="178" t="s">
        <v>287</v>
      </c>
      <c r="D1142" s="180"/>
    </row>
    <row r="1143" spans="1:4" ht="20.25" customHeight="1" x14ac:dyDescent="0.35">
      <c r="A1143" s="61" t="s">
        <v>1548</v>
      </c>
      <c r="B1143" s="178" t="s">
        <v>288</v>
      </c>
      <c r="D1143" s="180"/>
    </row>
    <row r="1144" spans="1:4" ht="20.25" customHeight="1" x14ac:dyDescent="0.35">
      <c r="A1144" s="61" t="s">
        <v>1549</v>
      </c>
      <c r="B1144" s="178" t="s">
        <v>289</v>
      </c>
      <c r="D1144" s="180"/>
    </row>
    <row r="1145" spans="1:4" ht="20.25" customHeight="1" x14ac:dyDescent="0.35">
      <c r="A1145" s="61" t="s">
        <v>1550</v>
      </c>
      <c r="B1145" s="178" t="s">
        <v>290</v>
      </c>
      <c r="D1145" s="180"/>
    </row>
    <row r="1146" spans="1:4" ht="20.25" customHeight="1" x14ac:dyDescent="0.35">
      <c r="A1146" s="61" t="s">
        <v>1551</v>
      </c>
      <c r="B1146" s="178" t="s">
        <v>291</v>
      </c>
      <c r="D1146" s="180"/>
    </row>
    <row r="1147" spans="1:4" ht="20.25" customHeight="1" x14ac:dyDescent="0.35">
      <c r="A1147" s="61" t="s">
        <v>1552</v>
      </c>
      <c r="B1147" s="178" t="s">
        <v>292</v>
      </c>
      <c r="D1147" s="180"/>
    </row>
    <row r="1148" spans="1:4" ht="20.25" customHeight="1" x14ac:dyDescent="0.35">
      <c r="A1148" s="61" t="s">
        <v>1553</v>
      </c>
      <c r="B1148" s="178" t="s">
        <v>293</v>
      </c>
      <c r="D1148" s="180"/>
    </row>
    <row r="1149" spans="1:4" ht="20.25" customHeight="1" x14ac:dyDescent="0.35">
      <c r="A1149" s="61" t="s">
        <v>1554</v>
      </c>
      <c r="B1149" s="178" t="s">
        <v>294</v>
      </c>
      <c r="D1149" s="180"/>
    </row>
    <row r="1150" spans="1:4" ht="20.25" customHeight="1" x14ac:dyDescent="0.35">
      <c r="A1150" s="61" t="s">
        <v>1555</v>
      </c>
      <c r="B1150" s="178" t="s">
        <v>295</v>
      </c>
      <c r="D1150" s="180"/>
    </row>
    <row r="1151" spans="1:4" ht="20.25" customHeight="1" x14ac:dyDescent="0.35">
      <c r="A1151" s="61" t="s">
        <v>1556</v>
      </c>
      <c r="B1151" s="178" t="s">
        <v>90</v>
      </c>
      <c r="D1151" s="180"/>
    </row>
    <row r="1152" spans="1:4" ht="20.25" customHeight="1" x14ac:dyDescent="0.35">
      <c r="A1152" s="61" t="s">
        <v>1557</v>
      </c>
      <c r="B1152" s="178" t="s">
        <v>296</v>
      </c>
      <c r="D1152" s="180"/>
    </row>
    <row r="1153" spans="1:4" ht="20.25" customHeight="1" x14ac:dyDescent="0.35">
      <c r="A1153" s="61" t="s">
        <v>1558</v>
      </c>
      <c r="B1153" s="178" t="s">
        <v>297</v>
      </c>
      <c r="D1153" s="180"/>
    </row>
    <row r="1154" spans="1:4" ht="20.25" customHeight="1" x14ac:dyDescent="0.35">
      <c r="A1154" s="61" t="s">
        <v>1559</v>
      </c>
      <c r="B1154" s="178" t="s">
        <v>298</v>
      </c>
      <c r="D1154" s="180"/>
    </row>
    <row r="1155" spans="1:4" ht="20.25" customHeight="1" x14ac:dyDescent="0.35">
      <c r="A1155" s="61" t="s">
        <v>1560</v>
      </c>
      <c r="B1155" s="178" t="s">
        <v>299</v>
      </c>
      <c r="D1155" s="180"/>
    </row>
    <row r="1156" spans="1:4" ht="20.25" customHeight="1" x14ac:dyDescent="0.35">
      <c r="A1156" s="61" t="s">
        <v>1561</v>
      </c>
      <c r="B1156" s="178" t="s">
        <v>300</v>
      </c>
      <c r="D1156" s="180"/>
    </row>
    <row r="1157" spans="1:4" ht="20.25" customHeight="1" x14ac:dyDescent="0.35">
      <c r="A1157" s="61" t="s">
        <v>1562</v>
      </c>
      <c r="B1157" s="178" t="s">
        <v>301</v>
      </c>
      <c r="D1157" s="180"/>
    </row>
    <row r="1158" spans="1:4" ht="20.25" customHeight="1" x14ac:dyDescent="0.35">
      <c r="A1158" s="61" t="s">
        <v>1563</v>
      </c>
      <c r="B1158" s="178" t="s">
        <v>302</v>
      </c>
      <c r="D1158" s="180"/>
    </row>
    <row r="1159" spans="1:4" ht="20.25" customHeight="1" x14ac:dyDescent="0.35">
      <c r="A1159" s="61" t="s">
        <v>1564</v>
      </c>
      <c r="B1159" s="178" t="s">
        <v>303</v>
      </c>
      <c r="D1159" s="180"/>
    </row>
    <row r="1160" spans="1:4" ht="20.25" customHeight="1" x14ac:dyDescent="0.35">
      <c r="A1160" s="61" t="s">
        <v>1565</v>
      </c>
      <c r="B1160" s="178" t="s">
        <v>304</v>
      </c>
      <c r="D1160" s="180"/>
    </row>
    <row r="1161" spans="1:4" ht="20.25" customHeight="1" x14ac:dyDescent="0.35">
      <c r="A1161" s="61" t="s">
        <v>1566</v>
      </c>
      <c r="B1161" s="178" t="s">
        <v>305</v>
      </c>
      <c r="D1161" s="180"/>
    </row>
    <row r="1162" spans="1:4" ht="20.25" customHeight="1" x14ac:dyDescent="0.35">
      <c r="A1162" s="61" t="s">
        <v>1567</v>
      </c>
      <c r="B1162" s="178" t="s">
        <v>306</v>
      </c>
      <c r="D1162" s="180"/>
    </row>
    <row r="1163" spans="1:4" ht="20.25" customHeight="1" x14ac:dyDescent="0.35">
      <c r="A1163" s="61" t="s">
        <v>1568</v>
      </c>
      <c r="B1163" s="178" t="s">
        <v>307</v>
      </c>
      <c r="D1163" s="180"/>
    </row>
    <row r="1164" spans="1:4" ht="20.25" customHeight="1" x14ac:dyDescent="0.35">
      <c r="A1164" s="61" t="s">
        <v>1569</v>
      </c>
      <c r="B1164" s="178" t="s">
        <v>308</v>
      </c>
      <c r="D1164" s="180"/>
    </row>
    <row r="1165" spans="1:4" ht="20.25" customHeight="1" x14ac:dyDescent="0.35">
      <c r="A1165" s="61" t="s">
        <v>1570</v>
      </c>
      <c r="B1165" s="178" t="s">
        <v>306</v>
      </c>
      <c r="D1165" s="180"/>
    </row>
    <row r="1166" spans="1:4" ht="20.25" customHeight="1" x14ac:dyDescent="0.35">
      <c r="A1166" s="61" t="s">
        <v>1571</v>
      </c>
      <c r="B1166" s="178" t="s">
        <v>309</v>
      </c>
      <c r="D1166" s="180"/>
    </row>
    <row r="1167" spans="1:4" ht="20.25" customHeight="1" x14ac:dyDescent="0.35">
      <c r="A1167" s="61" t="s">
        <v>1572</v>
      </c>
      <c r="B1167" s="178" t="s">
        <v>310</v>
      </c>
      <c r="D1167" s="180"/>
    </row>
    <row r="1168" spans="1:4" ht="20.25" customHeight="1" x14ac:dyDescent="0.35">
      <c r="A1168" s="61" t="s">
        <v>1573</v>
      </c>
      <c r="B1168" s="178" t="s">
        <v>311</v>
      </c>
      <c r="D1168" s="180"/>
    </row>
    <row r="1169" spans="1:4" ht="20.25" customHeight="1" x14ac:dyDescent="0.35">
      <c r="A1169" s="61" t="s">
        <v>1574</v>
      </c>
      <c r="B1169" s="178" t="s">
        <v>312</v>
      </c>
      <c r="D1169" s="180"/>
    </row>
    <row r="1170" spans="1:4" ht="20.25" customHeight="1" x14ac:dyDescent="0.35">
      <c r="A1170" s="61" t="s">
        <v>1575</v>
      </c>
      <c r="B1170" s="178" t="s">
        <v>157</v>
      </c>
      <c r="D1170" s="180"/>
    </row>
    <row r="1171" spans="1:4" ht="20.25" customHeight="1" x14ac:dyDescent="0.35">
      <c r="A1171" s="61" t="s">
        <v>1576</v>
      </c>
      <c r="B1171" s="178" t="s">
        <v>313</v>
      </c>
      <c r="D1171" s="180"/>
    </row>
    <row r="1172" spans="1:4" ht="20.25" customHeight="1" x14ac:dyDescent="0.35">
      <c r="A1172" s="61" t="s">
        <v>1577</v>
      </c>
      <c r="B1172" s="178" t="s">
        <v>314</v>
      </c>
      <c r="D1172" s="180"/>
    </row>
    <row r="1173" spans="1:4" ht="20.25" customHeight="1" x14ac:dyDescent="0.35">
      <c r="A1173" s="61" t="s">
        <v>1578</v>
      </c>
      <c r="B1173" s="178" t="s">
        <v>315</v>
      </c>
      <c r="D1173" s="180"/>
    </row>
    <row r="1174" spans="1:4" ht="20.25" customHeight="1" x14ac:dyDescent="0.35">
      <c r="A1174" s="61" t="s">
        <v>1579</v>
      </c>
      <c r="B1174" s="178" t="s">
        <v>316</v>
      </c>
      <c r="D1174" s="180"/>
    </row>
    <row r="1175" spans="1:4" ht="20.25" customHeight="1" x14ac:dyDescent="0.35">
      <c r="A1175" s="61" t="s">
        <v>1580</v>
      </c>
      <c r="B1175" s="178" t="s">
        <v>317</v>
      </c>
      <c r="D1175" s="180"/>
    </row>
    <row r="1176" spans="1:4" ht="20.25" customHeight="1" x14ac:dyDescent="0.35">
      <c r="B1176" s="178"/>
      <c r="D1176" s="180"/>
    </row>
    <row r="1177" spans="1:4" ht="20.25" customHeight="1" x14ac:dyDescent="0.35">
      <c r="A1177" s="61" t="s">
        <v>1581</v>
      </c>
      <c r="B1177" s="178" t="s">
        <v>318</v>
      </c>
      <c r="D1177" s="180"/>
    </row>
    <row r="1178" spans="1:4" ht="20.25" customHeight="1" x14ac:dyDescent="0.35">
      <c r="A1178" s="61" t="s">
        <v>1582</v>
      </c>
      <c r="B1178" s="178" t="s">
        <v>319</v>
      </c>
      <c r="D1178" s="180"/>
    </row>
    <row r="1179" spans="1:4" ht="20.25" customHeight="1" x14ac:dyDescent="0.35">
      <c r="A1179" s="61" t="s">
        <v>1583</v>
      </c>
      <c r="B1179" s="178" t="s">
        <v>320</v>
      </c>
      <c r="D1179" s="180"/>
    </row>
    <row r="1180" spans="1:4" ht="20.25" customHeight="1" x14ac:dyDescent="0.35">
      <c r="B1180" s="178"/>
      <c r="D1180" s="180"/>
    </row>
    <row r="1181" spans="1:4" ht="20.25" customHeight="1" x14ac:dyDescent="0.35">
      <c r="A1181" s="61" t="s">
        <v>1584</v>
      </c>
      <c r="B1181" s="178" t="s">
        <v>143</v>
      </c>
      <c r="D1181" s="180"/>
    </row>
    <row r="1182" spans="1:4" ht="20.25" customHeight="1" x14ac:dyDescent="0.35">
      <c r="A1182" s="61" t="s">
        <v>1585</v>
      </c>
      <c r="B1182" s="178" t="s">
        <v>142</v>
      </c>
      <c r="D1182" s="180"/>
    </row>
    <row r="1183" spans="1:4" ht="20.25" customHeight="1" x14ac:dyDescent="0.35">
      <c r="B1183" s="178"/>
      <c r="D1183" s="180"/>
    </row>
    <row r="1184" spans="1:4" ht="20.25" customHeight="1" x14ac:dyDescent="0.35">
      <c r="A1184" s="61" t="s">
        <v>1586</v>
      </c>
      <c r="B1184" s="178"/>
      <c r="D1184" s="180"/>
    </row>
    <row r="1185" spans="1:4" ht="20.25" customHeight="1" x14ac:dyDescent="0.35">
      <c r="A1185" s="61" t="s">
        <v>1587</v>
      </c>
      <c r="B1185" s="178"/>
      <c r="D1185" s="180"/>
    </row>
    <row r="1186" spans="1:4" ht="20.25" customHeight="1" x14ac:dyDescent="0.35">
      <c r="A1186" s="61" t="s">
        <v>1588</v>
      </c>
      <c r="B1186" s="178"/>
      <c r="D1186" s="180"/>
    </row>
    <row r="1187" spans="1:4" ht="20.25" customHeight="1" x14ac:dyDescent="0.35">
      <c r="A1187" s="61" t="s">
        <v>1589</v>
      </c>
      <c r="B1187" s="178"/>
      <c r="D1187" s="180"/>
    </row>
    <row r="1188" spans="1:4" ht="20.25" customHeight="1" x14ac:dyDescent="0.35">
      <c r="A1188" s="61" t="s">
        <v>1590</v>
      </c>
      <c r="B1188" s="178"/>
      <c r="D1188" s="180"/>
    </row>
    <row r="1189" spans="1:4" ht="20.25" customHeight="1" x14ac:dyDescent="0.35">
      <c r="A1189" s="61" t="s">
        <v>1591</v>
      </c>
      <c r="B1189" s="178"/>
      <c r="D1189" s="180"/>
    </row>
    <row r="1190" spans="1:4" ht="20.25" customHeight="1" x14ac:dyDescent="0.35">
      <c r="A1190" s="61" t="s">
        <v>1592</v>
      </c>
      <c r="B1190" s="178"/>
      <c r="D1190" s="180"/>
    </row>
    <row r="1191" spans="1:4" ht="20.25" customHeight="1" x14ac:dyDescent="0.35">
      <c r="A1191" s="61" t="s">
        <v>1593</v>
      </c>
      <c r="B1191" s="178"/>
      <c r="D1191" s="180"/>
    </row>
    <row r="1192" spans="1:4" ht="20.25" customHeight="1" x14ac:dyDescent="0.35">
      <c r="A1192" s="61" t="s">
        <v>1594</v>
      </c>
      <c r="B1192" s="178"/>
      <c r="D1192" s="180"/>
    </row>
    <row r="1193" spans="1:4" ht="20.25" customHeight="1" x14ac:dyDescent="0.35">
      <c r="A1193" s="61" t="s">
        <v>1595</v>
      </c>
      <c r="B1193" s="178"/>
      <c r="D1193" s="180"/>
    </row>
    <row r="1194" spans="1:4" ht="20.25" customHeight="1" x14ac:dyDescent="0.35">
      <c r="A1194" s="61" t="s">
        <v>1368</v>
      </c>
      <c r="B1194" s="178"/>
      <c r="D1194" s="180"/>
    </row>
    <row r="1195" spans="1:4" ht="20.25" customHeight="1" x14ac:dyDescent="0.35">
      <c r="A1195" s="61" t="s">
        <v>1596</v>
      </c>
      <c r="B1195" s="178"/>
      <c r="D1195" s="180"/>
    </row>
    <row r="1196" spans="1:4" ht="20.25" customHeight="1" x14ac:dyDescent="0.35">
      <c r="A1196" s="61"/>
      <c r="B1196" s="178"/>
      <c r="D1196" s="180"/>
    </row>
    <row r="1197" spans="1:4" ht="20.25" customHeight="1" x14ac:dyDescent="0.35">
      <c r="A1197" s="61"/>
      <c r="B1197" s="178"/>
      <c r="D1197" s="180"/>
    </row>
    <row r="1198" spans="1:4" ht="20.25" customHeight="1" x14ac:dyDescent="0.35">
      <c r="A1198" s="61"/>
      <c r="B1198" s="178"/>
      <c r="D1198" s="180"/>
    </row>
    <row r="1199" spans="1:4" ht="20.25" customHeight="1" x14ac:dyDescent="0.35">
      <c r="B1199" s="178"/>
      <c r="D1199" s="180"/>
    </row>
    <row r="1202" spans="1:4" ht="20.25" customHeight="1" x14ac:dyDescent="0.35">
      <c r="A1202" s="61" t="s">
        <v>1597</v>
      </c>
      <c r="B1202" s="178" t="s">
        <v>549</v>
      </c>
      <c r="D1202" s="180"/>
    </row>
    <row r="1203" spans="1:4" ht="20.25" customHeight="1" x14ac:dyDescent="0.35">
      <c r="A1203" s="61" t="s">
        <v>1598</v>
      </c>
      <c r="B1203" s="178" t="s">
        <v>550</v>
      </c>
      <c r="D1203" s="180"/>
    </row>
    <row r="1204" spans="1:4" ht="20.25" customHeight="1" x14ac:dyDescent="0.35">
      <c r="A1204" s="61" t="s">
        <v>1599</v>
      </c>
      <c r="B1204" s="178" t="s">
        <v>551</v>
      </c>
      <c r="D1204" s="180"/>
    </row>
    <row r="1205" spans="1:4" ht="20.25" customHeight="1" x14ac:dyDescent="0.35">
      <c r="A1205" s="61" t="s">
        <v>1378</v>
      </c>
      <c r="B1205" s="178"/>
      <c r="D1205" s="180"/>
    </row>
    <row r="1206" spans="1:4" ht="20.25" customHeight="1" x14ac:dyDescent="0.35">
      <c r="A1206" s="61" t="s">
        <v>1379</v>
      </c>
      <c r="B1206" s="178"/>
      <c r="D1206" s="180"/>
    </row>
    <row r="1207" spans="1:4" ht="20.25" customHeight="1" x14ac:dyDescent="0.35">
      <c r="A1207" s="61" t="s">
        <v>1380</v>
      </c>
      <c r="B1207" s="178"/>
      <c r="D1207" s="180"/>
    </row>
    <row r="1208" spans="1:4" ht="20.25" customHeight="1" x14ac:dyDescent="0.35">
      <c r="A1208" s="61" t="s">
        <v>1381</v>
      </c>
      <c r="B1208" s="178"/>
      <c r="D1208" s="180"/>
    </row>
    <row r="1209" spans="1:4" ht="20.25" customHeight="1" x14ac:dyDescent="0.35">
      <c r="A1209" s="61" t="s">
        <v>1382</v>
      </c>
      <c r="B1209" s="178"/>
      <c r="D1209" s="180"/>
    </row>
    <row r="1210" spans="1:4" ht="20.25" customHeight="1" x14ac:dyDescent="0.35">
      <c r="A1210" s="61" t="s">
        <v>1198</v>
      </c>
      <c r="B1210" s="178" t="s">
        <v>552</v>
      </c>
      <c r="D1210" s="180"/>
    </row>
    <row r="1211" spans="1:4" ht="20.25" customHeight="1" x14ac:dyDescent="0.35">
      <c r="A1211" s="61" t="s">
        <v>1199</v>
      </c>
      <c r="B1211" s="178"/>
      <c r="D1211" s="180"/>
    </row>
    <row r="1212" spans="1:4" ht="20.25" customHeight="1" x14ac:dyDescent="0.35">
      <c r="A1212" s="61" t="s">
        <v>1393</v>
      </c>
      <c r="B1212" s="178" t="s">
        <v>553</v>
      </c>
      <c r="D1212" s="180"/>
    </row>
    <row r="1213" spans="1:4" ht="20.25" customHeight="1" x14ac:dyDescent="0.35">
      <c r="A1213" s="61" t="s">
        <v>1394</v>
      </c>
      <c r="B1213" s="178"/>
      <c r="D1213" s="180"/>
    </row>
    <row r="1214" spans="1:4" ht="20.25" customHeight="1" x14ac:dyDescent="0.35">
      <c r="A1214" s="61" t="s">
        <v>1395</v>
      </c>
      <c r="B1214" s="178" t="s">
        <v>554</v>
      </c>
      <c r="D1214" s="180"/>
    </row>
    <row r="1215" spans="1:4" ht="20.25" customHeight="1" x14ac:dyDescent="0.35">
      <c r="A1215" s="61" t="s">
        <v>1396</v>
      </c>
      <c r="B1215" s="178"/>
      <c r="D1215" s="180"/>
    </row>
    <row r="1216" spans="1:4" ht="20.25" customHeight="1" x14ac:dyDescent="0.35">
      <c r="A1216" s="61" t="s">
        <v>1399</v>
      </c>
      <c r="B1216" s="178" t="s">
        <v>555</v>
      </c>
      <c r="D1216" s="180"/>
    </row>
    <row r="1217" spans="1:4" ht="20.25" customHeight="1" x14ac:dyDescent="0.35">
      <c r="A1217" s="61" t="s">
        <v>1398</v>
      </c>
      <c r="B1217" s="178" t="s">
        <v>556</v>
      </c>
      <c r="D1217" s="180"/>
    </row>
    <row r="1218" spans="1:4" ht="20.25" customHeight="1" x14ac:dyDescent="0.35">
      <c r="A1218" s="61" t="s">
        <v>1399</v>
      </c>
      <c r="B1218" s="178" t="s">
        <v>557</v>
      </c>
      <c r="D1218" s="180"/>
    </row>
    <row r="1219" spans="1:4" ht="20.25" customHeight="1" x14ac:dyDescent="0.35">
      <c r="A1219" s="61" t="s">
        <v>1600</v>
      </c>
      <c r="B1219" s="178" t="s">
        <v>558</v>
      </c>
      <c r="D1219" s="180"/>
    </row>
    <row r="1220" spans="1:4" ht="20.25" customHeight="1" x14ac:dyDescent="0.35">
      <c r="A1220" s="61" t="s">
        <v>1601</v>
      </c>
      <c r="B1220" s="178"/>
      <c r="D1220" s="180"/>
    </row>
    <row r="1221" spans="1:4" ht="20.25" customHeight="1" x14ac:dyDescent="0.35">
      <c r="A1221" s="61" t="s">
        <v>1602</v>
      </c>
      <c r="B1221" s="178"/>
      <c r="D1221" s="180"/>
    </row>
    <row r="1222" spans="1:4" ht="20.25" customHeight="1" x14ac:dyDescent="0.35">
      <c r="A1222" s="61" t="s">
        <v>1113</v>
      </c>
      <c r="B1222" s="178" t="s">
        <v>559</v>
      </c>
      <c r="D1222" s="180"/>
    </row>
    <row r="1223" spans="1:4" ht="20.25" customHeight="1" x14ac:dyDescent="0.35">
      <c r="A1223" s="61" t="s">
        <v>1117</v>
      </c>
      <c r="B1223" s="178" t="s">
        <v>560</v>
      </c>
      <c r="D1223" s="180"/>
    </row>
    <row r="1224" spans="1:4" ht="20.25" customHeight="1" x14ac:dyDescent="0.35">
      <c r="A1224" s="61" t="s">
        <v>1603</v>
      </c>
      <c r="B1224" s="178"/>
      <c r="D1224" s="180"/>
    </row>
    <row r="1225" spans="1:4" ht="20.25" customHeight="1" x14ac:dyDescent="0.35">
      <c r="A1225" s="61" t="s">
        <v>1115</v>
      </c>
      <c r="B1225" s="178"/>
      <c r="D1225" s="180"/>
    </row>
    <row r="1226" spans="1:4" ht="20.25" customHeight="1" x14ac:dyDescent="0.35">
      <c r="A1226" s="61" t="s">
        <v>1604</v>
      </c>
      <c r="B1226" s="178"/>
      <c r="D1226" s="180"/>
    </row>
    <row r="1227" spans="1:4" ht="20.25" customHeight="1" x14ac:dyDescent="0.35">
      <c r="A1227" s="61" t="s">
        <v>1605</v>
      </c>
      <c r="B1227" s="178"/>
      <c r="D1227" s="180"/>
    </row>
    <row r="1228" spans="1:4" ht="20.25" customHeight="1" x14ac:dyDescent="0.35">
      <c r="A1228" s="61" t="s">
        <v>1606</v>
      </c>
      <c r="B1228" s="178"/>
      <c r="D1228" s="180"/>
    </row>
    <row r="1229" spans="1:4" ht="20.25" customHeight="1" x14ac:dyDescent="0.35">
      <c r="A1229" s="61" t="s">
        <v>1120</v>
      </c>
      <c r="B1229" s="178" t="s">
        <v>561</v>
      </c>
      <c r="D1229" s="180"/>
    </row>
    <row r="1230" spans="1:4" ht="20.25" customHeight="1" x14ac:dyDescent="0.35">
      <c r="A1230" s="61" t="s">
        <v>1607</v>
      </c>
      <c r="B1230" s="178" t="s">
        <v>563</v>
      </c>
      <c r="D1230" s="180"/>
    </row>
    <row r="1231" spans="1:4" ht="20.25" customHeight="1" x14ac:dyDescent="0.35">
      <c r="A1231" s="61" t="s">
        <v>1608</v>
      </c>
      <c r="B1231" s="178" t="s">
        <v>564</v>
      </c>
      <c r="D1231" s="180"/>
    </row>
    <row r="1232" spans="1:4" ht="20.25" customHeight="1" x14ac:dyDescent="0.35">
      <c r="A1232" s="61" t="s">
        <v>1121</v>
      </c>
      <c r="B1232" s="178" t="s">
        <v>565</v>
      </c>
      <c r="D1232" s="180"/>
    </row>
    <row r="1233" spans="1:4" ht="20.25" customHeight="1" x14ac:dyDescent="0.35">
      <c r="A1233" s="61" t="s">
        <v>1127</v>
      </c>
      <c r="B1233" s="178" t="s">
        <v>566</v>
      </c>
      <c r="D1233" s="180"/>
    </row>
    <row r="1234" spans="1:4" ht="20.25" customHeight="1" x14ac:dyDescent="0.35">
      <c r="A1234" s="61" t="s">
        <v>1609</v>
      </c>
      <c r="B1234" s="178" t="s">
        <v>567</v>
      </c>
      <c r="D1234" s="180"/>
    </row>
    <row r="1235" spans="1:4" ht="20.25" customHeight="1" x14ac:dyDescent="0.35">
      <c r="A1235" s="61" t="s">
        <v>1610</v>
      </c>
      <c r="B1235" s="178" t="s">
        <v>568</v>
      </c>
      <c r="D1235" s="180"/>
    </row>
    <row r="1236" spans="1:4" ht="20.25" customHeight="1" x14ac:dyDescent="0.35">
      <c r="A1236" s="61" t="s">
        <v>1436</v>
      </c>
      <c r="B1236" s="178"/>
      <c r="D1236" s="180"/>
    </row>
    <row r="1237" spans="1:4" ht="20.25" customHeight="1" x14ac:dyDescent="0.35">
      <c r="A1237" s="61" t="s">
        <v>1437</v>
      </c>
      <c r="B1237" s="178"/>
      <c r="D1237" s="180"/>
    </row>
    <row r="1238" spans="1:4" ht="20.25" customHeight="1" x14ac:dyDescent="0.35">
      <c r="A1238" s="61" t="s">
        <v>1438</v>
      </c>
      <c r="B1238" s="178"/>
      <c r="D1238" s="180"/>
    </row>
    <row r="1239" spans="1:4" ht="20.25" customHeight="1" x14ac:dyDescent="0.35">
      <c r="A1239" s="61" t="s">
        <v>1439</v>
      </c>
      <c r="B1239" s="178"/>
      <c r="D1239" s="180"/>
    </row>
    <row r="1240" spans="1:4" ht="20.25" customHeight="1" x14ac:dyDescent="0.35">
      <c r="A1240" s="61" t="s">
        <v>1440</v>
      </c>
      <c r="B1240" s="178"/>
      <c r="D1240" s="180"/>
    </row>
    <row r="1241" spans="1:4" ht="20.25" customHeight="1" x14ac:dyDescent="0.35">
      <c r="A1241" s="61" t="s">
        <v>1441</v>
      </c>
      <c r="B1241" s="178"/>
      <c r="D1241" s="180"/>
    </row>
    <row r="1242" spans="1:4" ht="20.25" customHeight="1" x14ac:dyDescent="0.35">
      <c r="A1242" s="61" t="s">
        <v>1442</v>
      </c>
      <c r="B1242" s="178"/>
      <c r="D1242" s="180"/>
    </row>
    <row r="1243" spans="1:4" ht="20.25" customHeight="1" x14ac:dyDescent="0.35">
      <c r="A1243" s="61" t="s">
        <v>1443</v>
      </c>
      <c r="B1243" s="178" t="s">
        <v>570</v>
      </c>
      <c r="D1243" s="180"/>
    </row>
    <row r="1244" spans="1:4" ht="20.25" customHeight="1" x14ac:dyDescent="0.35">
      <c r="A1244" s="61" t="s">
        <v>1444</v>
      </c>
      <c r="B1244" s="178"/>
      <c r="D1244" s="180"/>
    </row>
    <row r="1245" spans="1:4" ht="20.25" customHeight="1" x14ac:dyDescent="0.35">
      <c r="A1245" s="61" t="s">
        <v>1445</v>
      </c>
      <c r="B1245" s="178"/>
      <c r="D1245" s="180"/>
    </row>
    <row r="1246" spans="1:4" ht="20.25" customHeight="1" x14ac:dyDescent="0.35">
      <c r="A1246" s="61" t="s">
        <v>1446</v>
      </c>
      <c r="B1246" s="178"/>
      <c r="D1246" s="180"/>
    </row>
    <row r="1247" spans="1:4" ht="20.25" customHeight="1" x14ac:dyDescent="0.35">
      <c r="A1247" s="61" t="s">
        <v>513</v>
      </c>
      <c r="B1247" s="178"/>
      <c r="D1247" s="180"/>
    </row>
    <row r="1248" spans="1:4" ht="20.25" customHeight="1" x14ac:dyDescent="0.35">
      <c r="A1248" s="61" t="s">
        <v>514</v>
      </c>
      <c r="B1248" s="178"/>
      <c r="D1248" s="180"/>
    </row>
    <row r="1249" spans="1:4" ht="20.25" customHeight="1" x14ac:dyDescent="0.35">
      <c r="A1249" s="61" t="s">
        <v>1447</v>
      </c>
      <c r="B1249" s="178"/>
      <c r="D1249" s="180"/>
    </row>
    <row r="1250" spans="1:4" ht="20.25" customHeight="1" x14ac:dyDescent="0.35">
      <c r="A1250" s="61" t="s">
        <v>1448</v>
      </c>
      <c r="B1250" s="178"/>
      <c r="D1250" s="180"/>
    </row>
    <row r="1251" spans="1:4" ht="20.25" customHeight="1" x14ac:dyDescent="0.35">
      <c r="A1251" s="61"/>
      <c r="B1251" s="178"/>
      <c r="D1251" s="180"/>
    </row>
    <row r="1252" spans="1:4" ht="20.25" customHeight="1" x14ac:dyDescent="0.35">
      <c r="A1252" s="61" t="s">
        <v>1449</v>
      </c>
      <c r="B1252" s="178"/>
      <c r="D1252" s="180"/>
    </row>
    <row r="1253" spans="1:4" ht="20.25" customHeight="1" x14ac:dyDescent="0.35">
      <c r="A1253" s="61" t="s">
        <v>1611</v>
      </c>
      <c r="B1253" s="178" t="s">
        <v>571</v>
      </c>
      <c r="D1253" s="180"/>
    </row>
    <row r="1254" spans="1:4" ht="20.25" customHeight="1" x14ac:dyDescent="0.35">
      <c r="A1254" s="61" t="s">
        <v>1451</v>
      </c>
      <c r="B1254" s="178"/>
      <c r="D1254" s="180"/>
    </row>
    <row r="1255" spans="1:4" ht="20.25" customHeight="1" x14ac:dyDescent="0.35">
      <c r="A1255" s="61" t="s">
        <v>1452</v>
      </c>
      <c r="B1255" s="178"/>
      <c r="D1255" s="180"/>
    </row>
    <row r="1256" spans="1:4" ht="20.25" customHeight="1" x14ac:dyDescent="0.35">
      <c r="A1256" s="61" t="s">
        <v>1453</v>
      </c>
      <c r="B1256" s="178"/>
      <c r="D1256" s="180"/>
    </row>
    <row r="1257" spans="1:4" ht="20.25" customHeight="1" x14ac:dyDescent="0.35">
      <c r="A1257" s="61" t="s">
        <v>1454</v>
      </c>
      <c r="B1257" s="178"/>
      <c r="D1257" s="180"/>
    </row>
    <row r="1258" spans="1:4" ht="20.25" customHeight="1" x14ac:dyDescent="0.35">
      <c r="A1258" s="61" t="s">
        <v>1457</v>
      </c>
      <c r="B1258" s="178" t="s">
        <v>572</v>
      </c>
      <c r="D1258" s="180"/>
    </row>
    <row r="1259" spans="1:4" ht="20.25" customHeight="1" x14ac:dyDescent="0.35">
      <c r="A1259" s="61" t="s">
        <v>1458</v>
      </c>
      <c r="B1259" s="178"/>
      <c r="D1259" s="180"/>
    </row>
    <row r="1260" spans="1:4" ht="20.25" customHeight="1" x14ac:dyDescent="0.35">
      <c r="A1260" s="61" t="s">
        <v>1459</v>
      </c>
      <c r="B1260" s="178"/>
      <c r="D1260" s="180"/>
    </row>
    <row r="1261" spans="1:4" ht="20.25" customHeight="1" x14ac:dyDescent="0.35">
      <c r="A1261" s="61" t="s">
        <v>1460</v>
      </c>
      <c r="B1261" s="178"/>
      <c r="D1261" s="180"/>
    </row>
    <row r="1262" spans="1:4" ht="20.25" customHeight="1" x14ac:dyDescent="0.35">
      <c r="A1262" s="61" t="s">
        <v>1461</v>
      </c>
      <c r="B1262" s="178"/>
      <c r="D1262" s="180"/>
    </row>
    <row r="1263" spans="1:4" ht="20.25" customHeight="1" x14ac:dyDescent="0.35">
      <c r="A1263" s="61" t="s">
        <v>1462</v>
      </c>
      <c r="B1263" s="178"/>
      <c r="D1263" s="180"/>
    </row>
    <row r="1264" spans="1:4" ht="20.25" customHeight="1" x14ac:dyDescent="0.35">
      <c r="A1264" s="61" t="s">
        <v>1463</v>
      </c>
      <c r="B1264" s="178"/>
      <c r="D1264" s="180"/>
    </row>
    <row r="1265" spans="1:4" ht="20.25" customHeight="1" x14ac:dyDescent="0.35">
      <c r="A1265" s="61" t="s">
        <v>1612</v>
      </c>
      <c r="B1265" s="178"/>
      <c r="D1265" s="180"/>
    </row>
    <row r="1266" spans="1:4" ht="20.25" customHeight="1" x14ac:dyDescent="0.35">
      <c r="A1266" s="61" t="s">
        <v>1466</v>
      </c>
      <c r="B1266" s="178" t="s">
        <v>573</v>
      </c>
      <c r="D1266" s="180"/>
    </row>
    <row r="1267" spans="1:4" ht="20.25" customHeight="1" x14ac:dyDescent="0.35">
      <c r="A1267" s="61" t="s">
        <v>1467</v>
      </c>
      <c r="B1267" s="178"/>
      <c r="D1267" s="180"/>
    </row>
    <row r="1268" spans="1:4" ht="20.25" customHeight="1" x14ac:dyDescent="0.35">
      <c r="A1268" s="61" t="s">
        <v>1468</v>
      </c>
      <c r="B1268" s="178"/>
      <c r="D1268" s="180"/>
    </row>
    <row r="1269" spans="1:4" ht="20.25" customHeight="1" x14ac:dyDescent="0.35">
      <c r="A1269" s="61" t="s">
        <v>1469</v>
      </c>
      <c r="B1269" s="178"/>
      <c r="D1269" s="180"/>
    </row>
    <row r="1270" spans="1:4" ht="20.25" customHeight="1" x14ac:dyDescent="0.35">
      <c r="A1270" s="61" t="s">
        <v>1613</v>
      </c>
      <c r="B1270" s="178"/>
      <c r="D1270" s="180"/>
    </row>
    <row r="1271" spans="1:4" ht="20.25" customHeight="1" x14ac:dyDescent="0.35">
      <c r="A1271" s="61" t="s">
        <v>1614</v>
      </c>
      <c r="B1271" s="178"/>
      <c r="D1271" s="180"/>
    </row>
    <row r="1272" spans="1:4" ht="20.25" customHeight="1" x14ac:dyDescent="0.35">
      <c r="A1272" s="61" t="s">
        <v>1471</v>
      </c>
      <c r="B1272" s="178"/>
      <c r="D1272" s="180"/>
    </row>
    <row r="1273" spans="1:4" ht="20.25" customHeight="1" x14ac:dyDescent="0.35">
      <c r="A1273" s="61" t="s">
        <v>1472</v>
      </c>
      <c r="B1273" s="178" t="s">
        <v>574</v>
      </c>
      <c r="D1273" s="180"/>
    </row>
    <row r="1274" spans="1:4" ht="20.25" customHeight="1" x14ac:dyDescent="0.35">
      <c r="A1274" s="61" t="s">
        <v>1473</v>
      </c>
      <c r="B1274" s="178"/>
      <c r="D1274" s="180"/>
    </row>
    <row r="1275" spans="1:4" ht="20.25" customHeight="1" x14ac:dyDescent="0.35">
      <c r="A1275" s="61" t="s">
        <v>1474</v>
      </c>
      <c r="B1275" s="178"/>
      <c r="D1275" s="180"/>
    </row>
    <row r="1276" spans="1:4" ht="20.25" customHeight="1" x14ac:dyDescent="0.35">
      <c r="A1276" s="61" t="s">
        <v>1475</v>
      </c>
      <c r="B1276" s="178"/>
      <c r="D1276" s="180"/>
    </row>
    <row r="1277" spans="1:4" ht="20.25" customHeight="1" x14ac:dyDescent="0.35">
      <c r="A1277" s="61" t="s">
        <v>1476</v>
      </c>
      <c r="B1277" s="178"/>
      <c r="D1277" s="180"/>
    </row>
    <row r="1278" spans="1:4" ht="20.25" customHeight="1" x14ac:dyDescent="0.35">
      <c r="A1278" s="61" t="s">
        <v>1477</v>
      </c>
      <c r="B1278" s="178" t="s">
        <v>575</v>
      </c>
      <c r="D1278" s="180"/>
    </row>
    <row r="1279" spans="1:4" ht="20.25" customHeight="1" x14ac:dyDescent="0.35">
      <c r="A1279" s="61" t="s">
        <v>1478</v>
      </c>
      <c r="B1279" s="178"/>
      <c r="D1279" s="180"/>
    </row>
    <row r="1280" spans="1:4" ht="20.25" customHeight="1" x14ac:dyDescent="0.35">
      <c r="A1280" s="61" t="s">
        <v>1479</v>
      </c>
      <c r="B1280" s="178"/>
      <c r="D1280" s="180"/>
    </row>
    <row r="1281" spans="1:4" ht="20.25" customHeight="1" x14ac:dyDescent="0.35">
      <c r="A1281" s="61" t="s">
        <v>1480</v>
      </c>
      <c r="B1281" s="178"/>
      <c r="D1281" s="180"/>
    </row>
    <row r="1282" spans="1:4" ht="20.25" customHeight="1" x14ac:dyDescent="0.35">
      <c r="A1282" s="61" t="s">
        <v>1481</v>
      </c>
      <c r="B1282" s="178" t="s">
        <v>576</v>
      </c>
      <c r="D1282" s="180"/>
    </row>
    <row r="1283" spans="1:4" ht="20.25" customHeight="1" x14ac:dyDescent="0.35">
      <c r="A1283" s="61" t="s">
        <v>1482</v>
      </c>
      <c r="B1283" s="178"/>
      <c r="D1283" s="180"/>
    </row>
    <row r="1284" spans="1:4" ht="20.25" customHeight="1" x14ac:dyDescent="0.35">
      <c r="A1284" s="61" t="s">
        <v>1483</v>
      </c>
      <c r="B1284" s="178"/>
      <c r="D1284" s="180"/>
    </row>
    <row r="1285" spans="1:4" ht="20.25" customHeight="1" x14ac:dyDescent="0.35">
      <c r="A1285" s="61" t="s">
        <v>1484</v>
      </c>
      <c r="B1285" s="178"/>
      <c r="D1285" s="180"/>
    </row>
    <row r="1286" spans="1:4" ht="20.25" customHeight="1" x14ac:dyDescent="0.35">
      <c r="A1286" s="61" t="s">
        <v>1485</v>
      </c>
      <c r="B1286" s="178" t="s">
        <v>577</v>
      </c>
      <c r="D1286" s="180"/>
    </row>
    <row r="1287" spans="1:4" ht="20.25" customHeight="1" x14ac:dyDescent="0.35">
      <c r="A1287" s="61" t="s">
        <v>1486</v>
      </c>
      <c r="B1287" s="178" t="s">
        <v>578</v>
      </c>
      <c r="D1287" s="180"/>
    </row>
    <row r="1288" spans="1:4" ht="20.25" customHeight="1" x14ac:dyDescent="0.35">
      <c r="A1288" s="61" t="s">
        <v>1487</v>
      </c>
      <c r="B1288" s="178"/>
      <c r="D1288" s="180"/>
    </row>
    <row r="1289" spans="1:4" ht="20.25" customHeight="1" x14ac:dyDescent="0.35">
      <c r="A1289" s="61" t="s">
        <v>1488</v>
      </c>
      <c r="B1289" s="178"/>
      <c r="D1289" s="180"/>
    </row>
    <row r="1290" spans="1:4" ht="20.25" customHeight="1" x14ac:dyDescent="0.35">
      <c r="A1290" s="61" t="s">
        <v>1489</v>
      </c>
      <c r="B1290" s="178" t="s">
        <v>579</v>
      </c>
      <c r="D1290" s="180"/>
    </row>
    <row r="1291" spans="1:4" ht="20.25" customHeight="1" x14ac:dyDescent="0.35">
      <c r="A1291" s="61" t="s">
        <v>1490</v>
      </c>
      <c r="B1291" s="178" t="s">
        <v>580</v>
      </c>
      <c r="D1291" s="180"/>
    </row>
    <row r="1292" spans="1:4" ht="20.25" customHeight="1" x14ac:dyDescent="0.35">
      <c r="A1292" s="61"/>
      <c r="B1292" s="178"/>
      <c r="D1292" s="180"/>
    </row>
  </sheetData>
  <sheetProtection selectLockedCells="1"/>
  <dataValidations count="4">
    <dataValidation type="list" errorStyle="warning" allowBlank="1" showInputMessage="1" showErrorMessage="1" errorTitle="WRONG ENTRY" prompt="Auswahl!" sqref="B1114:B1115">
      <formula1>$D$451:$D$672</formula1>
    </dataValidation>
    <dataValidation type="list" allowBlank="1" showInputMessage="1" showErrorMessage="1" sqref="B1116:B1118">
      <formula1>$E$451:$E$672</formula1>
    </dataValidation>
    <dataValidation type="list" errorStyle="warning" allowBlank="1" showInputMessage="1" showErrorMessage="1" errorTitle="WRONG ENTRY" prompt="Auswahl!" sqref="A1114:A1115">
      <formula1>$D$445:$D$664</formula1>
    </dataValidation>
    <dataValidation type="list" allowBlank="1" showInputMessage="1" showErrorMessage="1" sqref="A1116:A1118">
      <formula1>$E$445:$E$664</formula1>
    </dataValidation>
  </dataValidations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&amp;L&amp;"-,Fett"MEDIUM TERM BUDGET PLAN&amp;C&amp;8Version 04.17&amp;R&amp;"-,Fett"&amp;A</oddHeader>
    <oddFooter>&amp;L&amp;8Prof. Stefan Pfaeffli / Alex Loetscher &amp;C&amp;8Copyright © Lucerne University of Applied Sciences and Arts / Lucerne School of Business&amp;R1</oddFooter>
  </headerFooter>
  <rowBreaks count="1" manualBreakCount="1">
    <brk id="941" max="1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tabColor rgb="FFFFCC00"/>
  </sheetPr>
  <dimension ref="A1:D3"/>
  <sheetViews>
    <sheetView showGridLines="0" topLeftCell="A4" zoomScale="90" zoomScaleNormal="90" workbookViewId="0">
      <selection sqref="A1:J1"/>
    </sheetView>
  </sheetViews>
  <sheetFormatPr defaultColWidth="4.140625" defaultRowHeight="20.25" customHeight="1" x14ac:dyDescent="0.35"/>
  <cols>
    <col min="1" max="1" width="68.28515625" style="180" customWidth="1"/>
    <col min="2" max="2" width="59.28515625" style="180" customWidth="1"/>
    <col min="3" max="3" width="15.140625" style="180" bestFit="1" customWidth="1"/>
    <col min="4" max="4" width="16.28515625" style="185" customWidth="1"/>
    <col min="5" max="165" width="11.5703125" style="180" customWidth="1"/>
    <col min="166" max="166" width="3.85546875" style="180" customWidth="1"/>
    <col min="167" max="167" width="22" style="180" customWidth="1"/>
    <col min="168" max="170" width="4.140625" style="180" customWidth="1"/>
    <col min="171" max="171" width="5.85546875" style="180" customWidth="1"/>
    <col min="172" max="172" width="4.140625" style="180" customWidth="1"/>
    <col min="173" max="173" width="0.85546875" style="180" customWidth="1"/>
    <col min="174" max="174" width="5.85546875" style="180" customWidth="1"/>
    <col min="175" max="175" width="4.140625" style="180" customWidth="1"/>
    <col min="176" max="176" width="0.85546875" style="180" customWidth="1"/>
    <col min="177" max="177" width="5.85546875" style="180" customWidth="1"/>
    <col min="178" max="178" width="4.140625" style="180" customWidth="1"/>
    <col min="179" max="179" width="0.85546875" style="180" customWidth="1"/>
    <col min="180" max="180" width="5.85546875" style="180" customWidth="1"/>
    <col min="181" max="16384" width="4.140625" style="180"/>
  </cols>
  <sheetData>
    <row r="1" spans="1:4" s="177" customFormat="1" ht="33.75" hidden="1" x14ac:dyDescent="0.5">
      <c r="A1" s="183" t="s">
        <v>211</v>
      </c>
      <c r="B1" s="183" t="s">
        <v>210</v>
      </c>
      <c r="D1" s="186"/>
    </row>
    <row r="2" spans="1:4" s="181" customFormat="1" ht="20.25" hidden="1" customHeight="1" x14ac:dyDescent="0.35">
      <c r="A2" s="179"/>
      <c r="B2" s="179"/>
      <c r="D2" s="187"/>
    </row>
    <row r="3" spans="1:4" ht="20.25" hidden="1" customHeight="1" x14ac:dyDescent="0.35">
      <c r="A3" s="61" t="s">
        <v>32</v>
      </c>
      <c r="B3" s="110" t="s">
        <v>32</v>
      </c>
    </row>
  </sheetData>
  <sheetProtection sheet="1" objects="1" scenarios="1" selectLockedCells="1"/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&amp;L&amp;"-,Fett"MEDIUM TERM BUDGET PLAN&amp;C&amp;8Version 04.17&amp;R&amp;"-,Fett"&amp;A</oddHeader>
    <oddFooter>&amp;L&amp;8Prof. Stefan Pfaeffli / Alex Loetscher &amp;C&amp;8Copyright © Lucerne University of Applied Sciences and Arts / Lucerne School of Business&amp;R1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tabColor rgb="FFFFCC00"/>
  </sheetPr>
  <dimension ref="A1:E100"/>
  <sheetViews>
    <sheetView showGridLines="0" topLeftCell="A56" zoomScale="90" zoomScaleNormal="90" workbookViewId="0">
      <selection activeCell="B38" sqref="B38"/>
    </sheetView>
  </sheetViews>
  <sheetFormatPr defaultColWidth="4.140625" defaultRowHeight="20.25" customHeight="1" x14ac:dyDescent="0.35"/>
  <cols>
    <col min="1" max="1" width="7" style="476" customWidth="1"/>
    <col min="2" max="2" width="66.5703125" style="246" customWidth="1"/>
    <col min="3" max="3" width="67" style="180" customWidth="1"/>
    <col min="4" max="4" width="15.140625" style="180" bestFit="1" customWidth="1"/>
    <col min="5" max="5" width="16.28515625" style="185" customWidth="1"/>
    <col min="6" max="166" width="11.5703125" style="180" customWidth="1"/>
    <col min="167" max="167" width="3.85546875" style="180" customWidth="1"/>
    <col min="168" max="168" width="22" style="180" customWidth="1"/>
    <col min="169" max="171" width="4.140625" style="180" customWidth="1"/>
    <col min="172" max="172" width="5.85546875" style="180" customWidth="1"/>
    <col min="173" max="173" width="4.140625" style="180" customWidth="1"/>
    <col min="174" max="174" width="0.85546875" style="180" customWidth="1"/>
    <col min="175" max="175" width="5.85546875" style="180" customWidth="1"/>
    <col min="176" max="176" width="4.140625" style="180" customWidth="1"/>
    <col min="177" max="177" width="0.85546875" style="180" customWidth="1"/>
    <col min="178" max="178" width="5.85546875" style="180" customWidth="1"/>
    <col min="179" max="179" width="4.140625" style="180" customWidth="1"/>
    <col min="180" max="180" width="0.85546875" style="180" customWidth="1"/>
    <col min="181" max="181" width="5.85546875" style="180" customWidth="1"/>
    <col min="182" max="16384" width="4.140625" style="180"/>
  </cols>
  <sheetData>
    <row r="1" spans="1:5" s="177" customFormat="1" ht="33.75" x14ac:dyDescent="0.5">
      <c r="A1" s="474"/>
      <c r="B1" s="244" t="s">
        <v>1615</v>
      </c>
      <c r="C1" s="183" t="s">
        <v>210</v>
      </c>
      <c r="E1" s="186"/>
    </row>
    <row r="2" spans="1:5" s="181" customFormat="1" ht="20.25" customHeight="1" x14ac:dyDescent="0.35">
      <c r="A2" s="475" t="s">
        <v>1671</v>
      </c>
      <c r="B2" s="245"/>
      <c r="C2" s="179"/>
      <c r="E2" s="187"/>
    </row>
    <row r="3" spans="1:5" ht="20.25" customHeight="1" x14ac:dyDescent="0.35">
      <c r="A3" s="473" t="s">
        <v>601</v>
      </c>
      <c r="B3" s="61" t="s">
        <v>1616</v>
      </c>
      <c r="C3" s="110" t="s">
        <v>269</v>
      </c>
    </row>
    <row r="4" spans="1:5" ht="20.25" customHeight="1" x14ac:dyDescent="0.35">
      <c r="A4" s="473" t="s">
        <v>602</v>
      </c>
      <c r="B4" s="61" t="s">
        <v>1911</v>
      </c>
      <c r="C4" s="110" t="s">
        <v>603</v>
      </c>
    </row>
    <row r="5" spans="1:5" ht="20.25" customHeight="1" x14ac:dyDescent="0.35">
      <c r="A5" s="473" t="s">
        <v>984</v>
      </c>
      <c r="B5" s="61" t="s">
        <v>1617</v>
      </c>
      <c r="C5" s="110" t="s">
        <v>267</v>
      </c>
    </row>
    <row r="6" spans="1:5" ht="20.25" customHeight="1" x14ac:dyDescent="0.35">
      <c r="A6" s="473" t="s">
        <v>985</v>
      </c>
      <c r="B6" s="61" t="s">
        <v>1618</v>
      </c>
      <c r="C6" s="110" t="s">
        <v>268</v>
      </c>
    </row>
    <row r="7" spans="1:5" ht="20.25" customHeight="1" x14ac:dyDescent="0.35">
      <c r="A7" s="567" t="s">
        <v>1907</v>
      </c>
      <c r="B7" s="568" t="s">
        <v>1909</v>
      </c>
      <c r="C7" s="569" t="s">
        <v>1908</v>
      </c>
    </row>
    <row r="8" spans="1:5" ht="20.25" customHeight="1" x14ac:dyDescent="0.35">
      <c r="A8" s="473"/>
      <c r="B8" s="61" t="s">
        <v>1619</v>
      </c>
      <c r="C8" s="110" t="s">
        <v>1017</v>
      </c>
    </row>
    <row r="9" spans="1:5" ht="20.25" customHeight="1" x14ac:dyDescent="0.35">
      <c r="A9" s="473" t="s">
        <v>1878</v>
      </c>
      <c r="B9" s="61" t="s">
        <v>1620</v>
      </c>
      <c r="C9" s="110" t="s">
        <v>1910</v>
      </c>
    </row>
    <row r="10" spans="1:5" ht="20.25" customHeight="1" x14ac:dyDescent="0.35">
      <c r="A10" s="473" t="s">
        <v>1904</v>
      </c>
      <c r="B10" s="61" t="s">
        <v>1905</v>
      </c>
      <c r="C10" s="110" t="s">
        <v>1906</v>
      </c>
    </row>
    <row r="11" spans="1:5" ht="20.25" customHeight="1" x14ac:dyDescent="0.35">
      <c r="A11" s="567" t="s">
        <v>1677</v>
      </c>
      <c r="B11" s="568" t="s">
        <v>1678</v>
      </c>
      <c r="C11" s="569" t="s">
        <v>1679</v>
      </c>
    </row>
    <row r="12" spans="1:5" ht="20.25" hidden="1" customHeight="1" x14ac:dyDescent="0.35">
      <c r="A12" s="567" t="s">
        <v>1013</v>
      </c>
      <c r="B12" s="568" t="s">
        <v>1620</v>
      </c>
      <c r="C12" s="570" t="s">
        <v>983</v>
      </c>
    </row>
    <row r="13" spans="1:5" ht="20.25" customHeight="1" x14ac:dyDescent="0.35">
      <c r="A13" s="567" t="s">
        <v>1680</v>
      </c>
      <c r="B13" s="568" t="s">
        <v>1681</v>
      </c>
      <c r="C13" s="569" t="s">
        <v>1682</v>
      </c>
    </row>
    <row r="14" spans="1:5" ht="20.25" customHeight="1" x14ac:dyDescent="0.35">
      <c r="A14" s="473" t="s">
        <v>986</v>
      </c>
      <c r="B14" s="61" t="s">
        <v>1621</v>
      </c>
      <c r="C14" s="110" t="s">
        <v>272</v>
      </c>
    </row>
    <row r="15" spans="1:5" ht="20.25" customHeight="1" x14ac:dyDescent="0.35">
      <c r="A15" s="473" t="s">
        <v>604</v>
      </c>
      <c r="B15" s="61" t="s">
        <v>1622</v>
      </c>
      <c r="C15" s="110" t="s">
        <v>605</v>
      </c>
    </row>
    <row r="16" spans="1:5" ht="20.25" customHeight="1" x14ac:dyDescent="0.35">
      <c r="A16" s="473" t="s">
        <v>615</v>
      </c>
      <c r="B16" s="61" t="s">
        <v>1623</v>
      </c>
      <c r="C16" s="110" t="s">
        <v>616</v>
      </c>
    </row>
    <row r="17" spans="1:3" ht="20.25" customHeight="1" x14ac:dyDescent="0.35">
      <c r="A17" s="473" t="s">
        <v>987</v>
      </c>
      <c r="B17" s="61" t="s">
        <v>1624</v>
      </c>
      <c r="C17" s="110" t="s">
        <v>606</v>
      </c>
    </row>
    <row r="18" spans="1:3" ht="20.25" customHeight="1" x14ac:dyDescent="0.35">
      <c r="A18" s="473" t="s">
        <v>617</v>
      </c>
      <c r="B18" s="61" t="s">
        <v>1625</v>
      </c>
      <c r="C18" s="110" t="s">
        <v>618</v>
      </c>
    </row>
    <row r="19" spans="1:3" ht="20.25" customHeight="1" x14ac:dyDescent="0.35">
      <c r="A19" s="473" t="s">
        <v>1683</v>
      </c>
      <c r="B19" s="61" t="s">
        <v>1684</v>
      </c>
      <c r="C19" s="110" t="s">
        <v>274</v>
      </c>
    </row>
    <row r="20" spans="1:3" ht="20.25" customHeight="1" x14ac:dyDescent="0.35">
      <c r="A20" s="473" t="s">
        <v>619</v>
      </c>
      <c r="B20" s="61" t="s">
        <v>1686</v>
      </c>
      <c r="C20" s="110" t="s">
        <v>275</v>
      </c>
    </row>
    <row r="21" spans="1:3" ht="20.25" customHeight="1" x14ac:dyDescent="0.35">
      <c r="A21" s="473" t="s">
        <v>1685</v>
      </c>
      <c r="B21" s="61" t="s">
        <v>1686</v>
      </c>
      <c r="C21" s="110" t="s">
        <v>275</v>
      </c>
    </row>
    <row r="22" spans="1:3" ht="20.25" hidden="1" customHeight="1" x14ac:dyDescent="0.35">
      <c r="A22" s="567" t="s">
        <v>607</v>
      </c>
      <c r="B22" s="568" t="s">
        <v>1626</v>
      </c>
      <c r="C22" s="569" t="s">
        <v>276</v>
      </c>
    </row>
    <row r="23" spans="1:3" ht="20.25" customHeight="1" x14ac:dyDescent="0.35">
      <c r="A23" s="473" t="s">
        <v>620</v>
      </c>
      <c r="B23" s="61" t="s">
        <v>1627</v>
      </c>
      <c r="C23" s="110" t="s">
        <v>621</v>
      </c>
    </row>
    <row r="24" spans="1:3" ht="20.25" customHeight="1" x14ac:dyDescent="0.35">
      <c r="A24" s="473" t="s">
        <v>622</v>
      </c>
      <c r="B24" s="61" t="s">
        <v>1628</v>
      </c>
      <c r="C24" s="110" t="s">
        <v>623</v>
      </c>
    </row>
    <row r="25" spans="1:3" ht="20.25" customHeight="1" x14ac:dyDescent="0.35">
      <c r="A25" s="567" t="s">
        <v>1687</v>
      </c>
      <c r="B25" s="568" t="s">
        <v>1688</v>
      </c>
      <c r="C25" s="569" t="s">
        <v>1689</v>
      </c>
    </row>
    <row r="26" spans="1:3" ht="20.25" customHeight="1" x14ac:dyDescent="0.35">
      <c r="A26" s="473" t="s">
        <v>1014</v>
      </c>
      <c r="B26" s="61" t="s">
        <v>1690</v>
      </c>
      <c r="C26" s="110" t="s">
        <v>1691</v>
      </c>
    </row>
    <row r="27" spans="1:3" ht="20.25" customHeight="1" x14ac:dyDescent="0.35">
      <c r="A27" s="567" t="s">
        <v>608</v>
      </c>
      <c r="B27" s="568" t="s">
        <v>1629</v>
      </c>
      <c r="C27" s="569" t="s">
        <v>278</v>
      </c>
    </row>
    <row r="28" spans="1:3" ht="20.25" customHeight="1" x14ac:dyDescent="0.35">
      <c r="A28" s="567" t="s">
        <v>609</v>
      </c>
      <c r="B28" s="568" t="s">
        <v>1630</v>
      </c>
      <c r="C28" s="569" t="s">
        <v>279</v>
      </c>
    </row>
    <row r="29" spans="1:3" ht="20.25" customHeight="1" x14ac:dyDescent="0.35">
      <c r="A29" s="473" t="s">
        <v>1692</v>
      </c>
      <c r="B29" s="61" t="s">
        <v>1693</v>
      </c>
      <c r="C29" s="110" t="s">
        <v>1694</v>
      </c>
    </row>
    <row r="30" spans="1:3" ht="20.25" customHeight="1" x14ac:dyDescent="0.35">
      <c r="A30" s="473" t="s">
        <v>624</v>
      </c>
      <c r="B30" s="61" t="s">
        <v>1631</v>
      </c>
      <c r="C30" s="110" t="s">
        <v>625</v>
      </c>
    </row>
    <row r="31" spans="1:3" ht="20.25" customHeight="1" x14ac:dyDescent="0.35">
      <c r="A31" s="473" t="s">
        <v>1695</v>
      </c>
      <c r="B31" s="61" t="s">
        <v>1696</v>
      </c>
      <c r="C31" s="110" t="s">
        <v>1697</v>
      </c>
    </row>
    <row r="32" spans="1:3" ht="20.25" customHeight="1" x14ac:dyDescent="0.35">
      <c r="A32" s="567" t="s">
        <v>610</v>
      </c>
      <c r="B32" s="568" t="s">
        <v>1632</v>
      </c>
      <c r="C32" s="569" t="s">
        <v>281</v>
      </c>
    </row>
    <row r="33" spans="1:3" ht="20.25" customHeight="1" x14ac:dyDescent="0.35">
      <c r="A33" s="567" t="s">
        <v>611</v>
      </c>
      <c r="B33" s="568" t="s">
        <v>1633</v>
      </c>
      <c r="C33" s="569" t="s">
        <v>282</v>
      </c>
    </row>
    <row r="34" spans="1:3" ht="20.25" customHeight="1" x14ac:dyDescent="0.35">
      <c r="A34" s="473" t="s">
        <v>988</v>
      </c>
      <c r="B34" s="61" t="s">
        <v>1879</v>
      </c>
      <c r="C34" s="110" t="s">
        <v>1881</v>
      </c>
    </row>
    <row r="35" spans="1:3" ht="20.25" customHeight="1" x14ac:dyDescent="0.35">
      <c r="A35" s="473" t="s">
        <v>989</v>
      </c>
      <c r="B35" s="61" t="s">
        <v>1880</v>
      </c>
      <c r="C35" s="110" t="s">
        <v>1882</v>
      </c>
    </row>
    <row r="36" spans="1:3" ht="20.25" customHeight="1" x14ac:dyDescent="0.35">
      <c r="A36" s="473" t="s">
        <v>626</v>
      </c>
      <c r="B36" s="61" t="s">
        <v>1634</v>
      </c>
      <c r="C36" s="110" t="s">
        <v>627</v>
      </c>
    </row>
    <row r="37" spans="1:3" ht="20.25" customHeight="1" x14ac:dyDescent="0.35">
      <c r="A37" s="473" t="s">
        <v>1698</v>
      </c>
      <c r="B37" s="61" t="s">
        <v>1883</v>
      </c>
      <c r="C37" s="110" t="s">
        <v>1884</v>
      </c>
    </row>
    <row r="38" spans="1:3" ht="20.25" customHeight="1" x14ac:dyDescent="0.35">
      <c r="A38" s="567" t="s">
        <v>990</v>
      </c>
      <c r="B38" s="568" t="s">
        <v>1635</v>
      </c>
      <c r="C38" s="569" t="s">
        <v>286</v>
      </c>
    </row>
    <row r="39" spans="1:3" ht="20.25" customHeight="1" x14ac:dyDescent="0.35">
      <c r="A39" s="473" t="s">
        <v>991</v>
      </c>
      <c r="B39" s="61" t="s">
        <v>1636</v>
      </c>
      <c r="C39" s="110" t="s">
        <v>89</v>
      </c>
    </row>
    <row r="40" spans="1:3" ht="20.25" customHeight="1" x14ac:dyDescent="0.35">
      <c r="A40" s="473" t="s">
        <v>628</v>
      </c>
      <c r="B40" s="61" t="s">
        <v>1637</v>
      </c>
      <c r="C40" s="110" t="s">
        <v>629</v>
      </c>
    </row>
    <row r="41" spans="1:3" ht="20.25" customHeight="1" x14ac:dyDescent="0.35">
      <c r="A41" s="473" t="s">
        <v>1699</v>
      </c>
      <c r="B41" s="61" t="s">
        <v>1700</v>
      </c>
      <c r="C41" s="110" t="s">
        <v>287</v>
      </c>
    </row>
    <row r="42" spans="1:3" ht="20.25" customHeight="1" x14ac:dyDescent="0.35">
      <c r="A42" s="473" t="s">
        <v>1701</v>
      </c>
      <c r="B42" s="61" t="s">
        <v>1885</v>
      </c>
      <c r="C42" s="110" t="s">
        <v>1886</v>
      </c>
    </row>
    <row r="43" spans="1:3" ht="20.25" customHeight="1" x14ac:dyDescent="0.35">
      <c r="A43" s="567" t="s">
        <v>612</v>
      </c>
      <c r="B43" s="568" t="s">
        <v>1712</v>
      </c>
      <c r="C43" s="569" t="s">
        <v>289</v>
      </c>
    </row>
    <row r="44" spans="1:3" ht="20.25" customHeight="1" x14ac:dyDescent="0.35">
      <c r="A44" s="473" t="s">
        <v>630</v>
      </c>
      <c r="B44" s="61" t="s">
        <v>1638</v>
      </c>
      <c r="C44" s="110" t="s">
        <v>631</v>
      </c>
    </row>
    <row r="45" spans="1:3" ht="20.25" customHeight="1" x14ac:dyDescent="0.35">
      <c r="A45" s="473" t="s">
        <v>643</v>
      </c>
      <c r="B45" s="61" t="s">
        <v>1639</v>
      </c>
      <c r="C45" s="110" t="s">
        <v>632</v>
      </c>
    </row>
    <row r="46" spans="1:3" ht="20.25" customHeight="1" x14ac:dyDescent="0.35">
      <c r="A46" s="473" t="s">
        <v>998</v>
      </c>
      <c r="B46" s="61" t="s">
        <v>1639</v>
      </c>
      <c r="C46" s="110" t="s">
        <v>290</v>
      </c>
    </row>
    <row r="47" spans="1:3" ht="20.25" customHeight="1" x14ac:dyDescent="0.35">
      <c r="A47" s="473" t="s">
        <v>633</v>
      </c>
      <c r="B47" s="61" t="s">
        <v>1640</v>
      </c>
      <c r="C47" s="110" t="s">
        <v>634</v>
      </c>
    </row>
    <row r="48" spans="1:3" ht="20.25" customHeight="1" x14ac:dyDescent="0.35">
      <c r="A48" s="473" t="s">
        <v>1702</v>
      </c>
      <c r="B48" s="61" t="s">
        <v>1887</v>
      </c>
      <c r="C48" s="110" t="s">
        <v>291</v>
      </c>
    </row>
    <row r="49" spans="1:3" ht="20.25" customHeight="1" x14ac:dyDescent="0.35">
      <c r="A49" s="473" t="s">
        <v>635</v>
      </c>
      <c r="B49" s="61" t="s">
        <v>1641</v>
      </c>
      <c r="C49" s="110" t="s">
        <v>636</v>
      </c>
    </row>
    <row r="50" spans="1:3" ht="20.25" customHeight="1" x14ac:dyDescent="0.35">
      <c r="A50" s="473" t="s">
        <v>992</v>
      </c>
      <c r="B50" s="61" t="s">
        <v>1642</v>
      </c>
      <c r="C50" s="110" t="s">
        <v>292</v>
      </c>
    </row>
    <row r="51" spans="1:3" ht="20.25" customHeight="1" x14ac:dyDescent="0.35">
      <c r="A51" s="473" t="s">
        <v>637</v>
      </c>
      <c r="B51" s="61" t="s">
        <v>1638</v>
      </c>
      <c r="C51" s="110" t="s">
        <v>638</v>
      </c>
    </row>
    <row r="52" spans="1:3" ht="20.25" customHeight="1" x14ac:dyDescent="0.35">
      <c r="A52" s="473" t="s">
        <v>993</v>
      </c>
      <c r="B52" s="61" t="s">
        <v>1703</v>
      </c>
      <c r="C52" s="110" t="s">
        <v>1704</v>
      </c>
    </row>
    <row r="53" spans="1:3" ht="20.25" customHeight="1" x14ac:dyDescent="0.35">
      <c r="A53" s="567" t="s">
        <v>994</v>
      </c>
      <c r="B53" s="568" t="s">
        <v>1705</v>
      </c>
      <c r="C53" s="569" t="s">
        <v>294</v>
      </c>
    </row>
    <row r="54" spans="1:3" ht="20.25" customHeight="1" x14ac:dyDescent="0.35">
      <c r="A54" s="473" t="s">
        <v>639</v>
      </c>
      <c r="B54" s="61" t="s">
        <v>1643</v>
      </c>
      <c r="C54" s="110" t="s">
        <v>640</v>
      </c>
    </row>
    <row r="55" spans="1:3" ht="20.25" customHeight="1" x14ac:dyDescent="0.35">
      <c r="A55" s="473" t="s">
        <v>641</v>
      </c>
      <c r="B55" s="61" t="s">
        <v>1926</v>
      </c>
      <c r="C55" s="110" t="s">
        <v>642</v>
      </c>
    </row>
    <row r="56" spans="1:3" ht="20.25" customHeight="1" x14ac:dyDescent="0.35">
      <c r="A56" s="473" t="s">
        <v>995</v>
      </c>
      <c r="B56" s="61" t="s">
        <v>1889</v>
      </c>
      <c r="C56" s="110" t="s">
        <v>1890</v>
      </c>
    </row>
    <row r="57" spans="1:3" ht="20.25" customHeight="1" x14ac:dyDescent="0.35">
      <c r="A57" s="567" t="s">
        <v>996</v>
      </c>
      <c r="B57" s="568" t="s">
        <v>1644</v>
      </c>
      <c r="C57" s="569" t="s">
        <v>90</v>
      </c>
    </row>
    <row r="58" spans="1:3" ht="20.25" customHeight="1" x14ac:dyDescent="0.35">
      <c r="A58" s="473" t="s">
        <v>643</v>
      </c>
      <c r="B58" s="61" t="s">
        <v>1645</v>
      </c>
      <c r="C58" s="110" t="s">
        <v>644</v>
      </c>
    </row>
    <row r="59" spans="1:3" ht="20.25" customHeight="1" x14ac:dyDescent="0.35">
      <c r="A59" s="473" t="s">
        <v>997</v>
      </c>
      <c r="B59" s="61" t="s">
        <v>1646</v>
      </c>
      <c r="C59" s="110" t="s">
        <v>296</v>
      </c>
    </row>
    <row r="60" spans="1:3" ht="20.25" customHeight="1" x14ac:dyDescent="0.35">
      <c r="A60" s="473" t="s">
        <v>998</v>
      </c>
      <c r="B60" s="61" t="s">
        <v>1706</v>
      </c>
      <c r="C60" s="110" t="s">
        <v>297</v>
      </c>
    </row>
    <row r="61" spans="1:3" ht="20.25" customHeight="1" x14ac:dyDescent="0.35">
      <c r="A61" s="473" t="s">
        <v>645</v>
      </c>
      <c r="B61" s="61" t="s">
        <v>1647</v>
      </c>
      <c r="C61" s="110" t="s">
        <v>646</v>
      </c>
    </row>
    <row r="62" spans="1:3" ht="20.25" customHeight="1" x14ac:dyDescent="0.35">
      <c r="A62" s="473" t="s">
        <v>1707</v>
      </c>
      <c r="B62" s="61" t="s">
        <v>1891</v>
      </c>
      <c r="C62" s="110" t="s">
        <v>646</v>
      </c>
    </row>
    <row r="63" spans="1:3" ht="20.25" customHeight="1" x14ac:dyDescent="0.35">
      <c r="A63" s="473" t="s">
        <v>647</v>
      </c>
      <c r="B63" s="61" t="s">
        <v>1648</v>
      </c>
      <c r="C63" s="110" t="s">
        <v>299</v>
      </c>
    </row>
    <row r="64" spans="1:3" ht="20.25" customHeight="1" x14ac:dyDescent="0.35">
      <c r="A64" s="473" t="s">
        <v>999</v>
      </c>
      <c r="B64" s="61" t="s">
        <v>1892</v>
      </c>
      <c r="C64" s="110" t="s">
        <v>299</v>
      </c>
    </row>
    <row r="65" spans="1:3" ht="20.25" customHeight="1" x14ac:dyDescent="0.35">
      <c r="A65" s="473" t="s">
        <v>648</v>
      </c>
      <c r="B65" s="61" t="s">
        <v>1649</v>
      </c>
      <c r="C65" s="110" t="s">
        <v>649</v>
      </c>
    </row>
    <row r="66" spans="1:3" ht="20.25" customHeight="1" x14ac:dyDescent="0.35">
      <c r="A66" s="473" t="s">
        <v>650</v>
      </c>
      <c r="B66" s="61" t="s">
        <v>1893</v>
      </c>
      <c r="C66" s="110" t="s">
        <v>300</v>
      </c>
    </row>
    <row r="67" spans="1:3" ht="20.25" customHeight="1" x14ac:dyDescent="0.35">
      <c r="A67" s="473" t="s">
        <v>1000</v>
      </c>
      <c r="B67" s="61" t="s">
        <v>1893</v>
      </c>
      <c r="C67" s="110" t="s">
        <v>300</v>
      </c>
    </row>
    <row r="68" spans="1:3" ht="20.25" customHeight="1" x14ac:dyDescent="0.35">
      <c r="A68" s="473" t="s">
        <v>651</v>
      </c>
      <c r="B68" s="61" t="s">
        <v>1894</v>
      </c>
      <c r="C68" s="110" t="s">
        <v>652</v>
      </c>
    </row>
    <row r="69" spans="1:3" ht="20.25" customHeight="1" x14ac:dyDescent="0.35">
      <c r="A69" s="473" t="s">
        <v>653</v>
      </c>
      <c r="B69" s="61" t="s">
        <v>1650</v>
      </c>
      <c r="C69" s="110" t="s">
        <v>654</v>
      </c>
    </row>
    <row r="70" spans="1:3" ht="20.25" customHeight="1" x14ac:dyDescent="0.35">
      <c r="A70" s="567" t="s">
        <v>1001</v>
      </c>
      <c r="B70" s="568" t="s">
        <v>1651</v>
      </c>
      <c r="C70" s="569" t="s">
        <v>301</v>
      </c>
    </row>
    <row r="71" spans="1:3" ht="20.25" customHeight="1" x14ac:dyDescent="0.35">
      <c r="A71" s="473" t="s">
        <v>1708</v>
      </c>
      <c r="B71" s="61" t="s">
        <v>1895</v>
      </c>
      <c r="C71" s="110" t="s">
        <v>302</v>
      </c>
    </row>
    <row r="72" spans="1:3" ht="20.25" customHeight="1" x14ac:dyDescent="0.35">
      <c r="A72" s="473" t="s">
        <v>655</v>
      </c>
      <c r="B72" s="61" t="s">
        <v>1652</v>
      </c>
      <c r="C72" s="110" t="s">
        <v>656</v>
      </c>
    </row>
    <row r="73" spans="1:3" ht="20.25" customHeight="1" x14ac:dyDescent="0.35">
      <c r="A73" s="473" t="s">
        <v>1002</v>
      </c>
      <c r="B73" s="61" t="s">
        <v>1897</v>
      </c>
      <c r="C73" s="110" t="s">
        <v>1898</v>
      </c>
    </row>
    <row r="74" spans="1:3" ht="20.25" customHeight="1" x14ac:dyDescent="0.35">
      <c r="A74" s="567" t="s">
        <v>1003</v>
      </c>
      <c r="B74" s="568" t="s">
        <v>1653</v>
      </c>
      <c r="C74" s="569" t="s">
        <v>304</v>
      </c>
    </row>
    <row r="75" spans="1:3" ht="20.25" customHeight="1" x14ac:dyDescent="0.35">
      <c r="A75" s="567" t="s">
        <v>1004</v>
      </c>
      <c r="B75" s="568" t="s">
        <v>1670</v>
      </c>
      <c r="C75" s="569" t="s">
        <v>305</v>
      </c>
    </row>
    <row r="76" spans="1:3" ht="20.25" customHeight="1" x14ac:dyDescent="0.35">
      <c r="A76" s="473" t="s">
        <v>657</v>
      </c>
      <c r="B76" s="61" t="s">
        <v>1654</v>
      </c>
      <c r="C76" s="110" t="s">
        <v>658</v>
      </c>
    </row>
    <row r="77" spans="1:3" ht="20.25" customHeight="1" x14ac:dyDescent="0.35">
      <c r="A77" s="473" t="s">
        <v>659</v>
      </c>
      <c r="B77" s="61" t="s">
        <v>1655</v>
      </c>
      <c r="C77" s="110" t="s">
        <v>660</v>
      </c>
    </row>
    <row r="78" spans="1:3" ht="20.25" customHeight="1" x14ac:dyDescent="0.35">
      <c r="A78" s="473" t="s">
        <v>1709</v>
      </c>
      <c r="B78" s="61" t="s">
        <v>1899</v>
      </c>
      <c r="C78" s="110" t="s">
        <v>1710</v>
      </c>
    </row>
    <row r="79" spans="1:3" ht="20.25" customHeight="1" x14ac:dyDescent="0.35">
      <c r="A79" s="567" t="s">
        <v>613</v>
      </c>
      <c r="B79" s="568" t="s">
        <v>1656</v>
      </c>
      <c r="C79" s="569" t="s">
        <v>307</v>
      </c>
    </row>
    <row r="80" spans="1:3" ht="20.25" customHeight="1" x14ac:dyDescent="0.35">
      <c r="A80" s="567" t="s">
        <v>614</v>
      </c>
      <c r="B80" s="568" t="s">
        <v>1657</v>
      </c>
      <c r="C80" s="569" t="s">
        <v>308</v>
      </c>
    </row>
    <row r="81" spans="1:3" ht="20.25" customHeight="1" x14ac:dyDescent="0.35">
      <c r="A81" s="473" t="s">
        <v>661</v>
      </c>
      <c r="B81" s="61" t="s">
        <v>1927</v>
      </c>
      <c r="C81" s="110" t="s">
        <v>662</v>
      </c>
    </row>
    <row r="82" spans="1:3" ht="20.25" customHeight="1" x14ac:dyDescent="0.35">
      <c r="A82" s="571" t="s">
        <v>1713</v>
      </c>
      <c r="B82" s="572" t="s">
        <v>1714</v>
      </c>
      <c r="C82" s="573" t="s">
        <v>1719</v>
      </c>
    </row>
    <row r="83" spans="1:3" ht="20.25" customHeight="1" x14ac:dyDescent="0.35">
      <c r="A83" s="567" t="s">
        <v>1669</v>
      </c>
      <c r="B83" s="568" t="s">
        <v>1658</v>
      </c>
      <c r="C83" s="569" t="s">
        <v>309</v>
      </c>
    </row>
    <row r="84" spans="1:3" ht="20.25" customHeight="1" x14ac:dyDescent="0.35">
      <c r="A84" s="473" t="s">
        <v>1005</v>
      </c>
      <c r="B84" s="61" t="s">
        <v>1715</v>
      </c>
      <c r="C84" s="110" t="s">
        <v>310</v>
      </c>
    </row>
    <row r="85" spans="1:3" ht="20.25" customHeight="1" x14ac:dyDescent="0.35">
      <c r="A85" s="567" t="s">
        <v>675</v>
      </c>
      <c r="B85" s="568" t="s">
        <v>1659</v>
      </c>
      <c r="C85" s="569" t="s">
        <v>676</v>
      </c>
    </row>
    <row r="86" spans="1:3" ht="20.25" customHeight="1" x14ac:dyDescent="0.35">
      <c r="A86" s="567" t="s">
        <v>1006</v>
      </c>
      <c r="B86" s="568" t="s">
        <v>1660</v>
      </c>
      <c r="C86" s="569" t="s">
        <v>311</v>
      </c>
    </row>
    <row r="87" spans="1:3" ht="20.25" customHeight="1" x14ac:dyDescent="0.35">
      <c r="A87" s="473">
        <v>10</v>
      </c>
      <c r="B87" s="61" t="s">
        <v>1661</v>
      </c>
      <c r="C87" s="110" t="s">
        <v>663</v>
      </c>
    </row>
    <row r="88" spans="1:3" ht="20.25" customHeight="1" x14ac:dyDescent="0.35">
      <c r="A88" s="473" t="s">
        <v>664</v>
      </c>
      <c r="B88" s="61" t="s">
        <v>1916</v>
      </c>
      <c r="C88" s="110" t="s">
        <v>665</v>
      </c>
    </row>
    <row r="89" spans="1:3" ht="20.25" customHeight="1" x14ac:dyDescent="0.35">
      <c r="A89" s="473" t="s">
        <v>1007</v>
      </c>
      <c r="B89" s="61" t="s">
        <v>1900</v>
      </c>
      <c r="C89" s="110" t="s">
        <v>312</v>
      </c>
    </row>
    <row r="90" spans="1:3" ht="20.25" customHeight="1" x14ac:dyDescent="0.35">
      <c r="A90" s="473" t="s">
        <v>666</v>
      </c>
      <c r="B90" s="61" t="s">
        <v>1662</v>
      </c>
      <c r="C90" s="110" t="s">
        <v>667</v>
      </c>
    </row>
    <row r="91" spans="1:3" ht="20.25" customHeight="1" x14ac:dyDescent="0.35">
      <c r="A91" s="473" t="s">
        <v>1008</v>
      </c>
      <c r="B91" s="61" t="s">
        <v>1663</v>
      </c>
      <c r="C91" s="110" t="s">
        <v>157</v>
      </c>
    </row>
    <row r="92" spans="1:3" ht="20.25" customHeight="1" x14ac:dyDescent="0.35">
      <c r="A92" s="473" t="s">
        <v>668</v>
      </c>
      <c r="B92" s="61" t="s">
        <v>1901</v>
      </c>
      <c r="C92" s="110" t="s">
        <v>669</v>
      </c>
    </row>
    <row r="93" spans="1:3" ht="20.25" customHeight="1" x14ac:dyDescent="0.35">
      <c r="A93" s="473" t="s">
        <v>1009</v>
      </c>
      <c r="B93" s="61" t="s">
        <v>1664</v>
      </c>
      <c r="C93" s="110" t="s">
        <v>313</v>
      </c>
    </row>
    <row r="94" spans="1:3" ht="20.25" customHeight="1" x14ac:dyDescent="0.35">
      <c r="A94" s="473" t="s">
        <v>1010</v>
      </c>
      <c r="B94" s="568" t="s">
        <v>1665</v>
      </c>
      <c r="C94" s="569" t="s">
        <v>314</v>
      </c>
    </row>
    <row r="95" spans="1:3" ht="20.25" customHeight="1" x14ac:dyDescent="0.35">
      <c r="A95" s="473" t="s">
        <v>670</v>
      </c>
      <c r="B95" s="61" t="s">
        <v>1666</v>
      </c>
      <c r="C95" s="110" t="s">
        <v>671</v>
      </c>
    </row>
    <row r="96" spans="1:3" ht="20.25" customHeight="1" x14ac:dyDescent="0.35">
      <c r="A96" s="473" t="s">
        <v>1011</v>
      </c>
      <c r="B96" s="61" t="s">
        <v>1902</v>
      </c>
      <c r="C96" s="110" t="s">
        <v>315</v>
      </c>
    </row>
    <row r="97" spans="1:3" ht="20.25" customHeight="1" x14ac:dyDescent="0.35">
      <c r="A97" s="473" t="s">
        <v>672</v>
      </c>
      <c r="B97" s="61" t="s">
        <v>1667</v>
      </c>
      <c r="C97" s="110" t="s">
        <v>316</v>
      </c>
    </row>
    <row r="98" spans="1:3" ht="20.25" customHeight="1" x14ac:dyDescent="0.35">
      <c r="A98" s="473" t="s">
        <v>1903</v>
      </c>
      <c r="B98" s="61" t="s">
        <v>1667</v>
      </c>
      <c r="C98" s="110" t="s">
        <v>316</v>
      </c>
    </row>
    <row r="99" spans="1:3" ht="20.25" customHeight="1" x14ac:dyDescent="0.35">
      <c r="A99" s="567" t="s">
        <v>673</v>
      </c>
      <c r="B99" s="568" t="s">
        <v>1668</v>
      </c>
      <c r="C99" s="569" t="s">
        <v>674</v>
      </c>
    </row>
    <row r="100" spans="1:3" ht="20.25" customHeight="1" x14ac:dyDescent="0.35">
      <c r="A100" s="567" t="s">
        <v>1012</v>
      </c>
      <c r="B100" s="568" t="s">
        <v>1668</v>
      </c>
      <c r="C100" s="569" t="s">
        <v>317</v>
      </c>
    </row>
  </sheetData>
  <sheetProtection selectLockedCells="1"/>
  <pageMargins left="0.78740157480314965" right="0.70866141732283472" top="0.98425196850393704" bottom="0.78740157480314965" header="0.43307086614173229" footer="0.31496062992125984"/>
  <pageSetup paperSize="9" fitToHeight="0" orientation="portrait" r:id="rId1"/>
  <headerFooter>
    <oddHeader>&amp;L&amp;"-,Fett"MEDIUM TERM BUDGET PLAN&amp;C&amp;8Version 04.17&amp;R&amp;"-,Fett"&amp;A</oddHeader>
    <oddFooter>&amp;L&amp;8Prof. Stefan Pfaeffli / Alex Loetscher &amp;C&amp;8Copyright © Lucerne University of Applied Sciences and Arts / Lucerne School of Business&amp;R1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28</vt:i4>
      </vt:variant>
    </vt:vector>
  </HeadingPairs>
  <TitlesOfParts>
    <vt:vector size="91" baseType="lpstr">
      <vt:lpstr>(A1) Titulli</vt:lpstr>
      <vt:lpstr>(B1)Informacion i përgjithshëm </vt:lpstr>
      <vt:lpstr>(B2) Struktura Organizative</vt:lpstr>
      <vt:lpstr>(B3) Struktura Funksionale</vt:lpstr>
      <vt:lpstr>(C1) Shpenzimet vitet e kaluara</vt:lpstr>
      <vt:lpstr>(C1b)Shpenzimet vitet e kaluar </vt:lpstr>
      <vt:lpstr>(C2) Burimet viti kaluar</vt:lpstr>
      <vt:lpstr>(C3) Detyrimet e prapambetura</vt:lpstr>
      <vt:lpstr>(C4) Trashëgimi me destinacion</vt:lpstr>
      <vt:lpstr>(C5) Angazhimet</vt:lpstr>
      <vt:lpstr>(C6) Lista emërore e projekteve</vt:lpstr>
      <vt:lpstr>(D1) Tavanet buxhetore</vt:lpstr>
      <vt:lpstr>(D2) Llogaritjet makroekonomike</vt:lpstr>
      <vt:lpstr>(E1) Vlerësimi i burimeve</vt:lpstr>
      <vt:lpstr>(E2) Kontrolli Besueshmërisë</vt:lpstr>
      <vt:lpstr>KB 01</vt:lpstr>
      <vt:lpstr>KB 02</vt:lpstr>
      <vt:lpstr>KB 03</vt:lpstr>
      <vt:lpstr>KB 04</vt:lpstr>
      <vt:lpstr>KB 05</vt:lpstr>
      <vt:lpstr>KB 06</vt:lpstr>
      <vt:lpstr>KB 07</vt:lpstr>
      <vt:lpstr>KB 08</vt:lpstr>
      <vt:lpstr>KB 09</vt:lpstr>
      <vt:lpstr>KB 10</vt:lpstr>
      <vt:lpstr>KB 11</vt:lpstr>
      <vt:lpstr>KB 12</vt:lpstr>
      <vt:lpstr>KB 13</vt:lpstr>
      <vt:lpstr>KB 14</vt:lpstr>
      <vt:lpstr>KB 15</vt:lpstr>
      <vt:lpstr>KB 16</vt:lpstr>
      <vt:lpstr>KB 17</vt:lpstr>
      <vt:lpstr>KB 18</vt:lpstr>
      <vt:lpstr>KB 19</vt:lpstr>
      <vt:lpstr>KB 20</vt:lpstr>
      <vt:lpstr>KB 21</vt:lpstr>
      <vt:lpstr>KB 22</vt:lpstr>
      <vt:lpstr>KB23</vt:lpstr>
      <vt:lpstr>KB24</vt:lpstr>
      <vt:lpstr>KB25</vt:lpstr>
      <vt:lpstr>KB26</vt:lpstr>
      <vt:lpstr>KB27</vt:lpstr>
      <vt:lpstr>(F1) Burimet buxhetore</vt:lpstr>
      <vt:lpstr>(F2) Shpenzimet sipas nenfunk.b</vt:lpstr>
      <vt:lpstr>(F3) Grafiku shpenz.nenfunks.Br</vt:lpstr>
      <vt:lpstr> (F4)Shpenzimet sipas nenf.neto</vt:lpstr>
      <vt:lpstr>(F5)Grafiku i shpenz.nenf.neto</vt:lpstr>
      <vt:lpstr>(F6) Shpenzimet sipas funks.bru</vt:lpstr>
      <vt:lpstr> (F7) Grafiku shpenz.funksion b</vt:lpstr>
      <vt:lpstr>(F8) Shpenzimet sipas aktivitet</vt:lpstr>
      <vt:lpstr>(F9) Grafiku shpenz.programit</vt:lpstr>
      <vt:lpstr>(F10) Shpenzimet klasifik. ekon</vt:lpstr>
      <vt:lpstr>(F11) Grafiku shpenz.klas.ekon</vt:lpstr>
      <vt:lpstr>(F12) Plani i Amort. Detyrimeve</vt:lpstr>
      <vt:lpstr>(F13) Përmbledhja e të dhënave</vt:lpstr>
      <vt:lpstr>(F14) Treguesit</vt:lpstr>
      <vt:lpstr>(F15) Shpenzimet kapita progr</vt:lpstr>
      <vt:lpstr>(F16) Grafiku shpenz. kapitale</vt:lpstr>
      <vt:lpstr>(G1) Fjalori</vt:lpstr>
      <vt:lpstr>(G2) Fjalori</vt:lpstr>
      <vt:lpstr>(G3) Fjalori</vt:lpstr>
      <vt:lpstr>Sheet1</vt:lpstr>
      <vt:lpstr>Sheet2</vt:lpstr>
      <vt:lpstr>'(B3) Struktura Funksionale'!Print_Area</vt:lpstr>
      <vt:lpstr>'(D1) Tavanet buxhetore'!Print_Area</vt:lpstr>
      <vt:lpstr>'(E1) Vlerësimi i burimeve'!Print_Area</vt:lpstr>
      <vt:lpstr>'(E2) Kontrolli Besueshmërisë'!Print_Area</vt:lpstr>
      <vt:lpstr>'(F10) Shpenzimet klasifik. ekon'!Print_Area</vt:lpstr>
      <vt:lpstr>'(F2) Shpenzimet sipas nenfunk.b'!Print_Area</vt:lpstr>
      <vt:lpstr>'(F3) Grafiku shpenz.nenfunks.Br'!Print_Area</vt:lpstr>
      <vt:lpstr>'(F6) Shpenzimet sipas funks.bru'!Print_Area</vt:lpstr>
      <vt:lpstr>'(F8) Shpenzimet sipas aktivitet'!Print_Area</vt:lpstr>
      <vt:lpstr>'(F9) Grafiku shpenz.programit'!Print_Area</vt:lpstr>
      <vt:lpstr>'KB 01'!Print_Area</vt:lpstr>
      <vt:lpstr>'KB 02'!Print_Area</vt:lpstr>
      <vt:lpstr>'KB 03'!Print_Area</vt:lpstr>
      <vt:lpstr>'KB 04'!Print_Area</vt:lpstr>
      <vt:lpstr>'KB 05'!Print_Area</vt:lpstr>
      <vt:lpstr>'KB 06'!Print_Area</vt:lpstr>
      <vt:lpstr>' (F4)Shpenzimet sipas nenf.neto'!Print_Titles</vt:lpstr>
      <vt:lpstr>'(B3) Struktura Funksionale'!Print_Titles</vt:lpstr>
      <vt:lpstr>'(C1) Shpenzimet vitet e kaluara'!Print_Titles</vt:lpstr>
      <vt:lpstr>'(C1b)Shpenzimet vitet e kaluar '!Print_Titles</vt:lpstr>
      <vt:lpstr>'(C2) Burimet viti kaluar'!Print_Titles</vt:lpstr>
      <vt:lpstr>'(C3) Detyrimet e prapambetura'!Print_Titles</vt:lpstr>
      <vt:lpstr>'(C4) Trashëgimi me destinacion'!Print_Titles</vt:lpstr>
      <vt:lpstr>'(C5) Angazhimet'!Print_Titles</vt:lpstr>
      <vt:lpstr>'(D1) Tavanet buxhetore'!Print_Titles</vt:lpstr>
      <vt:lpstr>'(E1) Vlerësimi i burimeve'!Print_Titles</vt:lpstr>
      <vt:lpstr>'(E2) Kontrolli Besueshmërisë'!Print_Titles</vt:lpstr>
      <vt:lpstr>'(F2) Shpenzimet sipas nenfunk.b'!Print_Titles</vt:lpstr>
    </vt:vector>
  </TitlesOfParts>
  <Company>Ministry of Finance and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Planing Tool</dc:title>
  <dc:subject>Local Finance Directory</dc:subject>
  <dc:creator>Mariel Frroku</dc:creator>
  <cp:lastModifiedBy>Elda Lickollari</cp:lastModifiedBy>
  <cp:lastPrinted>2021-08-06T13:27:40Z</cp:lastPrinted>
  <dcterms:created xsi:type="dcterms:W3CDTF">2010-09-29T13:46:00Z</dcterms:created>
  <dcterms:modified xsi:type="dcterms:W3CDTF">2021-09-03T08:30:46Z</dcterms:modified>
</cp:coreProperties>
</file>